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drawings/drawing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drawings/drawing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6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9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0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drawings/drawing13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4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15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comments3.xml" ContentType="application/vnd.openxmlformats-officedocument.spreadsheetml.comments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~我的投資\"/>
    </mc:Choice>
  </mc:AlternateContent>
  <bookViews>
    <workbookView xWindow="48510" yWindow="0" windowWidth="23040" windowHeight="8760" tabRatio="853" activeTab="1"/>
  </bookViews>
  <sheets>
    <sheet name="基本設定" sheetId="4" r:id="rId1"/>
    <sheet name="紅綠燈" sheetId="1" r:id="rId2"/>
    <sheet name="收盤價" sheetId="15" r:id="rId3"/>
    <sheet name="權息" sheetId="30" r:id="rId4"/>
    <sheet name="公司債" sheetId="24" r:id="rId5"/>
    <sheet name="篩股系統" sheetId="5" r:id="rId6"/>
    <sheet name="財報PK" sheetId="7" r:id="rId7"/>
    <sheet name="營收搶先報" sheetId="13" r:id="rId8"/>
    <sheet name="買進檢查表" sheetId="23" r:id="rId9"/>
    <sheet name="PSR" sheetId="3" r:id="rId10"/>
    <sheet name="RPS" sheetId="17" r:id="rId11"/>
    <sheet name="葛林公式" sheetId="19" r:id="rId12"/>
    <sheet name="重訊追蹤" sheetId="16" r:id="rId13"/>
    <sheet name="季財報" sheetId="18" r:id="rId14"/>
    <sheet name="評比系統" sheetId="2" r:id="rId15"/>
    <sheet name="PK" sheetId="8" r:id="rId16"/>
    <sheet name="PKA" sheetId="9" r:id="rId17"/>
    <sheet name="PKB" sheetId="10" r:id="rId18"/>
    <sheet name="PKC" sheetId="11" r:id="rId19"/>
    <sheet name="選存" sheetId="21" r:id="rId20"/>
    <sheet name="Chart2" sheetId="26" r:id="rId21"/>
    <sheet name="讀書心得" sheetId="27" r:id="rId22"/>
  </sheets>
  <definedNames>
    <definedName name="_xlnm._FilterDatabase" localSheetId="9" hidden="1">PSR!$A$1:$J$1487</definedName>
    <definedName name="_xlnm._FilterDatabase" localSheetId="10" hidden="1">RPS!$A$1:$C$1588</definedName>
    <definedName name="_xlnm._FilterDatabase" localSheetId="4" hidden="1">公司債!$A$1:$AD$334</definedName>
    <definedName name="_xlnm._FilterDatabase" localSheetId="13" hidden="1">季財報!$A$1:$H$1514</definedName>
    <definedName name="_xlnm._FilterDatabase" localSheetId="11" hidden="1">葛林公式!$A$1:$M$1519</definedName>
    <definedName name="_xlnm._FilterDatabase" localSheetId="7" hidden="1">營收搶先報!$A$1:$M$14218</definedName>
    <definedName name="EE" localSheetId="1">紅綠燈!#REF!</definedName>
    <definedName name="_xlnm.Print_Area" localSheetId="1">紅綠燈!$A$1:$AD$36</definedName>
    <definedName name="_xlnm.Print_Area" localSheetId="8">買進檢查表!$A$1:$D$29</definedName>
    <definedName name="外部資料_1" localSheetId="16">PKA!#REF!</definedName>
    <definedName name="外部資料_1" localSheetId="17">PKB!#REF!</definedName>
    <definedName name="外部資料_1" localSheetId="18">PKC!#REF!</definedName>
    <definedName name="外部資料_1" localSheetId="9">PSR!#REF!</definedName>
    <definedName name="外部資料_1" localSheetId="4">公司債!#REF!</definedName>
    <definedName name="外部資料_1" localSheetId="1">紅綠燈!#REF!</definedName>
    <definedName name="外部資料_1" localSheetId="14">評比系統!#REF!</definedName>
    <definedName name="外部資料_1" localSheetId="5">篩股系統!#REF!</definedName>
    <definedName name="外部資料_1" localSheetId="7">營收搶先報!#REF!</definedName>
    <definedName name="外部資料_10" localSheetId="16">PKA!#REF!</definedName>
    <definedName name="外部資料_10" localSheetId="17">PKB!#REF!</definedName>
    <definedName name="外部資料_10" localSheetId="18">PKC!#REF!</definedName>
    <definedName name="外部資料_10" localSheetId="9">PSR!#REF!</definedName>
    <definedName name="外部資料_10" localSheetId="4">公司債!#REF!</definedName>
    <definedName name="外部資料_10" localSheetId="1">紅綠燈!#REF!</definedName>
    <definedName name="外部資料_10" localSheetId="14">評比系統!#REF!</definedName>
    <definedName name="外部資料_10" localSheetId="5">篩股系統!#REF!</definedName>
    <definedName name="外部資料_10" localSheetId="7">營收搶先報!#REF!</definedName>
    <definedName name="外部資料_100" localSheetId="16">PKA!#REF!</definedName>
    <definedName name="外部資料_100" localSheetId="17">PKB!#REF!</definedName>
    <definedName name="外部資料_100" localSheetId="18">PKC!#REF!</definedName>
    <definedName name="外部資料_100" localSheetId="9">PSR!#REF!</definedName>
    <definedName name="外部資料_100" localSheetId="4">公司債!#REF!</definedName>
    <definedName name="外部資料_100" localSheetId="1">紅綠燈!#REF!</definedName>
    <definedName name="外部資料_100" localSheetId="14">評比系統!#REF!</definedName>
    <definedName name="外部資料_100" localSheetId="7">營收搶先報!#REF!</definedName>
    <definedName name="外部資料_1000" localSheetId="14">評比系統!$T$1:$T$3</definedName>
    <definedName name="外部資料_1001" localSheetId="14">評比系統!$T$1:$T$3</definedName>
    <definedName name="外部資料_1002" localSheetId="14">評比系統!$T$1:$T$3</definedName>
    <definedName name="外部資料_1003" localSheetId="14">評比系統!$T$1:$T$3</definedName>
    <definedName name="外部資料_1004" localSheetId="14">評比系統!$T$1:$T$3</definedName>
    <definedName name="外部資料_1005" localSheetId="14">評比系統!$T$1:$T$3</definedName>
    <definedName name="外部資料_1006" localSheetId="14">評比系統!$T$1:$T$3</definedName>
    <definedName name="外部資料_1007" localSheetId="14">評比系統!$T$1:$T$3</definedName>
    <definedName name="外部資料_1008" localSheetId="14">評比系統!$T$1:$T$3</definedName>
    <definedName name="外部資料_1009" localSheetId="14">評比系統!$T$1:$T$3</definedName>
    <definedName name="外部資料_101" localSheetId="16">PKA!#REF!</definedName>
    <definedName name="外部資料_101" localSheetId="17">PKB!#REF!</definedName>
    <definedName name="外部資料_101" localSheetId="18">PKC!#REF!</definedName>
    <definedName name="外部資料_101" localSheetId="9">PSR!#REF!</definedName>
    <definedName name="外部資料_101" localSheetId="4">公司債!#REF!</definedName>
    <definedName name="外部資料_101" localSheetId="14">評比系統!$T$1:$T$3</definedName>
    <definedName name="外部資料_101" localSheetId="7">營收搶先報!#REF!</definedName>
    <definedName name="外部資料_1010" localSheetId="14">評比系統!$T$1:$T$3</definedName>
    <definedName name="外部資料_1011" localSheetId="14">評比系統!$T$1:$T$3</definedName>
    <definedName name="外部資料_1012" localSheetId="14">評比系統!$T$1:$T$3</definedName>
    <definedName name="外部資料_1013" localSheetId="14">評比系統!$T$1:$T$3</definedName>
    <definedName name="外部資料_1014" localSheetId="14">評比系統!$T$1:$T$3</definedName>
    <definedName name="外部資料_1015" localSheetId="14">評比系統!$T$1:$T$3</definedName>
    <definedName name="外部資料_1016" localSheetId="14">評比系統!$T$1:$T$3</definedName>
    <definedName name="外部資料_1017" localSheetId="14">評比系統!$T$1:$T$3</definedName>
    <definedName name="外部資料_1018" localSheetId="14">評比系統!$T$1:$T$3</definedName>
    <definedName name="外部資料_1019" localSheetId="14">評比系統!$T$1:$T$3</definedName>
    <definedName name="外部資料_102" localSheetId="16">PKA!#REF!</definedName>
    <definedName name="外部資料_102" localSheetId="17">PKB!#REF!</definedName>
    <definedName name="外部資料_102" localSheetId="18">PKC!#REF!</definedName>
    <definedName name="外部資料_102" localSheetId="9">PSR!#REF!</definedName>
    <definedName name="外部資料_102" localSheetId="4">公司債!#REF!</definedName>
    <definedName name="外部資料_102" localSheetId="14">評比系統!$T$1:$T$3</definedName>
    <definedName name="外部資料_102" localSheetId="7">營收搶先報!#REF!</definedName>
    <definedName name="外部資料_1020" localSheetId="14">評比系統!$T$1:$T$3</definedName>
    <definedName name="外部資料_1021" localSheetId="14">評比系統!$T$1:$T$3</definedName>
    <definedName name="外部資料_1022" localSheetId="14">評比系統!$T$1:$T$3</definedName>
    <definedName name="外部資料_1023" localSheetId="14">評比系統!$T$1:$T$3</definedName>
    <definedName name="外部資料_1024" localSheetId="14">評比系統!$T$1:$T$3</definedName>
    <definedName name="外部資料_1025" localSheetId="14">評比系統!$T$1:$T$3</definedName>
    <definedName name="外部資料_1026" localSheetId="14">評比系統!$T$1:$T$3</definedName>
    <definedName name="外部資料_1027" localSheetId="14">評比系統!$T$1:$T$3</definedName>
    <definedName name="外部資料_1028" localSheetId="14">評比系統!$T$1:$T$3</definedName>
    <definedName name="外部資料_1029" localSheetId="14">評比系統!$T$1:$T$3</definedName>
    <definedName name="外部資料_103" localSheetId="16">PKA!#REF!</definedName>
    <definedName name="外部資料_103" localSheetId="17">PKB!#REF!</definedName>
    <definedName name="外部資料_103" localSheetId="18">PKC!#REF!</definedName>
    <definedName name="外部資料_103" localSheetId="9">PSR!#REF!</definedName>
    <definedName name="外部資料_103" localSheetId="4">公司債!#REF!</definedName>
    <definedName name="外部資料_103" localSheetId="14">評比系統!$T$1:$T$3</definedName>
    <definedName name="外部資料_103" localSheetId="7">營收搶先報!#REF!</definedName>
    <definedName name="外部資料_1031" localSheetId="1">紅綠燈!#REF!</definedName>
    <definedName name="外部資料_1032" localSheetId="1">紅綠燈!#REF!</definedName>
    <definedName name="外部資料_1033" localSheetId="1">紅綠燈!#REF!</definedName>
    <definedName name="外部資料_1035" localSheetId="1">紅綠燈!#REF!</definedName>
    <definedName name="外部資料_1036" localSheetId="1">紅綠燈!#REF!</definedName>
    <definedName name="外部資料_1037" localSheetId="1">紅綠燈!#REF!</definedName>
    <definedName name="外部資料_1039" localSheetId="1">紅綠燈!#REF!</definedName>
    <definedName name="外部資料_104" localSheetId="16">PKA!#REF!</definedName>
    <definedName name="外部資料_104" localSheetId="17">PKB!#REF!</definedName>
    <definedName name="外部資料_104" localSheetId="18">PKC!#REF!</definedName>
    <definedName name="外部資料_104" localSheetId="9">PSR!#REF!</definedName>
    <definedName name="外部資料_104" localSheetId="4">公司債!#REF!</definedName>
    <definedName name="外部資料_104" localSheetId="14">評比系統!$T$1:$T$3</definedName>
    <definedName name="外部資料_104" localSheetId="7">營收搶先報!#REF!</definedName>
    <definedName name="外部資料_1040" localSheetId="1">紅綠燈!#REF!</definedName>
    <definedName name="外部資料_1041" localSheetId="1">紅綠燈!#REF!</definedName>
    <definedName name="外部資料_1043" localSheetId="1">紅綠燈!#REF!</definedName>
    <definedName name="外部資料_1044" localSheetId="1">紅綠燈!#REF!</definedName>
    <definedName name="外部資料_1045" localSheetId="1">紅綠燈!#REF!</definedName>
    <definedName name="外部資料_1047" localSheetId="1">紅綠燈!#REF!</definedName>
    <definedName name="外部資料_1048" localSheetId="1">紅綠燈!#REF!</definedName>
    <definedName name="外部資料_1049" localSheetId="1">紅綠燈!#REF!</definedName>
    <definedName name="外部資料_105" localSheetId="16">PKA!#REF!</definedName>
    <definedName name="外部資料_105" localSheetId="17">PKB!#REF!</definedName>
    <definedName name="外部資料_105" localSheetId="18">PKC!#REF!</definedName>
    <definedName name="外部資料_105" localSheetId="9">PSR!#REF!</definedName>
    <definedName name="外部資料_105" localSheetId="4">公司債!#REF!</definedName>
    <definedName name="外部資料_105" localSheetId="14">評比系統!$T$1:$T$3</definedName>
    <definedName name="外部資料_105" localSheetId="7">營收搶先報!#REF!</definedName>
    <definedName name="外部資料_1051" localSheetId="1">紅綠燈!#REF!</definedName>
    <definedName name="外部資料_1052" localSheetId="1">紅綠燈!#REF!</definedName>
    <definedName name="外部資料_1053" localSheetId="1">紅綠燈!#REF!</definedName>
    <definedName name="外部資料_1055" localSheetId="1">紅綠燈!#REF!</definedName>
    <definedName name="外部資料_1056" localSheetId="1">紅綠燈!#REF!</definedName>
    <definedName name="外部資料_1057" localSheetId="1">紅綠燈!#REF!</definedName>
    <definedName name="外部資料_1059" localSheetId="1">紅綠燈!#REF!</definedName>
    <definedName name="外部資料_106" localSheetId="16">PKA!#REF!</definedName>
    <definedName name="外部資料_106" localSheetId="17">PKB!#REF!</definedName>
    <definedName name="外部資料_106" localSheetId="18">PKC!#REF!</definedName>
    <definedName name="外部資料_106" localSheetId="9">PSR!#REF!</definedName>
    <definedName name="外部資料_106" localSheetId="4">公司債!#REF!</definedName>
    <definedName name="外部資料_106" localSheetId="14">評比系統!$T$1:$T$3</definedName>
    <definedName name="外部資料_106" localSheetId="7">營收搶先報!#REF!</definedName>
    <definedName name="外部資料_1060" localSheetId="1">紅綠燈!#REF!</definedName>
    <definedName name="外部資料_1061" localSheetId="1">紅綠燈!#REF!</definedName>
    <definedName name="外部資料_1063" localSheetId="1">紅綠燈!#REF!</definedName>
    <definedName name="外部資料_1064" localSheetId="1">紅綠燈!#REF!</definedName>
    <definedName name="外部資料_1065" localSheetId="1">紅綠燈!#REF!</definedName>
    <definedName name="外部資料_1067" localSheetId="1">紅綠燈!#REF!</definedName>
    <definedName name="外部資料_1068" localSheetId="1">紅綠燈!#REF!</definedName>
    <definedName name="外部資料_1069" localSheetId="1">紅綠燈!#REF!</definedName>
    <definedName name="外部資料_107" localSheetId="16">PKA!#REF!</definedName>
    <definedName name="外部資料_107" localSheetId="17">PKB!#REF!</definedName>
    <definedName name="外部資料_107" localSheetId="18">PKC!#REF!</definedName>
    <definedName name="外部資料_107" localSheetId="9">PSR!#REF!</definedName>
    <definedName name="外部資料_107" localSheetId="4">公司債!#REF!</definedName>
    <definedName name="外部資料_107" localSheetId="14">評比系統!$T$1:$T$3</definedName>
    <definedName name="外部資料_107" localSheetId="7">營收搶先報!#REF!</definedName>
    <definedName name="外部資料_1071" localSheetId="1">紅綠燈!#REF!</definedName>
    <definedName name="外部資料_1072" localSheetId="1">紅綠燈!#REF!</definedName>
    <definedName name="外部資料_1073" localSheetId="1">紅綠燈!#REF!</definedName>
    <definedName name="外部資料_1075" localSheetId="1">紅綠燈!#REF!</definedName>
    <definedName name="外部資料_1076" localSheetId="1">紅綠燈!#REF!</definedName>
    <definedName name="外部資料_1077" localSheetId="1">紅綠燈!#REF!</definedName>
    <definedName name="外部資料_1079" localSheetId="1">紅綠燈!#REF!</definedName>
    <definedName name="外部資料_108" localSheetId="16">PKA!#REF!</definedName>
    <definedName name="外部資料_108" localSheetId="17">PKB!#REF!</definedName>
    <definedName name="外部資料_108" localSheetId="18">PKC!#REF!</definedName>
    <definedName name="外部資料_108" localSheetId="9">PSR!#REF!</definedName>
    <definedName name="外部資料_108" localSheetId="4">公司債!#REF!</definedName>
    <definedName name="外部資料_108" localSheetId="14">評比系統!$T$1:$T$3</definedName>
    <definedName name="外部資料_108" localSheetId="7">營收搶先報!#REF!</definedName>
    <definedName name="外部資料_1080" localSheetId="1">紅綠燈!#REF!</definedName>
    <definedName name="外部資料_1081" localSheetId="1">紅綠燈!#REF!</definedName>
    <definedName name="外部資料_1083" localSheetId="1">紅綠燈!#REF!</definedName>
    <definedName name="外部資料_1084" localSheetId="1">紅綠燈!#REF!</definedName>
    <definedName name="外部資料_1085" localSheetId="1">紅綠燈!#REF!</definedName>
    <definedName name="外部資料_1087" localSheetId="1">紅綠燈!#REF!</definedName>
    <definedName name="外部資料_1088" localSheetId="1">紅綠燈!#REF!</definedName>
    <definedName name="外部資料_1089" localSheetId="1">紅綠燈!#REF!</definedName>
    <definedName name="外部資料_109" localSheetId="16">PKA!#REF!</definedName>
    <definedName name="外部資料_109" localSheetId="17">PKB!#REF!</definedName>
    <definedName name="外部資料_109" localSheetId="18">PKC!#REF!</definedName>
    <definedName name="外部資料_109" localSheetId="9">PSR!#REF!</definedName>
    <definedName name="外部資料_109" localSheetId="4">公司債!#REF!</definedName>
    <definedName name="外部資料_109" localSheetId="14">評比系統!$T$1:$T$3</definedName>
    <definedName name="外部資料_109" localSheetId="7">營收搶先報!#REF!</definedName>
    <definedName name="外部資料_1091" localSheetId="1">紅綠燈!#REF!</definedName>
    <definedName name="外部資料_1092" localSheetId="1">紅綠燈!#REF!</definedName>
    <definedName name="外部資料_1093" localSheetId="1">紅綠燈!#REF!</definedName>
    <definedName name="外部資料_1095" localSheetId="1">紅綠燈!#REF!</definedName>
    <definedName name="外部資料_1096" localSheetId="1">紅綠燈!#REF!</definedName>
    <definedName name="外部資料_1097" localSheetId="1">紅綠燈!#REF!</definedName>
    <definedName name="外部資料_1099" localSheetId="1">紅綠燈!#REF!</definedName>
    <definedName name="外部資料_11" localSheetId="16">PKA!#REF!</definedName>
    <definedName name="外部資料_11" localSheetId="17">PKB!#REF!</definedName>
    <definedName name="外部資料_11" localSheetId="18">PKC!#REF!</definedName>
    <definedName name="外部資料_11" localSheetId="9">PSR!#REF!</definedName>
    <definedName name="外部資料_11" localSheetId="4">公司債!#REF!</definedName>
    <definedName name="外部資料_11" localSheetId="1">紅綠燈!#REF!</definedName>
    <definedName name="外部資料_11" localSheetId="14">評比系統!#REF!</definedName>
    <definedName name="外部資料_11" localSheetId="5">篩股系統!#REF!</definedName>
    <definedName name="外部資料_11" localSheetId="7">營收搶先報!#REF!</definedName>
    <definedName name="外部資料_110" localSheetId="16">PKA!#REF!</definedName>
    <definedName name="外部資料_110" localSheetId="17">PKB!#REF!</definedName>
    <definedName name="外部資料_110" localSheetId="18">PKC!#REF!</definedName>
    <definedName name="外部資料_110" localSheetId="9">PSR!#REF!</definedName>
    <definedName name="外部資料_110" localSheetId="4">公司債!#REF!</definedName>
    <definedName name="外部資料_110" localSheetId="14">評比系統!$T$1:$T$3</definedName>
    <definedName name="外部資料_110" localSheetId="7">營收搶先報!#REF!</definedName>
    <definedName name="外部資料_1100" localSheetId="1">紅綠燈!#REF!</definedName>
    <definedName name="外部資料_1101" localSheetId="1">紅綠燈!#REF!</definedName>
    <definedName name="外部資料_1103" localSheetId="1">紅綠燈!#REF!</definedName>
    <definedName name="外部資料_1104" localSheetId="1">紅綠燈!#REF!</definedName>
    <definedName name="外部資料_1105" localSheetId="1">紅綠燈!#REF!</definedName>
    <definedName name="外部資料_1107" localSheetId="1">紅綠燈!#REF!</definedName>
    <definedName name="外部資料_1108" localSheetId="1">紅綠燈!#REF!</definedName>
    <definedName name="外部資料_1109" localSheetId="1">紅綠燈!#REF!</definedName>
    <definedName name="外部資料_111" localSheetId="16">PKA!#REF!</definedName>
    <definedName name="外部資料_111" localSheetId="17">PKB!#REF!</definedName>
    <definedName name="外部資料_111" localSheetId="18">PKC!#REF!</definedName>
    <definedName name="外部資料_111" localSheetId="9">PSR!#REF!</definedName>
    <definedName name="外部資料_111" localSheetId="4">公司債!#REF!</definedName>
    <definedName name="外部資料_111" localSheetId="14">評比系統!$T$1:$T$3</definedName>
    <definedName name="外部資料_111" localSheetId="7">營收搶先報!#REF!</definedName>
    <definedName name="外部資料_1111" localSheetId="1">紅綠燈!#REF!</definedName>
    <definedName name="外部資料_1112" localSheetId="1">紅綠燈!#REF!</definedName>
    <definedName name="外部資料_1113" localSheetId="1">紅綠燈!#REF!</definedName>
    <definedName name="外部資料_1115" localSheetId="1">紅綠燈!#REF!</definedName>
    <definedName name="外部資料_1116" localSheetId="1">紅綠燈!#REF!</definedName>
    <definedName name="外部資料_1117" localSheetId="1">紅綠燈!#REF!</definedName>
    <definedName name="外部資料_1119" localSheetId="1">紅綠燈!#REF!</definedName>
    <definedName name="外部資料_112" localSheetId="16">PKA!#REF!</definedName>
    <definedName name="外部資料_112" localSheetId="17">PKB!#REF!</definedName>
    <definedName name="外部資料_112" localSheetId="18">PKC!#REF!</definedName>
    <definedName name="外部資料_112" localSheetId="9">PSR!#REF!</definedName>
    <definedName name="外部資料_112" localSheetId="4">公司債!#REF!</definedName>
    <definedName name="外部資料_112" localSheetId="14">評比系統!$T$1:$T$3</definedName>
    <definedName name="外部資料_112" localSheetId="7">營收搶先報!#REF!</definedName>
    <definedName name="外部資料_1120" localSheetId="1">紅綠燈!#REF!</definedName>
    <definedName name="外部資料_1121" localSheetId="1">紅綠燈!#REF!</definedName>
    <definedName name="外部資料_1123" localSheetId="1">紅綠燈!#REF!</definedName>
    <definedName name="外部資料_1124" localSheetId="1">紅綠燈!#REF!</definedName>
    <definedName name="外部資料_1125" localSheetId="1">紅綠燈!#REF!</definedName>
    <definedName name="外部資料_1127" localSheetId="1">紅綠燈!#REF!</definedName>
    <definedName name="外部資料_1128" localSheetId="1">紅綠燈!#REF!</definedName>
    <definedName name="外部資料_1129" localSheetId="1">紅綠燈!#REF!</definedName>
    <definedName name="外部資料_113" localSheetId="16">PKA!#REF!</definedName>
    <definedName name="外部資料_113" localSheetId="17">PKB!#REF!</definedName>
    <definedName name="外部資料_113" localSheetId="18">PKC!#REF!</definedName>
    <definedName name="外部資料_113" localSheetId="9">PSR!#REF!</definedName>
    <definedName name="外部資料_113" localSheetId="4">公司債!#REF!</definedName>
    <definedName name="外部資料_113" localSheetId="14">評比系統!$T$1:$T$3</definedName>
    <definedName name="外部資料_113" localSheetId="7">營收搶先報!#REF!</definedName>
    <definedName name="外部資料_1131" localSheetId="1">紅綠燈!#REF!</definedName>
    <definedName name="外部資料_1132" localSheetId="1">紅綠燈!#REF!</definedName>
    <definedName name="外部資料_1134" localSheetId="1">紅綠燈!#REF!</definedName>
    <definedName name="外部資料_1135" localSheetId="1">紅綠燈!#REF!</definedName>
    <definedName name="外部資料_1136" localSheetId="1">紅綠燈!#REF!</definedName>
    <definedName name="外部資料_1138" localSheetId="1">紅綠燈!#REF!</definedName>
    <definedName name="外部資料_1139" localSheetId="1">紅綠燈!#REF!</definedName>
    <definedName name="外部資料_114" localSheetId="16">PKA!#REF!</definedName>
    <definedName name="外部資料_114" localSheetId="17">PKB!#REF!</definedName>
    <definedName name="外部資料_114" localSheetId="18">PKC!#REF!</definedName>
    <definedName name="外部資料_114" localSheetId="9">PSR!#REF!</definedName>
    <definedName name="外部資料_114" localSheetId="4">公司債!#REF!</definedName>
    <definedName name="外部資料_114" localSheetId="14">評比系統!$T$1:$T$3</definedName>
    <definedName name="外部資料_114" localSheetId="7">營收搶先報!#REF!</definedName>
    <definedName name="外部資料_1140" localSheetId="1">紅綠燈!#REF!</definedName>
    <definedName name="外部資料_1142" localSheetId="1">紅綠燈!#REF!</definedName>
    <definedName name="外部資料_1143" localSheetId="1">紅綠燈!#REF!</definedName>
    <definedName name="外部資料_1144" localSheetId="1">紅綠燈!#REF!</definedName>
    <definedName name="外部資料_1146" localSheetId="1">紅綠燈!#REF!</definedName>
    <definedName name="外部資料_1147" localSheetId="1">紅綠燈!#REF!</definedName>
    <definedName name="外部資料_1148" localSheetId="1">紅綠燈!#REF!</definedName>
    <definedName name="外部資料_115" localSheetId="16">PKA!#REF!</definedName>
    <definedName name="外部資料_115" localSheetId="17">PKB!#REF!</definedName>
    <definedName name="外部資料_115" localSheetId="18">PKC!#REF!</definedName>
    <definedName name="外部資料_115" localSheetId="9">PSR!#REF!</definedName>
    <definedName name="外部資料_115" localSheetId="4">公司債!#REF!</definedName>
    <definedName name="外部資料_115" localSheetId="14">評比系統!$T$1:$T$3</definedName>
    <definedName name="外部資料_115" localSheetId="7">營收搶先報!#REF!</definedName>
    <definedName name="外部資料_1150" localSheetId="1">紅綠燈!#REF!</definedName>
    <definedName name="外部資料_1151" localSheetId="1">紅綠燈!#REF!</definedName>
    <definedName name="外部資料_1152" localSheetId="1">紅綠燈!#REF!</definedName>
    <definedName name="外部資料_1154" localSheetId="1">紅綠燈!#REF!</definedName>
    <definedName name="外部資料_1155" localSheetId="1">紅綠燈!#REF!</definedName>
    <definedName name="外部資料_1156" localSheetId="1">紅綠燈!#REF!</definedName>
    <definedName name="外部資料_1158" localSheetId="1">紅綠燈!#REF!</definedName>
    <definedName name="外部資料_1159" localSheetId="1">紅綠燈!#REF!</definedName>
    <definedName name="外部資料_116" localSheetId="16">PKA!#REF!</definedName>
    <definedName name="外部資料_116" localSheetId="17">PKB!#REF!</definedName>
    <definedName name="外部資料_116" localSheetId="18">PKC!#REF!</definedName>
    <definedName name="外部資料_116" localSheetId="9">PSR!#REF!</definedName>
    <definedName name="外部資料_116" localSheetId="4">公司債!#REF!</definedName>
    <definedName name="外部資料_116" localSheetId="14">評比系統!$T$1:$T$3</definedName>
    <definedName name="外部資料_116" localSheetId="7">營收搶先報!#REF!</definedName>
    <definedName name="外部資料_1160" localSheetId="1">紅綠燈!#REF!</definedName>
    <definedName name="外部資料_1162" localSheetId="1">紅綠燈!#REF!</definedName>
    <definedName name="外部資料_1163" localSheetId="1">紅綠燈!#REF!</definedName>
    <definedName name="外部資料_1164" localSheetId="1">紅綠燈!#REF!</definedName>
    <definedName name="外部資料_1166" localSheetId="1">紅綠燈!#REF!</definedName>
    <definedName name="外部資料_1167" localSheetId="1">紅綠燈!#REF!</definedName>
    <definedName name="外部資料_1168" localSheetId="1">紅綠燈!#REF!</definedName>
    <definedName name="外部資料_117" localSheetId="16">PKA!#REF!</definedName>
    <definedName name="外部資料_117" localSheetId="17">PKB!#REF!</definedName>
    <definedName name="外部資料_117" localSheetId="18">PKC!#REF!</definedName>
    <definedName name="外部資料_117" localSheetId="9">PSR!#REF!</definedName>
    <definedName name="外部資料_117" localSheetId="4">公司債!#REF!</definedName>
    <definedName name="外部資料_117" localSheetId="14">評比系統!$T$1:$T$3</definedName>
    <definedName name="外部資料_117" localSheetId="7">營收搶先報!#REF!</definedName>
    <definedName name="外部資料_1170" localSheetId="1">紅綠燈!#REF!</definedName>
    <definedName name="外部資料_1171" localSheetId="1">紅綠燈!#REF!</definedName>
    <definedName name="外部資料_1172" localSheetId="1">紅綠燈!#REF!</definedName>
    <definedName name="外部資料_1174" localSheetId="1">紅綠燈!#REF!</definedName>
    <definedName name="外部資料_1175" localSheetId="1">紅綠燈!#REF!</definedName>
    <definedName name="外部資料_1176" localSheetId="1">紅綠燈!#REF!</definedName>
    <definedName name="外部資料_1178" localSheetId="1">紅綠燈!#REF!</definedName>
    <definedName name="外部資料_1179" localSheetId="1">紅綠燈!#REF!</definedName>
    <definedName name="外部資料_118" localSheetId="16">PKA!#REF!</definedName>
    <definedName name="外部資料_118" localSheetId="17">PKB!#REF!</definedName>
    <definedName name="外部資料_118" localSheetId="18">PKC!#REF!</definedName>
    <definedName name="外部資料_118" localSheetId="9">PSR!#REF!</definedName>
    <definedName name="外部資料_118" localSheetId="4">公司債!#REF!</definedName>
    <definedName name="外部資料_118" localSheetId="14">評比系統!$T$1:$T$3</definedName>
    <definedName name="外部資料_118" localSheetId="7">營收搶先報!#REF!</definedName>
    <definedName name="外部資料_1180" localSheetId="1">紅綠燈!#REF!</definedName>
    <definedName name="外部資料_1182" localSheetId="1">紅綠燈!#REF!</definedName>
    <definedName name="外部資料_1183" localSheetId="1">紅綠燈!#REF!</definedName>
    <definedName name="外部資料_1184" localSheetId="1">紅綠燈!#REF!</definedName>
    <definedName name="外部資料_1186" localSheetId="1">紅綠燈!#REF!</definedName>
    <definedName name="外部資料_1187" localSheetId="1">紅綠燈!#REF!</definedName>
    <definedName name="外部資料_1188" localSheetId="1">紅綠燈!#REF!</definedName>
    <definedName name="外部資料_119" localSheetId="16">PKA!#REF!</definedName>
    <definedName name="外部資料_119" localSheetId="17">PKB!#REF!</definedName>
    <definedName name="外部資料_119" localSheetId="18">PKC!#REF!</definedName>
    <definedName name="外部資料_119" localSheetId="9">PSR!#REF!</definedName>
    <definedName name="外部資料_119" localSheetId="4">公司債!#REF!</definedName>
    <definedName name="外部資料_119" localSheetId="14">評比系統!$T$1:$T$3</definedName>
    <definedName name="外部資料_119" localSheetId="5">篩股系統!#REF!</definedName>
    <definedName name="外部資料_119" localSheetId="7">營收搶先報!#REF!</definedName>
    <definedName name="外部資料_1190" localSheetId="1">紅綠燈!#REF!</definedName>
    <definedName name="外部資料_1191" localSheetId="1">紅綠燈!#REF!</definedName>
    <definedName name="外部資料_1192" localSheetId="1">紅綠燈!#REF!</definedName>
    <definedName name="外部資料_1194" localSheetId="1">紅綠燈!#REF!</definedName>
    <definedName name="外部資料_1195" localSheetId="1">紅綠燈!#REF!</definedName>
    <definedName name="外部資料_1196" localSheetId="1">紅綠燈!#REF!</definedName>
    <definedName name="外部資料_1198" localSheetId="1">紅綠燈!#REF!</definedName>
    <definedName name="外部資料_1199" localSheetId="1">紅綠燈!#REF!</definedName>
    <definedName name="外部資料_12" localSheetId="16">PKA!#REF!</definedName>
    <definedName name="外部資料_12" localSheetId="17">PKB!#REF!</definedName>
    <definedName name="外部資料_12" localSheetId="18">PKC!#REF!</definedName>
    <definedName name="外部資料_12" localSheetId="9">PSR!#REF!</definedName>
    <definedName name="外部資料_12" localSheetId="4">公司債!#REF!</definedName>
    <definedName name="外部資料_12" localSheetId="1">紅綠燈!#REF!</definedName>
    <definedName name="外部資料_12" localSheetId="14">評比系統!#REF!</definedName>
    <definedName name="外部資料_12" localSheetId="5">篩股系統!#REF!</definedName>
    <definedName name="外部資料_12" localSheetId="7">營收搶先報!#REF!</definedName>
    <definedName name="外部資料_120" localSheetId="16">PKA!#REF!</definedName>
    <definedName name="外部資料_120" localSheetId="17">PKB!#REF!</definedName>
    <definedName name="外部資料_120" localSheetId="18">PKC!#REF!</definedName>
    <definedName name="外部資料_120" localSheetId="9">PSR!#REF!</definedName>
    <definedName name="外部資料_120" localSheetId="4">公司債!#REF!</definedName>
    <definedName name="外部資料_120" localSheetId="14">評比系統!$T$1:$T$3</definedName>
    <definedName name="外部資料_120" localSheetId="7">營收搶先報!#REF!</definedName>
    <definedName name="外部資料_1200" localSheetId="1">紅綠燈!#REF!</definedName>
    <definedName name="外部資料_1202" localSheetId="1">紅綠燈!#REF!</definedName>
    <definedName name="外部資料_1203" localSheetId="1">紅綠燈!#REF!</definedName>
    <definedName name="外部資料_1204" localSheetId="1">紅綠燈!#REF!</definedName>
    <definedName name="外部資料_1206" localSheetId="1">紅綠燈!#REF!</definedName>
    <definedName name="外部資料_1207" localSheetId="1">紅綠燈!#REF!</definedName>
    <definedName name="外部資料_1209" localSheetId="1">紅綠燈!#REF!</definedName>
    <definedName name="外部資料_121" localSheetId="16">PKA!#REF!</definedName>
    <definedName name="外部資料_121" localSheetId="17">PKB!#REF!</definedName>
    <definedName name="外部資料_121" localSheetId="18">PKC!#REF!</definedName>
    <definedName name="外部資料_121" localSheetId="9">PSR!#REF!</definedName>
    <definedName name="外部資料_121" localSheetId="4">公司債!#REF!</definedName>
    <definedName name="外部資料_121" localSheetId="14">評比系統!$T$1:$T$3</definedName>
    <definedName name="外部資料_121" localSheetId="7">營收搶先報!#REF!</definedName>
    <definedName name="外部資料_1210" localSheetId="1">紅綠燈!#REF!</definedName>
    <definedName name="外部資料_1211" localSheetId="1">紅綠燈!#REF!</definedName>
    <definedName name="外部資料_1213" localSheetId="1">紅綠燈!#REF!</definedName>
    <definedName name="外部資料_1214" localSheetId="1">紅綠燈!#REF!</definedName>
    <definedName name="外部資料_1215" localSheetId="1">紅綠燈!#REF!</definedName>
    <definedName name="外部資料_1217" localSheetId="1">紅綠燈!#REF!</definedName>
    <definedName name="外部資料_1218" localSheetId="1">紅綠燈!#REF!</definedName>
    <definedName name="外部資料_1219" localSheetId="1">紅綠燈!#REF!</definedName>
    <definedName name="外部資料_122" localSheetId="16">PKA!#REF!</definedName>
    <definedName name="外部資料_122" localSheetId="17">PKB!#REF!</definedName>
    <definedName name="外部資料_122" localSheetId="18">PKC!#REF!</definedName>
    <definedName name="外部資料_122" localSheetId="9">PSR!#REF!</definedName>
    <definedName name="外部資料_122" localSheetId="4">公司債!#REF!</definedName>
    <definedName name="外部資料_122" localSheetId="14">評比系統!$T$1:$T$3</definedName>
    <definedName name="外部資料_122" localSheetId="7">營收搶先報!#REF!</definedName>
    <definedName name="外部資料_1221" localSheetId="1">紅綠燈!#REF!</definedName>
    <definedName name="外部資料_1222" localSheetId="1">紅綠燈!#REF!</definedName>
    <definedName name="外部資料_1223" localSheetId="1">紅綠燈!#REF!</definedName>
    <definedName name="外部資料_1225" localSheetId="1">紅綠燈!#REF!</definedName>
    <definedName name="外部資料_1226" localSheetId="1">紅綠燈!#REF!</definedName>
    <definedName name="外部資料_1227" localSheetId="1">紅綠燈!#REF!</definedName>
    <definedName name="外部資料_1229" localSheetId="1">紅綠燈!#REF!</definedName>
    <definedName name="外部資料_123" localSheetId="16">PKA!#REF!</definedName>
    <definedName name="外部資料_123" localSheetId="17">PKB!#REF!</definedName>
    <definedName name="外部資料_123" localSheetId="18">PKC!#REF!</definedName>
    <definedName name="外部資料_123" localSheetId="9">PSR!#REF!</definedName>
    <definedName name="外部資料_123" localSheetId="4">公司債!#REF!</definedName>
    <definedName name="外部資料_123" localSheetId="14">評比系統!$T$1:$T$3</definedName>
    <definedName name="外部資料_123" localSheetId="7">營收搶先報!#REF!</definedName>
    <definedName name="外部資料_1230" localSheetId="1">紅綠燈!#REF!</definedName>
    <definedName name="外部資料_1231" localSheetId="1">紅綠燈!#REF!</definedName>
    <definedName name="外部資料_1233" localSheetId="1">紅綠燈!#REF!</definedName>
    <definedName name="外部資料_1234" localSheetId="1">紅綠燈!#REF!</definedName>
    <definedName name="外部資料_1235" localSheetId="1">紅綠燈!#REF!</definedName>
    <definedName name="外部資料_1237" localSheetId="1">紅綠燈!#REF!</definedName>
    <definedName name="外部資料_1238" localSheetId="1">紅綠燈!#REF!</definedName>
    <definedName name="外部資料_1239" localSheetId="1">紅綠燈!#REF!</definedName>
    <definedName name="外部資料_124" localSheetId="16">PKA!#REF!</definedName>
    <definedName name="外部資料_124" localSheetId="17">PKB!#REF!</definedName>
    <definedName name="外部資料_124" localSheetId="18">PKC!#REF!</definedName>
    <definedName name="外部資料_124" localSheetId="9">PSR!#REF!</definedName>
    <definedName name="外部資料_124" localSheetId="4">公司債!#REF!</definedName>
    <definedName name="外部資料_124" localSheetId="14">評比系統!$T$1:$T$3</definedName>
    <definedName name="外部資料_124" localSheetId="7">營收搶先報!#REF!</definedName>
    <definedName name="外部資料_1241" localSheetId="1">紅綠燈!#REF!</definedName>
    <definedName name="外部資料_1242" localSheetId="1">紅綠燈!#REF!</definedName>
    <definedName name="外部資料_1243" localSheetId="1">紅綠燈!#REF!</definedName>
    <definedName name="外部資料_1245" localSheetId="1">紅綠燈!#REF!</definedName>
    <definedName name="外部資料_1246" localSheetId="1">紅綠燈!#REF!</definedName>
    <definedName name="外部資料_1247" localSheetId="1">紅綠燈!#REF!</definedName>
    <definedName name="外部資料_1249" localSheetId="1">紅綠燈!#REF!</definedName>
    <definedName name="外部資料_125" localSheetId="16">PKA!#REF!</definedName>
    <definedName name="外部資料_125" localSheetId="17">PKB!#REF!</definedName>
    <definedName name="外部資料_125" localSheetId="18">PKC!#REF!</definedName>
    <definedName name="外部資料_125" localSheetId="9">PSR!#REF!</definedName>
    <definedName name="外部資料_125" localSheetId="4">公司債!#REF!</definedName>
    <definedName name="外部資料_125" localSheetId="14">評比系統!$T$1:$T$3</definedName>
    <definedName name="外部資料_125" localSheetId="7">營收搶先報!#REF!</definedName>
    <definedName name="外部資料_1250" localSheetId="1">紅綠燈!#REF!</definedName>
    <definedName name="外部資料_1251" localSheetId="1">紅綠燈!#REF!</definedName>
    <definedName name="外部資料_1253" localSheetId="1">紅綠燈!#REF!</definedName>
    <definedName name="外部資料_1254" localSheetId="1">紅綠燈!#REF!</definedName>
    <definedName name="外部資料_1255" localSheetId="1">紅綠燈!#REF!</definedName>
    <definedName name="外部資料_1257" localSheetId="1">紅綠燈!#REF!</definedName>
    <definedName name="外部資料_1258" localSheetId="1">紅綠燈!#REF!</definedName>
    <definedName name="外部資料_1259" localSheetId="1">紅綠燈!#REF!</definedName>
    <definedName name="外部資料_126" localSheetId="16">PKA!#REF!</definedName>
    <definedName name="外部資料_126" localSheetId="17">PKB!#REF!</definedName>
    <definedName name="外部資料_126" localSheetId="18">PKC!#REF!</definedName>
    <definedName name="外部資料_126" localSheetId="9">PSR!#REF!</definedName>
    <definedName name="外部資料_126" localSheetId="4">公司債!#REF!</definedName>
    <definedName name="外部資料_126" localSheetId="14">評比系統!$T$1:$T$3</definedName>
    <definedName name="外部資料_126" localSheetId="7">營收搶先報!#REF!</definedName>
    <definedName name="外部資料_1261" localSheetId="1">紅綠燈!#REF!</definedName>
    <definedName name="外部資料_1262" localSheetId="1">紅綠燈!#REF!</definedName>
    <definedName name="外部資料_1263" localSheetId="1">紅綠燈!#REF!</definedName>
    <definedName name="外部資料_1265" localSheetId="1">紅綠燈!#REF!</definedName>
    <definedName name="外部資料_1266" localSheetId="1">紅綠燈!#REF!</definedName>
    <definedName name="外部資料_1267" localSheetId="1">紅綠燈!#REF!</definedName>
    <definedName name="外部資料_1269" localSheetId="1">紅綠燈!#REF!</definedName>
    <definedName name="外部資料_127" localSheetId="16">PKA!#REF!</definedName>
    <definedName name="外部資料_127" localSheetId="17">PKB!#REF!</definedName>
    <definedName name="外部資料_127" localSheetId="18">PKC!#REF!</definedName>
    <definedName name="外部資料_127" localSheetId="9">PSR!#REF!</definedName>
    <definedName name="外部資料_127" localSheetId="4">公司債!#REF!</definedName>
    <definedName name="外部資料_127" localSheetId="14">評比系統!$T$1:$T$3</definedName>
    <definedName name="外部資料_127" localSheetId="7">營收搶先報!#REF!</definedName>
    <definedName name="外部資料_1270" localSheetId="1">紅綠燈!#REF!</definedName>
    <definedName name="外部資料_1271" localSheetId="1">紅綠燈!#REF!</definedName>
    <definedName name="外部資料_1273" localSheetId="1">紅綠燈!#REF!</definedName>
    <definedName name="外部資料_1274" localSheetId="1">紅綠燈!#REF!</definedName>
    <definedName name="外部資料_1275" localSheetId="1">紅綠燈!#REF!</definedName>
    <definedName name="外部資料_1277" localSheetId="1">紅綠燈!#REF!</definedName>
    <definedName name="外部資料_1278" localSheetId="1">紅綠燈!#REF!</definedName>
    <definedName name="外部資料_1279" localSheetId="1">紅綠燈!#REF!</definedName>
    <definedName name="外部資料_128" localSheetId="16">PKA!#REF!</definedName>
    <definedName name="外部資料_128" localSheetId="17">PKB!#REF!</definedName>
    <definedName name="外部資料_128" localSheetId="18">PKC!#REF!</definedName>
    <definedName name="外部資料_128" localSheetId="9">PSR!#REF!</definedName>
    <definedName name="外部資料_128" localSheetId="4">公司債!#REF!</definedName>
    <definedName name="外部資料_128" localSheetId="14">評比系統!$T$1:$T$3</definedName>
    <definedName name="外部資料_128" localSheetId="7">營收搶先報!#REF!</definedName>
    <definedName name="外部資料_1281" localSheetId="1">紅綠燈!#REF!</definedName>
    <definedName name="外部資料_1282" localSheetId="1">紅綠燈!#REF!</definedName>
    <definedName name="外部資料_1283" localSheetId="1">紅綠燈!#REF!</definedName>
    <definedName name="外部資料_1285" localSheetId="1">紅綠燈!#REF!</definedName>
    <definedName name="外部資料_1286" localSheetId="1">紅綠燈!#REF!</definedName>
    <definedName name="外部資料_1287" localSheetId="1">紅綠燈!#REF!</definedName>
    <definedName name="外部資料_1289" localSheetId="1">紅綠燈!#REF!</definedName>
    <definedName name="外部資料_129" localSheetId="16">PKA!#REF!</definedName>
    <definedName name="外部資料_129" localSheetId="17">PKB!#REF!</definedName>
    <definedName name="外部資料_129" localSheetId="18">PKC!#REF!</definedName>
    <definedName name="外部資料_129" localSheetId="9">PSR!#REF!</definedName>
    <definedName name="外部資料_129" localSheetId="4">公司債!#REF!</definedName>
    <definedName name="外部資料_129" localSheetId="14">評比系統!$T$1:$T$3</definedName>
    <definedName name="外部資料_129" localSheetId="7">營收搶先報!#REF!</definedName>
    <definedName name="外部資料_1290" localSheetId="1">紅綠燈!#REF!</definedName>
    <definedName name="外部資料_1291" localSheetId="1">紅綠燈!#REF!</definedName>
    <definedName name="外部資料_1293" localSheetId="1">紅綠燈!#REF!</definedName>
    <definedName name="外部資料_1294" localSheetId="1">紅綠燈!#REF!</definedName>
    <definedName name="外部資料_1295" localSheetId="1">紅綠燈!#REF!</definedName>
    <definedName name="外部資料_1297" localSheetId="1">紅綠燈!#REF!</definedName>
    <definedName name="外部資料_1298" localSheetId="1">紅綠燈!#REF!</definedName>
    <definedName name="外部資料_1299" localSheetId="1">紅綠燈!#REF!</definedName>
    <definedName name="外部資料_13" localSheetId="16">PKA!#REF!</definedName>
    <definedName name="外部資料_13" localSheetId="17">PKB!#REF!</definedName>
    <definedName name="外部資料_13" localSheetId="18">PKC!#REF!</definedName>
    <definedName name="外部資料_13" localSheetId="9">PSR!#REF!</definedName>
    <definedName name="外部資料_13" localSheetId="4">公司債!#REF!</definedName>
    <definedName name="外部資料_13" localSheetId="1">紅綠燈!#REF!</definedName>
    <definedName name="外部資料_13" localSheetId="14">評比系統!#REF!</definedName>
    <definedName name="外部資料_13" localSheetId="5">篩股系統!#REF!</definedName>
    <definedName name="外部資料_13" localSheetId="7">營收搶先報!#REF!</definedName>
    <definedName name="外部資料_130" localSheetId="16">PKA!#REF!</definedName>
    <definedName name="外部資料_130" localSheetId="17">PKB!#REF!</definedName>
    <definedName name="外部資料_130" localSheetId="18">PKC!#REF!</definedName>
    <definedName name="外部資料_130" localSheetId="9">PSR!#REF!</definedName>
    <definedName name="外部資料_130" localSheetId="4">公司債!#REF!</definedName>
    <definedName name="外部資料_130" localSheetId="14">評比系統!$T$1:$T$3</definedName>
    <definedName name="外部資料_130" localSheetId="7">營收搶先報!#REF!</definedName>
    <definedName name="外部資料_1301" localSheetId="1">紅綠燈!#REF!</definedName>
    <definedName name="外部資料_1302" localSheetId="1">紅綠燈!#REF!</definedName>
    <definedName name="外部資料_1303" localSheetId="1">紅綠燈!#REF!</definedName>
    <definedName name="外部資料_1305" localSheetId="1">紅綠燈!#REF!</definedName>
    <definedName name="外部資料_1306" localSheetId="1">紅綠燈!#REF!</definedName>
    <definedName name="外部資料_1307" localSheetId="1">紅綠燈!#REF!</definedName>
    <definedName name="外部資料_1309" localSheetId="1">紅綠燈!#REF!</definedName>
    <definedName name="外部資料_131" localSheetId="16">PKA!#REF!</definedName>
    <definedName name="外部資料_131" localSheetId="17">PKB!#REF!</definedName>
    <definedName name="外部資料_131" localSheetId="18">PKC!#REF!</definedName>
    <definedName name="外部資料_131" localSheetId="9">PSR!#REF!</definedName>
    <definedName name="外部資料_131" localSheetId="4">公司債!#REF!</definedName>
    <definedName name="外部資料_131" localSheetId="14">評比系統!$T$1:$T$3</definedName>
    <definedName name="外部資料_131" localSheetId="7">營收搶先報!#REF!</definedName>
    <definedName name="外部資料_1310" localSheetId="1">紅綠燈!#REF!</definedName>
    <definedName name="外部資料_1311" localSheetId="1">紅綠燈!#REF!</definedName>
    <definedName name="外部資料_1313" localSheetId="1">紅綠燈!#REF!</definedName>
    <definedName name="外部資料_1314" localSheetId="1">紅綠燈!#REF!</definedName>
    <definedName name="外部資料_1315" localSheetId="1">紅綠燈!#REF!</definedName>
    <definedName name="外部資料_1317" localSheetId="1">紅綠燈!#REF!</definedName>
    <definedName name="外部資料_1318" localSheetId="1">紅綠燈!#REF!</definedName>
    <definedName name="外部資料_1319" localSheetId="1">紅綠燈!#REF!</definedName>
    <definedName name="外部資料_132" localSheetId="16">PKA!#REF!</definedName>
    <definedName name="外部資料_132" localSheetId="17">PKB!#REF!</definedName>
    <definedName name="外部資料_132" localSheetId="18">PKC!#REF!</definedName>
    <definedName name="外部資料_132" localSheetId="9">PSR!#REF!</definedName>
    <definedName name="外部資料_132" localSheetId="4">公司債!#REF!</definedName>
    <definedName name="外部資料_132" localSheetId="14">評比系統!$T$1:$T$3</definedName>
    <definedName name="外部資料_132" localSheetId="7">營收搶先報!#REF!</definedName>
    <definedName name="外部資料_1321" localSheetId="1">紅綠燈!#REF!</definedName>
    <definedName name="外部資料_1322" localSheetId="1">紅綠燈!#REF!</definedName>
    <definedName name="外部資料_1323" localSheetId="1">紅綠燈!#REF!</definedName>
    <definedName name="外部資料_1325" localSheetId="1">紅綠燈!#REF!</definedName>
    <definedName name="外部資料_1326" localSheetId="1">紅綠燈!#REF!</definedName>
    <definedName name="外部資料_1327" localSheetId="1">紅綠燈!#REF!</definedName>
    <definedName name="外部資料_1329" localSheetId="1">紅綠燈!#REF!</definedName>
    <definedName name="外部資料_133" localSheetId="16">PKA!#REF!</definedName>
    <definedName name="外部資料_133" localSheetId="17">PKB!#REF!</definedName>
    <definedName name="外部資料_133" localSheetId="18">PKC!#REF!</definedName>
    <definedName name="外部資料_133" localSheetId="9">PSR!#REF!</definedName>
    <definedName name="外部資料_133" localSheetId="4">公司債!#REF!</definedName>
    <definedName name="外部資料_133" localSheetId="14">評比系統!$T$1:$T$3</definedName>
    <definedName name="外部資料_133" localSheetId="7">營收搶先報!#REF!</definedName>
    <definedName name="外部資料_1330" localSheetId="1">紅綠燈!#REF!</definedName>
    <definedName name="外部資料_1332" localSheetId="1">紅綠燈!#REF!</definedName>
    <definedName name="外部資料_1333" localSheetId="1">紅綠燈!#REF!</definedName>
    <definedName name="外部資料_1334" localSheetId="1">紅綠燈!#REF!</definedName>
    <definedName name="外部資料_1336" localSheetId="1">紅綠燈!#REF!</definedName>
    <definedName name="外部資料_1337" localSheetId="1">紅綠燈!#REF!</definedName>
    <definedName name="外部資料_1338" localSheetId="1">紅綠燈!#REF!</definedName>
    <definedName name="外部資料_134" localSheetId="16">PKA!#REF!</definedName>
    <definedName name="外部資料_134" localSheetId="17">PKB!#REF!</definedName>
    <definedName name="外部資料_134" localSheetId="18">PKC!#REF!</definedName>
    <definedName name="外部資料_134" localSheetId="9">PSR!#REF!</definedName>
    <definedName name="外部資料_134" localSheetId="4">公司債!#REF!</definedName>
    <definedName name="外部資料_134" localSheetId="14">評比系統!$T$1:$T$3</definedName>
    <definedName name="外部資料_134" localSheetId="7">營收搶先報!#REF!</definedName>
    <definedName name="外部資料_1340" localSheetId="1">紅綠燈!#REF!</definedName>
    <definedName name="外部資料_1341" localSheetId="1">紅綠燈!#REF!</definedName>
    <definedName name="外部資料_1342" localSheetId="1">紅綠燈!#REF!</definedName>
    <definedName name="外部資料_1344" localSheetId="1">紅綠燈!#REF!</definedName>
    <definedName name="外部資料_1345" localSheetId="1">紅綠燈!#REF!</definedName>
    <definedName name="外部資料_1346" localSheetId="1">紅綠燈!#REF!</definedName>
    <definedName name="外部資料_1348" localSheetId="1">紅綠燈!#REF!</definedName>
    <definedName name="外部資料_1349" localSheetId="1">紅綠燈!#REF!</definedName>
    <definedName name="外部資料_135" localSheetId="16">PKA!#REF!</definedName>
    <definedName name="外部資料_135" localSheetId="17">PKB!#REF!</definedName>
    <definedName name="外部資料_135" localSheetId="18">PKC!#REF!</definedName>
    <definedName name="外部資料_135" localSheetId="9">PSR!#REF!</definedName>
    <definedName name="外部資料_135" localSheetId="4">公司債!#REF!</definedName>
    <definedName name="外部資料_135" localSheetId="14">評比系統!$T$1:$T$3</definedName>
    <definedName name="外部資料_135" localSheetId="7">營收搶先報!#REF!</definedName>
    <definedName name="外部資料_1350" localSheetId="1">紅綠燈!#REF!</definedName>
    <definedName name="外部資料_1352" localSheetId="1">紅綠燈!#REF!</definedName>
    <definedName name="外部資料_1353" localSheetId="1">紅綠燈!#REF!</definedName>
    <definedName name="外部資料_1354" localSheetId="1">紅綠燈!#REF!</definedName>
    <definedName name="外部資料_1356" localSheetId="1">紅綠燈!#REF!</definedName>
    <definedName name="外部資料_1357" localSheetId="1">紅綠燈!#REF!</definedName>
    <definedName name="外部資料_1358" localSheetId="1">紅綠燈!#REF!</definedName>
    <definedName name="外部資料_136" localSheetId="16">PKA!#REF!</definedName>
    <definedName name="外部資料_136" localSheetId="17">PKB!#REF!</definedName>
    <definedName name="外部資料_136" localSheetId="18">PKC!#REF!</definedName>
    <definedName name="外部資料_136" localSheetId="9">PSR!#REF!</definedName>
    <definedName name="外部資料_136" localSheetId="4">公司債!#REF!</definedName>
    <definedName name="外部資料_136" localSheetId="14">評比系統!$T$1:$T$3</definedName>
    <definedName name="外部資料_136" localSheetId="7">營收搶先報!#REF!</definedName>
    <definedName name="外部資料_1360" localSheetId="1">紅綠燈!#REF!</definedName>
    <definedName name="外部資料_1360" localSheetId="5">篩股系統!$M$2:$Q$18</definedName>
    <definedName name="外部資料_1361" localSheetId="1">紅綠燈!#REF!</definedName>
    <definedName name="外部資料_1362" localSheetId="1">紅綠燈!#REF!</definedName>
    <definedName name="外部資料_1364" localSheetId="1">紅綠燈!#REF!</definedName>
    <definedName name="外部資料_1365" localSheetId="1">紅綠燈!#REF!</definedName>
    <definedName name="外部資料_1366" localSheetId="1">紅綠燈!#REF!</definedName>
    <definedName name="外部資料_1368" localSheetId="1">紅綠燈!#REF!</definedName>
    <definedName name="外部資料_1369" localSheetId="1">紅綠燈!#REF!</definedName>
    <definedName name="外部資料_137" localSheetId="16">PKA!#REF!</definedName>
    <definedName name="外部資料_137" localSheetId="17">PKB!#REF!</definedName>
    <definedName name="外部資料_137" localSheetId="18">PKC!#REF!</definedName>
    <definedName name="外部資料_137" localSheetId="9">PSR!#REF!</definedName>
    <definedName name="外部資料_137" localSheetId="4">公司債!#REF!</definedName>
    <definedName name="外部資料_137" localSheetId="14">評比系統!$T$1:$T$3</definedName>
    <definedName name="外部資料_137" localSheetId="7">營收搶先報!#REF!</definedName>
    <definedName name="外部資料_1371" localSheetId="1">紅綠燈!#REF!</definedName>
    <definedName name="外部資料_1372" localSheetId="1">紅綠燈!#REF!</definedName>
    <definedName name="外部資料_1373" localSheetId="1">紅綠燈!#REF!</definedName>
    <definedName name="外部資料_1375" localSheetId="1">紅綠燈!#REF!</definedName>
    <definedName name="外部資料_1376" localSheetId="1">紅綠燈!#REF!</definedName>
    <definedName name="外部資料_1378" localSheetId="1">紅綠燈!#REF!</definedName>
    <definedName name="外部資料_1379" localSheetId="1">紅綠燈!#REF!</definedName>
    <definedName name="外部資料_138" localSheetId="16">PKA!#REF!</definedName>
    <definedName name="外部資料_138" localSheetId="17">PKB!#REF!</definedName>
    <definedName name="外部資料_138" localSheetId="18">PKC!#REF!</definedName>
    <definedName name="外部資料_138" localSheetId="9">PSR!#REF!</definedName>
    <definedName name="外部資料_138" localSheetId="4">公司債!#REF!</definedName>
    <definedName name="外部資料_138" localSheetId="14">評比系統!$T$1:$T$3</definedName>
    <definedName name="外部資料_138" localSheetId="7">營收搶先報!#REF!</definedName>
    <definedName name="外部資料_1380" localSheetId="1">紅綠燈!#REF!</definedName>
    <definedName name="外部資料_1382" localSheetId="1">紅綠燈!#REF!</definedName>
    <definedName name="外部資料_1383" localSheetId="1">紅綠燈!#REF!</definedName>
    <definedName name="外部資料_1384" localSheetId="1">紅綠燈!#REF!</definedName>
    <definedName name="外部資料_1386" localSheetId="1">紅綠燈!#REF!</definedName>
    <definedName name="外部資料_1387" localSheetId="1">紅綠燈!#REF!</definedName>
    <definedName name="外部資料_1388" localSheetId="1">紅綠燈!#REF!</definedName>
    <definedName name="外部資料_139" localSheetId="16">PKA!#REF!</definedName>
    <definedName name="外部資料_139" localSheetId="17">PKB!#REF!</definedName>
    <definedName name="外部資料_139" localSheetId="18">PKC!#REF!</definedName>
    <definedName name="外部資料_139" localSheetId="9">PSR!#REF!</definedName>
    <definedName name="外部資料_139" localSheetId="4">公司債!#REF!</definedName>
    <definedName name="外部資料_139" localSheetId="14">評比系統!$T$1:$T$3</definedName>
    <definedName name="外部資料_139" localSheetId="7">營收搶先報!#REF!</definedName>
    <definedName name="外部資料_1390" localSheetId="1">紅綠燈!#REF!</definedName>
    <definedName name="外部資料_1391" localSheetId="1">紅綠燈!#REF!</definedName>
    <definedName name="外部資料_1392" localSheetId="1">紅綠燈!#REF!</definedName>
    <definedName name="外部資料_1394" localSheetId="1">紅綠燈!#REF!</definedName>
    <definedName name="外部資料_1395" localSheetId="1">紅綠燈!#REF!</definedName>
    <definedName name="外部資料_1397" localSheetId="1">紅綠燈!#REF!</definedName>
    <definedName name="外部資料_1398" localSheetId="1">紅綠燈!#REF!</definedName>
    <definedName name="外部資料_14" localSheetId="16">PKA!#REF!</definedName>
    <definedName name="外部資料_14" localSheetId="17">PKB!#REF!</definedName>
    <definedName name="外部資料_14" localSheetId="18">PKC!#REF!</definedName>
    <definedName name="外部資料_14" localSheetId="9">PSR!#REF!</definedName>
    <definedName name="外部資料_14" localSheetId="4">公司債!#REF!</definedName>
    <definedName name="外部資料_14" localSheetId="1">紅綠燈!#REF!</definedName>
    <definedName name="外部資料_14" localSheetId="14">評比系統!#REF!</definedName>
    <definedName name="外部資料_14" localSheetId="5">篩股系統!#REF!</definedName>
    <definedName name="外部資料_14" localSheetId="7">營收搶先報!#REF!</definedName>
    <definedName name="外部資料_140" localSheetId="16">PKA!#REF!</definedName>
    <definedName name="外部資料_140" localSheetId="17">PKB!#REF!</definedName>
    <definedName name="外部資料_140" localSheetId="18">PKC!#REF!</definedName>
    <definedName name="外部資料_140" localSheetId="9">PSR!#REF!</definedName>
    <definedName name="外部資料_140" localSheetId="4">公司債!#REF!</definedName>
    <definedName name="外部資料_140" localSheetId="14">評比系統!$T$1:$T$3</definedName>
    <definedName name="外部資料_140" localSheetId="7">營收搶先報!#REF!</definedName>
    <definedName name="外部資料_1400" localSheetId="1">紅綠燈!#REF!</definedName>
    <definedName name="外部資料_1401" localSheetId="1">紅綠燈!#REF!</definedName>
    <definedName name="外部資料_1402" localSheetId="1">紅綠燈!#REF!</definedName>
    <definedName name="外部資料_1404" localSheetId="1">紅綠燈!#REF!</definedName>
    <definedName name="外部資料_1405" localSheetId="1">紅綠燈!#REF!</definedName>
    <definedName name="外部資料_1406" localSheetId="1">紅綠燈!#REF!</definedName>
    <definedName name="外部資料_1408" localSheetId="1">紅綠燈!#REF!</definedName>
    <definedName name="外部資料_1409" localSheetId="1">紅綠燈!#REF!</definedName>
    <definedName name="外部資料_141" localSheetId="16">PKA!#REF!</definedName>
    <definedName name="外部資料_141" localSheetId="17">PKB!#REF!</definedName>
    <definedName name="外部資料_141" localSheetId="18">PKC!#REF!</definedName>
    <definedName name="外部資料_141" localSheetId="9">PSR!#REF!</definedName>
    <definedName name="外部資料_141" localSheetId="4">公司債!#REF!</definedName>
    <definedName name="外部資料_141" localSheetId="14">評比系統!$T$1:$T$3</definedName>
    <definedName name="外部資料_141" localSheetId="7">營收搶先報!#REF!</definedName>
    <definedName name="外部資料_1410" localSheetId="1">紅綠燈!#REF!</definedName>
    <definedName name="外部資料_1412" localSheetId="1">紅綠燈!#REF!</definedName>
    <definedName name="外部資料_1413" localSheetId="1">紅綠燈!#REF!</definedName>
    <definedName name="外部資料_1414" localSheetId="1">紅綠燈!#REF!</definedName>
    <definedName name="外部資料_1416" localSheetId="1">紅綠燈!#REF!</definedName>
    <definedName name="外部資料_1417" localSheetId="1">紅綠燈!#REF!</definedName>
    <definedName name="外部資料_1418" localSheetId="1">紅綠燈!#REF!</definedName>
    <definedName name="外部資料_142" localSheetId="16">PKA!#REF!</definedName>
    <definedName name="外部資料_142" localSheetId="17">PKB!#REF!</definedName>
    <definedName name="外部資料_142" localSheetId="18">PKC!#REF!</definedName>
    <definedName name="外部資料_142" localSheetId="9">PSR!#REF!</definedName>
    <definedName name="外部資料_142" localSheetId="4">公司債!#REF!</definedName>
    <definedName name="外部資料_142" localSheetId="14">評比系統!$T$1:$T$3</definedName>
    <definedName name="外部資料_142" localSheetId="7">營收搶先報!#REF!</definedName>
    <definedName name="外部資料_1420" localSheetId="1">紅綠燈!#REF!</definedName>
    <definedName name="外部資料_1421" localSheetId="1">紅綠燈!#REF!</definedName>
    <definedName name="外部資料_1423" localSheetId="1">紅綠燈!#REF!</definedName>
    <definedName name="外部資料_1424" localSheetId="1">紅綠燈!#REF!</definedName>
    <definedName name="外部資料_1425" localSheetId="1">紅綠燈!#REF!</definedName>
    <definedName name="外部資料_1427" localSheetId="1">紅綠燈!#REF!</definedName>
    <definedName name="外部資料_1428" localSheetId="1">紅綠燈!#REF!</definedName>
    <definedName name="外部資料_1429" localSheetId="1">紅綠燈!#REF!</definedName>
    <definedName name="外部資料_143" localSheetId="16">PKA!#REF!</definedName>
    <definedName name="外部資料_143" localSheetId="17">PKB!#REF!</definedName>
    <definedName name="外部資料_143" localSheetId="18">PKC!#REF!</definedName>
    <definedName name="外部資料_143" localSheetId="9">PSR!#REF!</definedName>
    <definedName name="外部資料_143" localSheetId="4">公司債!#REF!</definedName>
    <definedName name="外部資料_143" localSheetId="14">評比系統!$T$1:$T$3</definedName>
    <definedName name="外部資料_143" localSheetId="7">營收搶先報!#REF!</definedName>
    <definedName name="外部資料_1431" localSheetId="1">紅綠燈!#REF!</definedName>
    <definedName name="外部資料_1432" localSheetId="1">紅綠燈!#REF!</definedName>
    <definedName name="外部資料_1433" localSheetId="1">紅綠燈!#REF!</definedName>
    <definedName name="外部資料_1435" localSheetId="1">紅綠燈!#REF!</definedName>
    <definedName name="外部資料_1436" localSheetId="1">紅綠燈!#REF!</definedName>
    <definedName name="外部資料_1437" localSheetId="1">紅綠燈!#REF!</definedName>
    <definedName name="外部資料_1439" localSheetId="1">紅綠燈!#REF!</definedName>
    <definedName name="外部資料_144" localSheetId="16">PKA!#REF!</definedName>
    <definedName name="外部資料_144" localSheetId="17">PKB!#REF!</definedName>
    <definedName name="外部資料_144" localSheetId="18">PKC!#REF!</definedName>
    <definedName name="外部資料_144" localSheetId="9">PSR!#REF!</definedName>
    <definedName name="外部資料_144" localSheetId="4">公司債!#REF!</definedName>
    <definedName name="外部資料_144" localSheetId="14">評比系統!$T$1:$T$3</definedName>
    <definedName name="外部資料_144" localSheetId="7">營收搶先報!#REF!</definedName>
    <definedName name="外部資料_1440" localSheetId="1">紅綠燈!#REF!</definedName>
    <definedName name="外部資料_1441" localSheetId="1">紅綠燈!#REF!</definedName>
    <definedName name="外部資料_1443" localSheetId="1">紅綠燈!#REF!</definedName>
    <definedName name="外部資料_1444" localSheetId="1">紅綠燈!#REF!</definedName>
    <definedName name="外部資料_1445" localSheetId="1">紅綠燈!#REF!</definedName>
    <definedName name="外部資料_1447" localSheetId="1">紅綠燈!#REF!</definedName>
    <definedName name="外部資料_1448" localSheetId="1">紅綠燈!#REF!</definedName>
    <definedName name="外部資料_1449" localSheetId="1">紅綠燈!#REF!</definedName>
    <definedName name="外部資料_145" localSheetId="16">PKA!#REF!</definedName>
    <definedName name="外部資料_145" localSheetId="17">PKB!#REF!</definedName>
    <definedName name="外部資料_145" localSheetId="18">PKC!#REF!</definedName>
    <definedName name="外部資料_145" localSheetId="9">PSR!#REF!</definedName>
    <definedName name="外部資料_145" localSheetId="4">公司債!#REF!</definedName>
    <definedName name="外部資料_145" localSheetId="14">評比系統!$T$1:$T$3</definedName>
    <definedName name="外部資料_145" localSheetId="7">營收搶先報!#REF!</definedName>
    <definedName name="外部資料_1451" localSheetId="1">紅綠燈!#REF!</definedName>
    <definedName name="外部資料_1452" localSheetId="1">紅綠燈!#REF!</definedName>
    <definedName name="外部資料_1453" localSheetId="1">紅綠燈!#REF!</definedName>
    <definedName name="外部資料_1455" localSheetId="1">紅綠燈!#REF!</definedName>
    <definedName name="外部資料_1456" localSheetId="1">紅綠燈!#REF!</definedName>
    <definedName name="外部資料_1457" localSheetId="1">紅綠燈!#REF!</definedName>
    <definedName name="外部資料_1459" localSheetId="1">紅綠燈!#REF!</definedName>
    <definedName name="外部資料_146" localSheetId="16">PKA!#REF!</definedName>
    <definedName name="外部資料_146" localSheetId="17">PKB!#REF!</definedName>
    <definedName name="外部資料_146" localSheetId="18">PKC!#REF!</definedName>
    <definedName name="外部資料_146" localSheetId="9">PSR!#REF!</definedName>
    <definedName name="外部資料_146" localSheetId="4">公司債!#REF!</definedName>
    <definedName name="外部資料_146" localSheetId="14">評比系統!$T$1:$T$3</definedName>
    <definedName name="外部資料_146" localSheetId="7">營收搶先報!#REF!</definedName>
    <definedName name="外部資料_1460" localSheetId="1">紅綠燈!#REF!</definedName>
    <definedName name="外部資料_1461" localSheetId="1">紅綠燈!#REF!</definedName>
    <definedName name="外部資料_1463" localSheetId="1">紅綠燈!#REF!</definedName>
    <definedName name="外部資料_1464" localSheetId="1">紅綠燈!#REF!</definedName>
    <definedName name="外部資料_1465" localSheetId="1">紅綠燈!#REF!</definedName>
    <definedName name="外部資料_1467" localSheetId="1">紅綠燈!#REF!</definedName>
    <definedName name="外部資料_1468" localSheetId="1">紅綠燈!#REF!</definedName>
    <definedName name="外部資料_1469" localSheetId="1">紅綠燈!#REF!</definedName>
    <definedName name="外部資料_147" localSheetId="16">PKA!#REF!</definedName>
    <definedName name="外部資料_147" localSheetId="17">PKB!#REF!</definedName>
    <definedName name="外部資料_147" localSheetId="18">PKC!#REF!</definedName>
    <definedName name="外部資料_147" localSheetId="9">PSR!#REF!</definedName>
    <definedName name="外部資料_147" localSheetId="4">公司債!#REF!</definedName>
    <definedName name="外部資料_147" localSheetId="14">評比系統!$T$1:$T$3</definedName>
    <definedName name="外部資料_147" localSheetId="7">營收搶先報!#REF!</definedName>
    <definedName name="外部資料_1471" localSheetId="1">紅綠燈!#REF!</definedName>
    <definedName name="外部資料_1472" localSheetId="1">紅綠燈!#REF!</definedName>
    <definedName name="外部資料_1473" localSheetId="1">紅綠燈!#REF!</definedName>
    <definedName name="外部資料_1475" localSheetId="1">紅綠燈!#REF!</definedName>
    <definedName name="外部資料_1476" localSheetId="1">紅綠燈!#REF!</definedName>
    <definedName name="外部資料_1478" localSheetId="1">紅綠燈!#REF!</definedName>
    <definedName name="外部資料_1479" localSheetId="1">紅綠燈!#REF!</definedName>
    <definedName name="外部資料_148" localSheetId="16">PKA!#REF!</definedName>
    <definedName name="外部資料_148" localSheetId="17">PKB!#REF!</definedName>
    <definedName name="外部資料_148" localSheetId="18">PKC!#REF!</definedName>
    <definedName name="外部資料_148" localSheetId="9">PSR!#REF!</definedName>
    <definedName name="外部資料_148" localSheetId="4">公司債!#REF!</definedName>
    <definedName name="外部資料_148" localSheetId="14">評比系統!$T$1:$T$3</definedName>
    <definedName name="外部資料_148" localSheetId="7">營收搶先報!#REF!</definedName>
    <definedName name="外部資料_1480" localSheetId="1">紅綠燈!#REF!</definedName>
    <definedName name="外部資料_1482" localSheetId="1">紅綠燈!#REF!</definedName>
    <definedName name="外部資料_1483" localSheetId="1">紅綠燈!#REF!</definedName>
    <definedName name="外部資料_1484" localSheetId="1">紅綠燈!#REF!</definedName>
    <definedName name="外部資料_1486" localSheetId="1">紅綠燈!#REF!</definedName>
    <definedName name="外部資料_1487" localSheetId="1">紅綠燈!#REF!</definedName>
    <definedName name="外部資料_1489" localSheetId="1">紅綠燈!#REF!</definedName>
    <definedName name="外部資料_149" localSheetId="16">PKA!#REF!</definedName>
    <definedName name="外部資料_149" localSheetId="17">PKB!#REF!</definedName>
    <definedName name="外部資料_149" localSheetId="18">PKC!#REF!</definedName>
    <definedName name="外部資料_149" localSheetId="9">PSR!#REF!</definedName>
    <definedName name="外部資料_149" localSheetId="4">公司債!#REF!</definedName>
    <definedName name="外部資料_149" localSheetId="14">評比系統!$T$1:$T$3</definedName>
    <definedName name="外部資料_149" localSheetId="7">營收搶先報!#REF!</definedName>
    <definedName name="外部資料_1490" localSheetId="1">紅綠燈!#REF!</definedName>
    <definedName name="外部資料_1491" localSheetId="1">紅綠燈!#REF!</definedName>
    <definedName name="外部資料_1493" localSheetId="1">紅綠燈!#REF!</definedName>
    <definedName name="外部資料_1494" localSheetId="1">紅綠燈!#REF!</definedName>
    <definedName name="外部資料_1495" localSheetId="1">紅綠燈!#REF!</definedName>
    <definedName name="外部資料_1497" localSheetId="1">紅綠燈!#REF!</definedName>
    <definedName name="外部資料_1498" localSheetId="1">紅綠燈!#REF!</definedName>
    <definedName name="外部資料_1499" localSheetId="1">紅綠燈!#REF!</definedName>
    <definedName name="外部資料_15" localSheetId="16">PKA!#REF!</definedName>
    <definedName name="外部資料_15" localSheetId="17">PKB!#REF!</definedName>
    <definedName name="外部資料_15" localSheetId="18">PKC!#REF!</definedName>
    <definedName name="外部資料_15" localSheetId="9">PSR!#REF!</definedName>
    <definedName name="外部資料_15" localSheetId="4">公司債!#REF!</definedName>
    <definedName name="外部資料_15" localSheetId="14">評比系統!#REF!</definedName>
    <definedName name="外部資料_15" localSheetId="5">篩股系統!#REF!</definedName>
    <definedName name="外部資料_15" localSheetId="7">營收搶先報!#REF!</definedName>
    <definedName name="外部資料_150" localSheetId="16">PKA!#REF!</definedName>
    <definedName name="外部資料_150" localSheetId="17">PKB!#REF!</definedName>
    <definedName name="外部資料_150" localSheetId="18">PKC!#REF!</definedName>
    <definedName name="外部資料_150" localSheetId="9">PSR!#REF!</definedName>
    <definedName name="外部資料_150" localSheetId="4">公司債!#REF!</definedName>
    <definedName name="外部資料_150" localSheetId="14">評比系統!$T$1:$T$3</definedName>
    <definedName name="外部資料_150" localSheetId="7">營收搶先報!#REF!</definedName>
    <definedName name="外部資料_1501" localSheetId="1">紅綠燈!#REF!</definedName>
    <definedName name="外部資料_1502" localSheetId="1">紅綠燈!#REF!</definedName>
    <definedName name="外部資料_1504" localSheetId="1">紅綠燈!#REF!</definedName>
    <definedName name="外部資料_1505" localSheetId="1">紅綠燈!#REF!</definedName>
    <definedName name="外部資料_1506" localSheetId="1">紅綠燈!#REF!</definedName>
    <definedName name="外部資料_1508" localSheetId="1">紅綠燈!#REF!</definedName>
    <definedName name="外部資料_1509" localSheetId="1">紅綠燈!#REF!</definedName>
    <definedName name="外部資料_151" localSheetId="16">PKA!#REF!</definedName>
    <definedName name="外部資料_151" localSheetId="17">PKB!#REF!</definedName>
    <definedName name="外部資料_151" localSheetId="18">PKC!#REF!</definedName>
    <definedName name="外部資料_151" localSheetId="9">PSR!#REF!</definedName>
    <definedName name="外部資料_151" localSheetId="4">公司債!#REF!</definedName>
    <definedName name="外部資料_151" localSheetId="14">評比系統!$T$1:$T$3</definedName>
    <definedName name="外部資料_151" localSheetId="7">營收搶先報!#REF!</definedName>
    <definedName name="外部資料_1510" localSheetId="1">紅綠燈!#REF!</definedName>
    <definedName name="外部資料_1512" localSheetId="1">紅綠燈!#REF!</definedName>
    <definedName name="外部資料_1513" localSheetId="1">紅綠燈!#REF!</definedName>
    <definedName name="外部資料_1514" localSheetId="1">紅綠燈!#REF!</definedName>
    <definedName name="外部資料_1516" localSheetId="1">紅綠燈!#REF!</definedName>
    <definedName name="外部資料_1517" localSheetId="1">紅綠燈!#REF!</definedName>
    <definedName name="外部資料_1518" localSheetId="1">紅綠燈!#REF!</definedName>
    <definedName name="外部資料_152" localSheetId="16">PKA!#REF!</definedName>
    <definedName name="外部資料_152" localSheetId="17">PKB!#REF!</definedName>
    <definedName name="外部資料_152" localSheetId="18">PKC!#REF!</definedName>
    <definedName name="外部資料_152" localSheetId="9">PSR!#REF!</definedName>
    <definedName name="外部資料_152" localSheetId="4">公司債!#REF!</definedName>
    <definedName name="外部資料_152" localSheetId="14">評比系統!$T$1:$T$3</definedName>
    <definedName name="外部資料_152" localSheetId="7">營收搶先報!#REF!</definedName>
    <definedName name="外部資料_1520" localSheetId="1">紅綠燈!#REF!</definedName>
    <definedName name="外部資料_1521" localSheetId="1">紅綠燈!#REF!</definedName>
    <definedName name="外部資料_1522" localSheetId="1">紅綠燈!#REF!</definedName>
    <definedName name="外部資料_1524" localSheetId="1">紅綠燈!#REF!</definedName>
    <definedName name="外部資料_1525" localSheetId="1">紅綠燈!#REF!</definedName>
    <definedName name="外部資料_1526" localSheetId="1">紅綠燈!#REF!</definedName>
    <definedName name="外部資料_1528" localSheetId="1">紅綠燈!#REF!</definedName>
    <definedName name="外部資料_1529" localSheetId="1">紅綠燈!#REF!</definedName>
    <definedName name="外部資料_153" localSheetId="16">PKA!#REF!</definedName>
    <definedName name="外部資料_153" localSheetId="17">PKB!#REF!</definedName>
    <definedName name="外部資料_153" localSheetId="18">PKC!#REF!</definedName>
    <definedName name="外部資料_153" localSheetId="9">PSR!#REF!</definedName>
    <definedName name="外部資料_153" localSheetId="4">公司債!#REF!</definedName>
    <definedName name="外部資料_153" localSheetId="14">評比系統!$T$1:$T$3</definedName>
    <definedName name="外部資料_153" localSheetId="7">營收搶先報!#REF!</definedName>
    <definedName name="外部資料_1530" localSheetId="1">紅綠燈!#REF!</definedName>
    <definedName name="外部資料_1532" localSheetId="1">紅綠燈!#REF!</definedName>
    <definedName name="外部資料_1533" localSheetId="1">紅綠燈!#REF!</definedName>
    <definedName name="外部資料_1534" localSheetId="1">紅綠燈!#REF!</definedName>
    <definedName name="外部資料_1536" localSheetId="1">紅綠燈!#REF!</definedName>
    <definedName name="外部資料_1537" localSheetId="1">紅綠燈!#REF!</definedName>
    <definedName name="外部資料_1538" localSheetId="1">紅綠燈!#REF!</definedName>
    <definedName name="外部資料_154" localSheetId="16">PKA!#REF!</definedName>
    <definedName name="外部資料_154" localSheetId="17">PKB!#REF!</definedName>
    <definedName name="外部資料_154" localSheetId="18">PKC!#REF!</definedName>
    <definedName name="外部資料_154" localSheetId="9">PSR!#REF!</definedName>
    <definedName name="外部資料_154" localSheetId="4">公司債!#REF!</definedName>
    <definedName name="外部資料_154" localSheetId="14">評比系統!$T$1:$T$3</definedName>
    <definedName name="外部資料_154" localSheetId="7">營收搶先報!#REF!</definedName>
    <definedName name="外部資料_1540" localSheetId="1">紅綠燈!#REF!</definedName>
    <definedName name="外部資料_1541" localSheetId="1">紅綠燈!#REF!</definedName>
    <definedName name="外部資料_1542" localSheetId="1">紅綠燈!#REF!</definedName>
    <definedName name="外部資料_1544" localSheetId="1">紅綠燈!#REF!</definedName>
    <definedName name="外部資料_1545" localSheetId="1">紅綠燈!#REF!</definedName>
    <definedName name="外部資料_1546" localSheetId="1">紅綠燈!#REF!</definedName>
    <definedName name="外部資料_1548" localSheetId="1">紅綠燈!#REF!</definedName>
    <definedName name="外部資料_1549" localSheetId="1">紅綠燈!#REF!</definedName>
    <definedName name="外部資料_155" localSheetId="16">PKA!#REF!</definedName>
    <definedName name="外部資料_155" localSheetId="17">PKB!#REF!</definedName>
    <definedName name="外部資料_155" localSheetId="18">PKC!#REF!</definedName>
    <definedName name="外部資料_155" localSheetId="9">PSR!#REF!</definedName>
    <definedName name="外部資料_155" localSheetId="4">公司債!#REF!</definedName>
    <definedName name="外部資料_155" localSheetId="1">紅綠燈!#REF!</definedName>
    <definedName name="外部資料_155" localSheetId="14">評比系統!#REF!</definedName>
    <definedName name="外部資料_155" localSheetId="7">營收搶先報!#REF!</definedName>
    <definedName name="外部資料_1550" localSheetId="1">紅綠燈!#REF!</definedName>
    <definedName name="外部資料_1552" localSheetId="1">紅綠燈!#REF!</definedName>
    <definedName name="外部資料_1553" localSheetId="1">紅綠燈!#REF!</definedName>
    <definedName name="外部資料_1554" localSheetId="1">紅綠燈!#REF!</definedName>
    <definedName name="外部資料_1556" localSheetId="1">紅綠燈!#REF!</definedName>
    <definedName name="外部資料_1557" localSheetId="1">紅綠燈!#REF!</definedName>
    <definedName name="外部資料_1558" localSheetId="1">紅綠燈!#REF!</definedName>
    <definedName name="外部資料_156" localSheetId="16">PKA!#REF!</definedName>
    <definedName name="外部資料_156" localSheetId="17">PKB!#REF!</definedName>
    <definedName name="外部資料_156" localSheetId="18">PKC!#REF!</definedName>
    <definedName name="外部資料_156" localSheetId="9">PSR!#REF!</definedName>
    <definedName name="外部資料_156" localSheetId="4">公司債!#REF!</definedName>
    <definedName name="外部資料_156" localSheetId="14">評比系統!$T$1:$T$3</definedName>
    <definedName name="外部資料_156" localSheetId="7">營收搶先報!#REF!</definedName>
    <definedName name="外部資料_1560" localSheetId="1">紅綠燈!#REF!</definedName>
    <definedName name="外部資料_1561" localSheetId="1">紅綠燈!#REF!</definedName>
    <definedName name="外部資料_1562" localSheetId="1">紅綠燈!#REF!</definedName>
    <definedName name="外部資料_1564" localSheetId="1">紅綠燈!#REF!</definedName>
    <definedName name="外部資料_1565" localSheetId="1">紅綠燈!#REF!</definedName>
    <definedName name="外部資料_1566" localSheetId="1">紅綠燈!#REF!</definedName>
    <definedName name="外部資料_1568" localSheetId="1">紅綠燈!#REF!</definedName>
    <definedName name="外部資料_1569" localSheetId="1">紅綠燈!#REF!</definedName>
    <definedName name="外部資料_157" localSheetId="16">PKA!#REF!</definedName>
    <definedName name="外部資料_157" localSheetId="17">PKB!#REF!</definedName>
    <definedName name="外部資料_157" localSheetId="18">PKC!#REF!</definedName>
    <definedName name="外部資料_157" localSheetId="9">PSR!#REF!</definedName>
    <definedName name="外部資料_157" localSheetId="4">公司債!#REF!</definedName>
    <definedName name="外部資料_157" localSheetId="14">評比系統!$T$1:$T$3</definedName>
    <definedName name="外部資料_157" localSheetId="7">營收搶先報!#REF!</definedName>
    <definedName name="外部資料_1570" localSheetId="1">紅綠燈!#REF!</definedName>
    <definedName name="外部資料_1572" localSheetId="1">紅綠燈!#REF!</definedName>
    <definedName name="外部資料_1573" localSheetId="1">紅綠燈!#REF!</definedName>
    <definedName name="外部資料_1574" localSheetId="1">紅綠燈!#REF!</definedName>
    <definedName name="外部資料_1576" localSheetId="1">紅綠燈!#REF!</definedName>
    <definedName name="外部資料_1577" localSheetId="1">紅綠燈!#REF!</definedName>
    <definedName name="外部資料_1578" localSheetId="1">紅綠燈!#REF!</definedName>
    <definedName name="外部資料_158" localSheetId="16">PKA!#REF!</definedName>
    <definedName name="外部資料_158" localSheetId="17">PKB!#REF!</definedName>
    <definedName name="外部資料_158" localSheetId="18">PKC!#REF!</definedName>
    <definedName name="外部資料_158" localSheetId="9">PSR!#REF!</definedName>
    <definedName name="外部資料_158" localSheetId="4">公司債!#REF!</definedName>
    <definedName name="外部資料_158" localSheetId="14">評比系統!$T$1:$T$3</definedName>
    <definedName name="外部資料_158" localSheetId="7">營收搶先報!#REF!</definedName>
    <definedName name="外部資料_1580" localSheetId="1">紅綠燈!#REF!</definedName>
    <definedName name="外部資料_1581" localSheetId="1">紅綠燈!#REF!</definedName>
    <definedName name="外部資料_1582" localSheetId="1">紅綠燈!#REF!</definedName>
    <definedName name="外部資料_1584" localSheetId="1">紅綠燈!#REF!</definedName>
    <definedName name="外部資料_1585" localSheetId="1">紅綠燈!#REF!</definedName>
    <definedName name="外部資料_1586" localSheetId="1">紅綠燈!#REF!</definedName>
    <definedName name="外部資料_1588" localSheetId="1">紅綠燈!#REF!</definedName>
    <definedName name="外部資料_1589" localSheetId="1">紅綠燈!#REF!</definedName>
    <definedName name="外部資料_159" localSheetId="16">PKA!#REF!</definedName>
    <definedName name="外部資料_159" localSheetId="17">PKB!#REF!</definedName>
    <definedName name="外部資料_159" localSheetId="18">PKC!#REF!</definedName>
    <definedName name="外部資料_159" localSheetId="9">PSR!#REF!</definedName>
    <definedName name="外部資料_159" localSheetId="4">公司債!#REF!</definedName>
    <definedName name="外部資料_159" localSheetId="14">評比系統!$T$1:$T$3</definedName>
    <definedName name="外部資料_159" localSheetId="7">營收搶先報!#REF!</definedName>
    <definedName name="外部資料_1590" localSheetId="1">紅綠燈!#REF!</definedName>
    <definedName name="外部資料_1592" localSheetId="1">紅綠燈!#REF!</definedName>
    <definedName name="外部資料_1593" localSheetId="1">紅綠燈!#REF!</definedName>
    <definedName name="外部資料_1594" localSheetId="1">紅綠燈!#REF!</definedName>
    <definedName name="外部資料_1596" localSheetId="1">紅綠燈!#REF!</definedName>
    <definedName name="外部資料_1597" localSheetId="1">紅綠燈!#REF!</definedName>
    <definedName name="外部資料_1598" localSheetId="1">紅綠燈!#REF!</definedName>
    <definedName name="外部資料_16" localSheetId="16">PKA!#REF!</definedName>
    <definedName name="外部資料_16" localSheetId="17">PKB!#REF!</definedName>
    <definedName name="外部資料_16" localSheetId="18">PKC!#REF!</definedName>
    <definedName name="外部資料_16" localSheetId="9">PSR!#REF!</definedName>
    <definedName name="外部資料_16" localSheetId="4">公司債!#REF!</definedName>
    <definedName name="外部資料_16" localSheetId="1">紅綠燈!#REF!</definedName>
    <definedName name="外部資料_16" localSheetId="14">評比系統!#REF!</definedName>
    <definedName name="外部資料_16" localSheetId="5">篩股系統!#REF!</definedName>
    <definedName name="外部資料_16" localSheetId="7">營收搶先報!#REF!</definedName>
    <definedName name="外部資料_160" localSheetId="16">PKA!#REF!</definedName>
    <definedName name="外部資料_160" localSheetId="17">PKB!#REF!</definedName>
    <definedName name="外部資料_160" localSheetId="18">PKC!#REF!</definedName>
    <definedName name="外部資料_160" localSheetId="9">PSR!#REF!</definedName>
    <definedName name="外部資料_160" localSheetId="4">公司債!#REF!</definedName>
    <definedName name="外部資料_160" localSheetId="14">評比系統!$T$1:$T$3</definedName>
    <definedName name="外部資料_160" localSheetId="7">營收搶先報!#REF!</definedName>
    <definedName name="外部資料_1600" localSheetId="1">紅綠燈!#REF!</definedName>
    <definedName name="外部資料_1601" localSheetId="1">紅綠燈!#REF!</definedName>
    <definedName name="外部資料_1602" localSheetId="1">紅綠燈!#REF!</definedName>
    <definedName name="外部資料_1604" localSheetId="1">紅綠燈!#REF!</definedName>
    <definedName name="外部資料_1605" localSheetId="1">紅綠燈!#REF!</definedName>
    <definedName name="外部資料_1606" localSheetId="1">紅綠燈!#REF!</definedName>
    <definedName name="外部資料_1608" localSheetId="1">紅綠燈!#REF!</definedName>
    <definedName name="外部資料_1609" localSheetId="1">紅綠燈!#REF!</definedName>
    <definedName name="外部資料_161" localSheetId="16">PKA!#REF!</definedName>
    <definedName name="外部資料_161" localSheetId="17">PKB!#REF!</definedName>
    <definedName name="外部資料_161" localSheetId="18">PKC!#REF!</definedName>
    <definedName name="外部資料_161" localSheetId="9">PSR!#REF!</definedName>
    <definedName name="外部資料_161" localSheetId="4">公司債!#REF!</definedName>
    <definedName name="外部資料_161" localSheetId="14">評比系統!$T$1:$T$3</definedName>
    <definedName name="外部資料_161" localSheetId="7">營收搶先報!#REF!</definedName>
    <definedName name="外部資料_1610" localSheetId="1">紅綠燈!#REF!</definedName>
    <definedName name="外部資料_1612" localSheetId="1">紅綠燈!#REF!</definedName>
    <definedName name="外部資料_1613" localSheetId="1">紅綠燈!#REF!</definedName>
    <definedName name="外部資料_1614" localSheetId="1">紅綠燈!#REF!</definedName>
    <definedName name="外部資料_1616" localSheetId="1">紅綠燈!#REF!</definedName>
    <definedName name="外部資料_1617" localSheetId="1">紅綠燈!#REF!</definedName>
    <definedName name="外部資料_1618" localSheetId="1">紅綠燈!#REF!</definedName>
    <definedName name="外部資料_162" localSheetId="16">PKA!#REF!</definedName>
    <definedName name="外部資料_162" localSheetId="17">PKB!#REF!</definedName>
    <definedName name="外部資料_162" localSheetId="18">PKC!#REF!</definedName>
    <definedName name="外部資料_162" localSheetId="9">PSR!#REF!</definedName>
    <definedName name="外部資料_162" localSheetId="4">公司債!#REF!</definedName>
    <definedName name="外部資料_162" localSheetId="14">評比系統!$T$1:$T$3</definedName>
    <definedName name="外部資料_162" localSheetId="7">營收搶先報!#REF!</definedName>
    <definedName name="外部資料_1620" localSheetId="1">紅綠燈!#REF!</definedName>
    <definedName name="外部資料_1621" localSheetId="1">紅綠燈!#REF!</definedName>
    <definedName name="外部資料_1622" localSheetId="1">紅綠燈!#REF!</definedName>
    <definedName name="外部資料_1624" localSheetId="1">紅綠燈!#REF!</definedName>
    <definedName name="外部資料_1625" localSheetId="1">紅綠燈!#REF!</definedName>
    <definedName name="外部資料_1626" localSheetId="1">紅綠燈!#REF!</definedName>
    <definedName name="外部資料_1628" localSheetId="1">紅綠燈!#REF!</definedName>
    <definedName name="外部資料_1629" localSheetId="1">紅綠燈!#REF!</definedName>
    <definedName name="外部資料_163" localSheetId="16">PKA!#REF!</definedName>
    <definedName name="外部資料_163" localSheetId="17">PKB!#REF!</definedName>
    <definedName name="外部資料_163" localSheetId="18">PKC!#REF!</definedName>
    <definedName name="外部資料_163" localSheetId="9">PSR!#REF!</definedName>
    <definedName name="外部資料_163" localSheetId="4">公司債!#REF!</definedName>
    <definedName name="外部資料_163" localSheetId="14">評比系統!$T$1:$T$3</definedName>
    <definedName name="外部資料_163" localSheetId="7">營收搶先報!#REF!</definedName>
    <definedName name="外部資料_1630" localSheetId="1">紅綠燈!#REF!</definedName>
    <definedName name="外部資料_1632" localSheetId="1">紅綠燈!#REF!</definedName>
    <definedName name="外部資料_1633" localSheetId="1">紅綠燈!#REF!</definedName>
    <definedName name="外部資料_1634" localSheetId="1">紅綠燈!#REF!</definedName>
    <definedName name="外部資料_1636" localSheetId="1">紅綠燈!#REF!</definedName>
    <definedName name="外部資料_1636" localSheetId="5">篩股系統!$C$8:$G$64</definedName>
    <definedName name="外部資料_1637" localSheetId="1">紅綠燈!#REF!</definedName>
    <definedName name="外部資料_1638" localSheetId="1">紅綠燈!#REF!</definedName>
    <definedName name="外部資料_164" localSheetId="16">PKA!#REF!</definedName>
    <definedName name="外部資料_164" localSheetId="17">PKB!#REF!</definedName>
    <definedName name="外部資料_164" localSheetId="18">PKC!#REF!</definedName>
    <definedName name="外部資料_164" localSheetId="9">PSR!#REF!</definedName>
    <definedName name="外部資料_164" localSheetId="4">公司債!#REF!</definedName>
    <definedName name="外部資料_164" localSheetId="14">評比系統!$T$1:$T$3</definedName>
    <definedName name="外部資料_164" localSheetId="7">營收搶先報!#REF!</definedName>
    <definedName name="外部資料_1640" localSheetId="1">紅綠燈!#REF!</definedName>
    <definedName name="外部資料_1641" localSheetId="1">紅綠燈!#REF!</definedName>
    <definedName name="外部資料_1642" localSheetId="1">紅綠燈!#REF!</definedName>
    <definedName name="外部資料_1644" localSheetId="1">紅綠燈!#REF!</definedName>
    <definedName name="外部資料_1645" localSheetId="1">紅綠燈!#REF!</definedName>
    <definedName name="外部資料_1646" localSheetId="1">紅綠燈!#REF!</definedName>
    <definedName name="外部資料_1648" localSheetId="1">紅綠燈!#REF!</definedName>
    <definedName name="外部資料_1649" localSheetId="1">紅綠燈!#REF!</definedName>
    <definedName name="外部資料_165" localSheetId="16">PKA!#REF!</definedName>
    <definedName name="外部資料_165" localSheetId="17">PKB!#REF!</definedName>
    <definedName name="外部資料_165" localSheetId="18">PKC!#REF!</definedName>
    <definedName name="外部資料_165" localSheetId="9">PSR!#REF!</definedName>
    <definedName name="外部資料_165" localSheetId="4">公司債!#REF!</definedName>
    <definedName name="外部資料_165" localSheetId="14">評比系統!$T$1:$T$3</definedName>
    <definedName name="外部資料_165" localSheetId="7">營收搶先報!#REF!</definedName>
    <definedName name="外部資料_1650" localSheetId="1">紅綠燈!#REF!</definedName>
    <definedName name="外部資料_1652" localSheetId="1">紅綠燈!#REF!</definedName>
    <definedName name="外部資料_1653" localSheetId="1">紅綠燈!#REF!</definedName>
    <definedName name="外部資料_1654" localSheetId="1">紅綠燈!#REF!</definedName>
    <definedName name="外部資料_1656" localSheetId="1">紅綠燈!#REF!</definedName>
    <definedName name="外部資料_1657" localSheetId="1">紅綠燈!#REF!</definedName>
    <definedName name="外部資料_1658" localSheetId="1">紅綠燈!#REF!</definedName>
    <definedName name="外部資料_166" localSheetId="16">PKA!#REF!</definedName>
    <definedName name="外部資料_166" localSheetId="17">PKB!#REF!</definedName>
    <definedName name="外部資料_166" localSheetId="18">PKC!#REF!</definedName>
    <definedName name="外部資料_166" localSheetId="9">PSR!#REF!</definedName>
    <definedName name="外部資料_166" localSheetId="4">公司債!#REF!</definedName>
    <definedName name="外部資料_166" localSheetId="14">評比系統!$T$1:$T$3</definedName>
    <definedName name="外部資料_166" localSheetId="7">營收搶先報!#REF!</definedName>
    <definedName name="外部資料_1660" localSheetId="1">紅綠燈!#REF!</definedName>
    <definedName name="外部資料_1661" localSheetId="1">紅綠燈!#REF!</definedName>
    <definedName name="外部資料_1661" localSheetId="5">篩股系統!$C$8:$G$61</definedName>
    <definedName name="外部資料_1662" localSheetId="1">紅綠燈!#REF!</definedName>
    <definedName name="外部資料_1664" localSheetId="1">紅綠燈!#REF!</definedName>
    <definedName name="外部資料_1665" localSheetId="1">紅綠燈!#REF!</definedName>
    <definedName name="外部資料_1666" localSheetId="1">紅綠燈!#REF!</definedName>
    <definedName name="外部資料_1668" localSheetId="1">紅綠燈!#REF!</definedName>
    <definedName name="外部資料_1669" localSheetId="1">紅綠燈!#REF!</definedName>
    <definedName name="外部資料_167" localSheetId="16">PKA!#REF!</definedName>
    <definedName name="外部資料_167" localSheetId="17">PKB!#REF!</definedName>
    <definedName name="外部資料_167" localSheetId="18">PKC!#REF!</definedName>
    <definedName name="外部資料_167" localSheetId="9">PSR!#REF!</definedName>
    <definedName name="外部資料_167" localSheetId="4">公司債!#REF!</definedName>
    <definedName name="外部資料_167" localSheetId="14">評比系統!$T$1:$T$3</definedName>
    <definedName name="外部資料_167" localSheetId="7">營收搶先報!#REF!</definedName>
    <definedName name="外部資料_1670" localSheetId="1">紅綠燈!#REF!</definedName>
    <definedName name="外部資料_1672" localSheetId="1">紅綠燈!#REF!</definedName>
    <definedName name="外部資料_1673" localSheetId="1">紅綠燈!#REF!</definedName>
    <definedName name="外部資料_1674" localSheetId="1">紅綠燈!#REF!</definedName>
    <definedName name="外部資料_1676" localSheetId="1">紅綠燈!#REF!</definedName>
    <definedName name="外部資料_1677" localSheetId="1">紅綠燈!#REF!</definedName>
    <definedName name="外部資料_1678" localSheetId="1">紅綠燈!#REF!</definedName>
    <definedName name="外部資料_168" localSheetId="16">PKA!#REF!</definedName>
    <definedName name="外部資料_168" localSheetId="17">PKB!#REF!</definedName>
    <definedName name="外部資料_168" localSheetId="18">PKC!#REF!</definedName>
    <definedName name="外部資料_168" localSheetId="9">PSR!#REF!</definedName>
    <definedName name="外部資料_168" localSheetId="4">公司債!#REF!</definedName>
    <definedName name="外部資料_168" localSheetId="14">評比系統!$T$1:$T$3</definedName>
    <definedName name="外部資料_168" localSheetId="7">營收搶先報!#REF!</definedName>
    <definedName name="外部資料_1680" localSheetId="1">紅綠燈!#REF!</definedName>
    <definedName name="外部資料_1681" localSheetId="1">紅綠燈!#REF!</definedName>
    <definedName name="外部資料_1682" localSheetId="1">紅綠燈!#REF!</definedName>
    <definedName name="外部資料_1684" localSheetId="1">紅綠燈!#REF!</definedName>
    <definedName name="外部資料_1685" localSheetId="1">紅綠燈!#REF!</definedName>
    <definedName name="外部資料_1686" localSheetId="1">紅綠燈!#REF!</definedName>
    <definedName name="外部資料_1688" localSheetId="1">紅綠燈!#REF!</definedName>
    <definedName name="外部資料_1689" localSheetId="1">紅綠燈!#REF!</definedName>
    <definedName name="外部資料_169" localSheetId="16">PKA!#REF!</definedName>
    <definedName name="外部資料_169" localSheetId="17">PKB!#REF!</definedName>
    <definedName name="外部資料_169" localSheetId="18">PKC!#REF!</definedName>
    <definedName name="外部資料_169" localSheetId="9">PSR!#REF!</definedName>
    <definedName name="外部資料_169" localSheetId="4">公司債!#REF!</definedName>
    <definedName name="外部資料_169" localSheetId="14">評比系統!$T$1:$T$3</definedName>
    <definedName name="外部資料_169" localSheetId="7">營收搶先報!#REF!</definedName>
    <definedName name="外部資料_1690" localSheetId="1">紅綠燈!#REF!</definedName>
    <definedName name="外部資料_1692" localSheetId="1">紅綠燈!#REF!</definedName>
    <definedName name="外部資料_1693" localSheetId="1">紅綠燈!#REF!</definedName>
    <definedName name="外部資料_1695" localSheetId="1">紅綠燈!#REF!</definedName>
    <definedName name="外部資料_1696" localSheetId="1">紅綠燈!#REF!</definedName>
    <definedName name="外部資料_1697" localSheetId="1">紅綠燈!#REF!</definedName>
    <definedName name="外部資料_1699" localSheetId="1">紅綠燈!#REF!</definedName>
    <definedName name="外部資料_17" localSheetId="16">PKA!#REF!</definedName>
    <definedName name="外部資料_17" localSheetId="17">PKB!#REF!</definedName>
    <definedName name="外部資料_17" localSheetId="18">PKC!#REF!</definedName>
    <definedName name="外部資料_17" localSheetId="9">PSR!#REF!</definedName>
    <definedName name="外部資料_17" localSheetId="4">公司債!#REF!</definedName>
    <definedName name="外部資料_17" localSheetId="1">紅綠燈!#REF!</definedName>
    <definedName name="外部資料_17" localSheetId="14">評比系統!#REF!</definedName>
    <definedName name="外部資料_17" localSheetId="5">篩股系統!#REF!</definedName>
    <definedName name="外部資料_17" localSheetId="7">營收搶先報!#REF!</definedName>
    <definedName name="外部資料_170" localSheetId="16">PKA!#REF!</definedName>
    <definedName name="外部資料_170" localSheetId="17">PKB!#REF!</definedName>
    <definedName name="外部資料_170" localSheetId="18">PKC!#REF!</definedName>
    <definedName name="外部資料_170" localSheetId="9">PSR!#REF!</definedName>
    <definedName name="外部資料_170" localSheetId="4">公司債!#REF!</definedName>
    <definedName name="外部資料_170" localSheetId="14">評比系統!$T$1:$T$3</definedName>
    <definedName name="外部資料_170" localSheetId="7">營收搶先報!#REF!</definedName>
    <definedName name="外部資料_1700" localSheetId="1">紅綠燈!#REF!</definedName>
    <definedName name="外部資料_1701" localSheetId="1">紅綠燈!#REF!</definedName>
    <definedName name="外部資料_1703" localSheetId="1">紅綠燈!#REF!</definedName>
    <definedName name="外部資料_1704" localSheetId="1">紅綠燈!#REF!</definedName>
    <definedName name="外部資料_1706" localSheetId="1">紅綠燈!#REF!</definedName>
    <definedName name="外部資料_1707" localSheetId="1">紅綠燈!#REF!</definedName>
    <definedName name="外部資料_1708" localSheetId="1">紅綠燈!#REF!</definedName>
    <definedName name="外部資料_171" localSheetId="16">PKA!#REF!</definedName>
    <definedName name="外部資料_171" localSheetId="17">PKB!#REF!</definedName>
    <definedName name="外部資料_171" localSheetId="18">PKC!#REF!</definedName>
    <definedName name="外部資料_171" localSheetId="9">PSR!#REF!</definedName>
    <definedName name="外部資料_171" localSheetId="4">公司債!#REF!</definedName>
    <definedName name="外部資料_171" localSheetId="14">評比系統!$T$1:$T$3</definedName>
    <definedName name="外部資料_171" localSheetId="7">營收搶先報!#REF!</definedName>
    <definedName name="外部資料_1710" localSheetId="1">紅綠燈!#REF!</definedName>
    <definedName name="外部資料_1711" localSheetId="1">紅綠燈!#REF!</definedName>
    <definedName name="外部資料_1712" localSheetId="1">紅綠燈!#REF!</definedName>
    <definedName name="外部資料_1714" localSheetId="1">紅綠燈!#REF!</definedName>
    <definedName name="外部資料_1715" localSheetId="1">紅綠燈!#REF!</definedName>
    <definedName name="外部資料_1716" localSheetId="1">紅綠燈!#REF!</definedName>
    <definedName name="外部資料_1718" localSheetId="1">紅綠燈!#REF!</definedName>
    <definedName name="外部資料_1719" localSheetId="1">紅綠燈!#REF!</definedName>
    <definedName name="外部資料_172" localSheetId="16">PKA!#REF!</definedName>
    <definedName name="外部資料_172" localSheetId="17">PKB!#REF!</definedName>
    <definedName name="外部資料_172" localSheetId="18">PKC!#REF!</definedName>
    <definedName name="外部資料_172" localSheetId="9">PSR!#REF!</definedName>
    <definedName name="外部資料_172" localSheetId="4">公司債!#REF!</definedName>
    <definedName name="外部資料_172" localSheetId="14">評比系統!$T$1:$T$3</definedName>
    <definedName name="外部資料_172" localSheetId="7">營收搶先報!#REF!</definedName>
    <definedName name="外部資料_1720" localSheetId="1">紅綠燈!#REF!</definedName>
    <definedName name="外部資料_1722" localSheetId="1">紅綠燈!#REF!</definedName>
    <definedName name="外部資料_1723" localSheetId="1">紅綠燈!#REF!</definedName>
    <definedName name="外部資料_1724" localSheetId="1">紅綠燈!#REF!</definedName>
    <definedName name="外部資料_1726" localSheetId="1">紅綠燈!#REF!</definedName>
    <definedName name="外部資料_1727" localSheetId="1">紅綠燈!#REF!</definedName>
    <definedName name="外部資料_1729" localSheetId="1">紅綠燈!#REF!</definedName>
    <definedName name="外部資料_173" localSheetId="16">PKA!#REF!</definedName>
    <definedName name="外部資料_173" localSheetId="17">PKB!#REF!</definedName>
    <definedName name="外部資料_173" localSheetId="18">PKC!#REF!</definedName>
    <definedName name="外部資料_173" localSheetId="9">PSR!#REF!</definedName>
    <definedName name="外部資料_173" localSheetId="4">公司債!#REF!</definedName>
    <definedName name="外部資料_173" localSheetId="14">評比系統!$T$1:$T$3</definedName>
    <definedName name="外部資料_173" localSheetId="7">營收搶先報!#REF!</definedName>
    <definedName name="外部資料_1730" localSheetId="1">紅綠燈!#REF!</definedName>
    <definedName name="外部資料_1732" localSheetId="1">紅綠燈!#REF!</definedName>
    <definedName name="外部資料_1733" localSheetId="1">紅綠燈!#REF!</definedName>
    <definedName name="外部資料_1734" localSheetId="1">紅綠燈!#REF!</definedName>
    <definedName name="外部資料_1736" localSheetId="1">紅綠燈!#REF!</definedName>
    <definedName name="外部資料_1737" localSheetId="1">紅綠燈!#REF!</definedName>
    <definedName name="外部資料_1738" localSheetId="1">紅綠燈!#REF!</definedName>
    <definedName name="外部資料_174" localSheetId="16">PKA!#REF!</definedName>
    <definedName name="外部資料_174" localSheetId="17">PKB!#REF!</definedName>
    <definedName name="外部資料_174" localSheetId="18">PKC!#REF!</definedName>
    <definedName name="外部資料_174" localSheetId="9">PSR!#REF!</definedName>
    <definedName name="外部資料_174" localSheetId="4">公司債!#REF!</definedName>
    <definedName name="外部資料_174" localSheetId="14">評比系統!$T$1:$T$3</definedName>
    <definedName name="外部資料_174" localSheetId="7">營收搶先報!#REF!</definedName>
    <definedName name="外部資料_1740" localSheetId="1">紅綠燈!#REF!</definedName>
    <definedName name="外部資料_1741" localSheetId="1">紅綠燈!#REF!</definedName>
    <definedName name="外部資料_1742" localSheetId="1">紅綠燈!#REF!</definedName>
    <definedName name="外部資料_1744" localSheetId="1">紅綠燈!#REF!</definedName>
    <definedName name="外部資料_1745" localSheetId="1">紅綠燈!#REF!</definedName>
    <definedName name="外部資料_1746" localSheetId="1">紅綠燈!#REF!</definedName>
    <definedName name="外部資料_1748" localSheetId="1">紅綠燈!#REF!</definedName>
    <definedName name="外部資料_1749" localSheetId="1">紅綠燈!#REF!</definedName>
    <definedName name="外部資料_175" localSheetId="16">PKA!#REF!</definedName>
    <definedName name="外部資料_175" localSheetId="17">PKB!#REF!</definedName>
    <definedName name="外部資料_175" localSheetId="18">PKC!#REF!</definedName>
    <definedName name="外部資料_175" localSheetId="9">PSR!#REF!</definedName>
    <definedName name="外部資料_175" localSheetId="4">公司債!#REF!</definedName>
    <definedName name="外部資料_175" localSheetId="14">評比系統!$T$1:$T$3</definedName>
    <definedName name="外部資料_175" localSheetId="7">營收搶先報!#REF!</definedName>
    <definedName name="外部資料_1750" localSheetId="1">紅綠燈!#REF!</definedName>
    <definedName name="外部資料_1752" localSheetId="1">紅綠燈!#REF!</definedName>
    <definedName name="外部資料_1753" localSheetId="1">紅綠燈!#REF!</definedName>
    <definedName name="外部資料_1754" localSheetId="1">紅綠燈!#REF!</definedName>
    <definedName name="外部資料_1756" localSheetId="1">紅綠燈!#REF!</definedName>
    <definedName name="外部資料_1757" localSheetId="1">紅綠燈!#REF!</definedName>
    <definedName name="外部資料_1759" localSheetId="1">紅綠燈!#REF!</definedName>
    <definedName name="外部資料_176" localSheetId="16">PKA!#REF!</definedName>
    <definedName name="外部資料_176" localSheetId="17">PKB!#REF!</definedName>
    <definedName name="外部資料_176" localSheetId="18">PKC!#REF!</definedName>
    <definedName name="外部資料_176" localSheetId="9">PSR!#REF!</definedName>
    <definedName name="外部資料_176" localSheetId="4">公司債!#REF!</definedName>
    <definedName name="外部資料_176" localSheetId="14">評比系統!$T$1:$T$3</definedName>
    <definedName name="外部資料_176" localSheetId="7">營收搶先報!#REF!</definedName>
    <definedName name="外部資料_1760" localSheetId="1">紅綠燈!#REF!</definedName>
    <definedName name="外部資料_1761" localSheetId="1">紅綠燈!#REF!</definedName>
    <definedName name="外部資料_1763" localSheetId="1">紅綠燈!#REF!</definedName>
    <definedName name="外部資料_1764" localSheetId="1">紅綠燈!#REF!</definedName>
    <definedName name="外部資料_1765" localSheetId="1">紅綠燈!#REF!</definedName>
    <definedName name="外部資料_1767" localSheetId="1">紅綠燈!#REF!</definedName>
    <definedName name="外部資料_1768" localSheetId="1">紅綠燈!#REF!</definedName>
    <definedName name="外部資料_1769" localSheetId="1">紅綠燈!#REF!</definedName>
    <definedName name="外部資料_177" localSheetId="16">PKA!#REF!</definedName>
    <definedName name="外部資料_177" localSheetId="17">PKB!#REF!</definedName>
    <definedName name="外部資料_177" localSheetId="18">PKC!#REF!</definedName>
    <definedName name="外部資料_177" localSheetId="9">PSR!#REF!</definedName>
    <definedName name="外部資料_177" localSheetId="4">公司債!#REF!</definedName>
    <definedName name="外部資料_177" localSheetId="14">評比系統!$T$1:$T$3</definedName>
    <definedName name="外部資料_177" localSheetId="7">營收搶先報!#REF!</definedName>
    <definedName name="外部資料_1771" localSheetId="1">紅綠燈!#REF!</definedName>
    <definedName name="外部資料_1772" localSheetId="1">紅綠燈!#REF!</definedName>
    <definedName name="外部資料_1773" localSheetId="1">紅綠燈!#REF!</definedName>
    <definedName name="外部資料_1775" localSheetId="1">紅綠燈!#REF!</definedName>
    <definedName name="外部資料_1776" localSheetId="1">紅綠燈!#REF!</definedName>
    <definedName name="外部資料_1777" localSheetId="1">紅綠燈!#REF!</definedName>
    <definedName name="外部資料_1779" localSheetId="1">紅綠燈!#REF!</definedName>
    <definedName name="外部資料_178" localSheetId="16">PKA!#REF!</definedName>
    <definedName name="外部資料_178" localSheetId="17">PKB!#REF!</definedName>
    <definedName name="外部資料_178" localSheetId="18">PKC!#REF!</definedName>
    <definedName name="外部資料_178" localSheetId="9">PSR!#REF!</definedName>
    <definedName name="外部資料_178" localSheetId="4">公司債!#REF!</definedName>
    <definedName name="外部資料_178" localSheetId="14">評比系統!$T$1:$T$3</definedName>
    <definedName name="外部資料_178" localSheetId="7">營收搶先報!#REF!</definedName>
    <definedName name="外部資料_1780" localSheetId="1">紅綠燈!#REF!</definedName>
    <definedName name="外部資料_1781" localSheetId="1">紅綠燈!#REF!</definedName>
    <definedName name="外部資料_1783" localSheetId="1">紅綠燈!#REF!</definedName>
    <definedName name="外部資料_1784" localSheetId="1">紅綠燈!#REF!</definedName>
    <definedName name="外部資料_1785" localSheetId="1">紅綠燈!#REF!</definedName>
    <definedName name="外部資料_1787" localSheetId="1">紅綠燈!#REF!</definedName>
    <definedName name="外部資料_1788" localSheetId="1">紅綠燈!#REF!</definedName>
    <definedName name="外部資料_1789" localSheetId="1">紅綠燈!#REF!</definedName>
    <definedName name="外部資料_179" localSheetId="16">PKA!#REF!</definedName>
    <definedName name="外部資料_179" localSheetId="17">PKB!#REF!</definedName>
    <definedName name="外部資料_179" localSheetId="18">PKC!#REF!</definedName>
    <definedName name="外部資料_179" localSheetId="9">PSR!#REF!</definedName>
    <definedName name="外部資料_179" localSheetId="4">公司債!#REF!</definedName>
    <definedName name="外部資料_179" localSheetId="14">評比系統!$T$1:$T$3</definedName>
    <definedName name="外部資料_179" localSheetId="7">營收搶先報!#REF!</definedName>
    <definedName name="外部資料_1791" localSheetId="1">紅綠燈!#REF!</definedName>
    <definedName name="外部資料_1792" localSheetId="1">紅綠燈!#REF!</definedName>
    <definedName name="外部資料_1793" localSheetId="1">紅綠燈!#REF!</definedName>
    <definedName name="外部資料_1795" localSheetId="1">紅綠燈!#REF!</definedName>
    <definedName name="外部資料_1796" localSheetId="1">紅綠燈!#REF!</definedName>
    <definedName name="外部資料_1797" localSheetId="1">紅綠燈!#REF!</definedName>
    <definedName name="外部資料_1799" localSheetId="1">紅綠燈!#REF!</definedName>
    <definedName name="外部資料_18" localSheetId="16">PKA!#REF!</definedName>
    <definedName name="外部資料_18" localSheetId="17">PKB!#REF!</definedName>
    <definedName name="外部資料_18" localSheetId="18">PKC!#REF!</definedName>
    <definedName name="外部資料_18" localSheetId="9">PSR!#REF!</definedName>
    <definedName name="外部資料_18" localSheetId="4">公司債!#REF!</definedName>
    <definedName name="外部資料_18" localSheetId="1">紅綠燈!#REF!</definedName>
    <definedName name="外部資料_18" localSheetId="14">評比系統!#REF!</definedName>
    <definedName name="外部資料_18" localSheetId="5">篩股系統!#REF!</definedName>
    <definedName name="外部資料_18" localSheetId="7">營收搶先報!#REF!</definedName>
    <definedName name="外部資料_180" localSheetId="16">PKA!#REF!</definedName>
    <definedName name="外部資料_180" localSheetId="17">PKB!#REF!</definedName>
    <definedName name="外部資料_180" localSheetId="18">PKC!#REF!</definedName>
    <definedName name="外部資料_180" localSheetId="9">PSR!#REF!</definedName>
    <definedName name="外部資料_180" localSheetId="4">公司債!#REF!</definedName>
    <definedName name="外部資料_180" localSheetId="14">評比系統!$T$1:$T$3</definedName>
    <definedName name="外部資料_180" localSheetId="7">營收搶先報!#REF!</definedName>
    <definedName name="外部資料_1800" localSheetId="1">紅綠燈!#REF!</definedName>
    <definedName name="外部資料_1801" localSheetId="1">紅綠燈!#REF!</definedName>
    <definedName name="外部資料_1803" localSheetId="1">紅綠燈!#REF!</definedName>
    <definedName name="外部資料_1804" localSheetId="1">紅綠燈!#REF!</definedName>
    <definedName name="外部資料_1805" localSheetId="1">紅綠燈!#REF!</definedName>
    <definedName name="外部資料_1807" localSheetId="1">紅綠燈!#REF!</definedName>
    <definedName name="外部資料_1808" localSheetId="1">紅綠燈!#REF!</definedName>
    <definedName name="外部資料_1809" localSheetId="1">紅綠燈!#REF!</definedName>
    <definedName name="外部資料_181" localSheetId="16">PKA!#REF!</definedName>
    <definedName name="外部資料_181" localSheetId="17">PKB!#REF!</definedName>
    <definedName name="外部資料_181" localSheetId="18">PKC!#REF!</definedName>
    <definedName name="外部資料_181" localSheetId="9">PSR!#REF!</definedName>
    <definedName name="外部資料_181" localSheetId="4">公司債!#REF!</definedName>
    <definedName name="外部資料_181" localSheetId="14">評比系統!$T$1:$T$3</definedName>
    <definedName name="外部資料_181" localSheetId="7">營收搶先報!#REF!</definedName>
    <definedName name="外部資料_1811" localSheetId="1">紅綠燈!#REF!</definedName>
    <definedName name="外部資料_1812" localSheetId="1">紅綠燈!#REF!</definedName>
    <definedName name="外部資料_1813" localSheetId="1">紅綠燈!#REF!</definedName>
    <definedName name="外部資料_1815" localSheetId="1">紅綠燈!#REF!</definedName>
    <definedName name="外部資料_1816" localSheetId="1">紅綠燈!#REF!</definedName>
    <definedName name="外部資料_1817" localSheetId="1">紅綠燈!#REF!</definedName>
    <definedName name="外部資料_1819" localSheetId="1">紅綠燈!#REF!</definedName>
    <definedName name="外部資料_182" localSheetId="16">PKA!#REF!</definedName>
    <definedName name="外部資料_182" localSheetId="17">PKB!#REF!</definedName>
    <definedName name="外部資料_182" localSheetId="18">PKC!#REF!</definedName>
    <definedName name="外部資料_182" localSheetId="9">PSR!#REF!</definedName>
    <definedName name="外部資料_182" localSheetId="4">公司債!#REF!</definedName>
    <definedName name="外部資料_182" localSheetId="14">評比系統!$T$1:$T$3</definedName>
    <definedName name="外部資料_182" localSheetId="7">營收搶先報!#REF!</definedName>
    <definedName name="外部資料_1820" localSheetId="1">紅綠燈!#REF!</definedName>
    <definedName name="外部資料_1821" localSheetId="1">紅綠燈!#REF!</definedName>
    <definedName name="外部資料_1823" localSheetId="1">紅綠燈!#REF!</definedName>
    <definedName name="外部資料_1824" localSheetId="1">紅綠燈!#REF!</definedName>
    <definedName name="外部資料_1825" localSheetId="1">紅綠燈!#REF!</definedName>
    <definedName name="外部資料_1827" localSheetId="1">紅綠燈!#REF!</definedName>
    <definedName name="外部資料_1828" localSheetId="1">紅綠燈!#REF!</definedName>
    <definedName name="外部資料_1829" localSheetId="1">紅綠燈!#REF!</definedName>
    <definedName name="外部資料_183" localSheetId="16">PKA!#REF!</definedName>
    <definedName name="外部資料_183" localSheetId="17">PKB!#REF!</definedName>
    <definedName name="外部資料_183" localSheetId="18">PKC!#REF!</definedName>
    <definedName name="外部資料_183" localSheetId="9">PSR!#REF!</definedName>
    <definedName name="外部資料_183" localSheetId="4">公司債!#REF!</definedName>
    <definedName name="外部資料_183" localSheetId="14">評比系統!$T$1:$T$3</definedName>
    <definedName name="外部資料_183" localSheetId="7">營收搶先報!#REF!</definedName>
    <definedName name="外部資料_1831" localSheetId="1">紅綠燈!#REF!</definedName>
    <definedName name="外部資料_1832" localSheetId="1">紅綠燈!#REF!</definedName>
    <definedName name="外部資料_1833" localSheetId="1">紅綠燈!#REF!</definedName>
    <definedName name="外部資料_1835" localSheetId="1">紅綠燈!#REF!</definedName>
    <definedName name="外部資料_1836" localSheetId="1">紅綠燈!#REF!</definedName>
    <definedName name="外部資料_1837" localSheetId="1">紅綠燈!#REF!</definedName>
    <definedName name="外部資料_1839" localSheetId="1">紅綠燈!#REF!</definedName>
    <definedName name="外部資料_184" localSheetId="16">PKA!#REF!</definedName>
    <definedName name="外部資料_184" localSheetId="17">PKB!#REF!</definedName>
    <definedName name="外部資料_184" localSheetId="18">PKC!#REF!</definedName>
    <definedName name="外部資料_184" localSheetId="9">PSR!#REF!</definedName>
    <definedName name="外部資料_184" localSheetId="4">公司債!#REF!</definedName>
    <definedName name="外部資料_184" localSheetId="14">評比系統!$T$1:$T$3</definedName>
    <definedName name="外部資料_184" localSheetId="7">營收搶先報!#REF!</definedName>
    <definedName name="外部資料_1840" localSheetId="1">紅綠燈!#REF!</definedName>
    <definedName name="外部資料_1841" localSheetId="1">紅綠燈!#REF!</definedName>
    <definedName name="外部資料_1843" localSheetId="1">紅綠燈!#REF!</definedName>
    <definedName name="外部資料_1844" localSheetId="1">紅綠燈!#REF!</definedName>
    <definedName name="外部資料_1845" localSheetId="1">紅綠燈!#REF!</definedName>
    <definedName name="外部資料_1847" localSheetId="1">紅綠燈!#REF!</definedName>
    <definedName name="外部資料_1848" localSheetId="1">紅綠燈!#REF!</definedName>
    <definedName name="外部資料_1849" localSheetId="1">紅綠燈!#REF!</definedName>
    <definedName name="外部資料_185" localSheetId="16">PKA!#REF!</definedName>
    <definedName name="外部資料_185" localSheetId="17">PKB!#REF!</definedName>
    <definedName name="外部資料_185" localSheetId="18">PKC!#REF!</definedName>
    <definedName name="外部資料_185" localSheetId="9">PSR!#REF!</definedName>
    <definedName name="外部資料_185" localSheetId="4">公司債!#REF!</definedName>
    <definedName name="外部資料_185" localSheetId="14">評比系統!$T$1:$T$3</definedName>
    <definedName name="外部資料_185" localSheetId="7">營收搶先報!#REF!</definedName>
    <definedName name="外部資料_1851" localSheetId="1">紅綠燈!#REF!</definedName>
    <definedName name="外部資料_1852" localSheetId="1">紅綠燈!#REF!</definedName>
    <definedName name="外部資料_1853" localSheetId="1">紅綠燈!#REF!</definedName>
    <definedName name="外部資料_1855" localSheetId="1">紅綠燈!#REF!</definedName>
    <definedName name="外部資料_1856" localSheetId="1">紅綠燈!#REF!</definedName>
    <definedName name="外部資料_1857" localSheetId="1">紅綠燈!#REF!</definedName>
    <definedName name="外部資料_1859" localSheetId="1">紅綠燈!#REF!</definedName>
    <definedName name="外部資料_186" localSheetId="16">PKA!#REF!</definedName>
    <definedName name="外部資料_186" localSheetId="17">PKB!#REF!</definedName>
    <definedName name="外部資料_186" localSheetId="18">PKC!#REF!</definedName>
    <definedName name="外部資料_186" localSheetId="9">PSR!#REF!</definedName>
    <definedName name="外部資料_186" localSheetId="4">公司債!#REF!</definedName>
    <definedName name="外部資料_186" localSheetId="14">評比系統!$T$1:$T$3</definedName>
    <definedName name="外部資料_186" localSheetId="7">營收搶先報!#REF!</definedName>
    <definedName name="外部資料_1860" localSheetId="1">紅綠燈!#REF!</definedName>
    <definedName name="外部資料_1861" localSheetId="1">紅綠燈!#REF!</definedName>
    <definedName name="外部資料_1863" localSheetId="1">紅綠燈!#REF!</definedName>
    <definedName name="外部資料_1864" localSheetId="1">紅綠燈!#REF!</definedName>
    <definedName name="外部資料_1865" localSheetId="1">紅綠燈!#REF!</definedName>
    <definedName name="外部資料_1867" localSheetId="1">紅綠燈!#REF!</definedName>
    <definedName name="外部資料_1868" localSheetId="1">紅綠燈!#REF!</definedName>
    <definedName name="外部資料_1869" localSheetId="1">紅綠燈!#REF!</definedName>
    <definedName name="外部資料_187" localSheetId="16">PKA!#REF!</definedName>
    <definedName name="外部資料_187" localSheetId="17">PKB!#REF!</definedName>
    <definedName name="外部資料_187" localSheetId="18">PKC!#REF!</definedName>
    <definedName name="外部資料_187" localSheetId="9">PSR!#REF!</definedName>
    <definedName name="外部資料_187" localSheetId="4">公司債!#REF!</definedName>
    <definedName name="外部資料_187" localSheetId="14">評比系統!$T$1:$T$3</definedName>
    <definedName name="外部資料_187" localSheetId="7">營收搶先報!#REF!</definedName>
    <definedName name="外部資料_1871" localSheetId="1">紅綠燈!#REF!</definedName>
    <definedName name="外部資料_1872" localSheetId="1">紅綠燈!#REF!</definedName>
    <definedName name="外部資料_1873" localSheetId="1">紅綠燈!#REF!</definedName>
    <definedName name="外部資料_1875" localSheetId="1">紅綠燈!#REF!</definedName>
    <definedName name="外部資料_1876" localSheetId="1">紅綠燈!#REF!</definedName>
    <definedName name="外部資料_1877" localSheetId="1">紅綠燈!#REF!</definedName>
    <definedName name="外部資料_1879" localSheetId="1">紅綠燈!#REF!</definedName>
    <definedName name="外部資料_188" localSheetId="16">PKA!#REF!</definedName>
    <definedName name="外部資料_188" localSheetId="17">PKB!#REF!</definedName>
    <definedName name="外部資料_188" localSheetId="18">PKC!#REF!</definedName>
    <definedName name="外部資料_188" localSheetId="9">PSR!#REF!</definedName>
    <definedName name="外部資料_188" localSheetId="4">公司債!#REF!</definedName>
    <definedName name="外部資料_188" localSheetId="14">評比系統!$T$1:$T$3</definedName>
    <definedName name="外部資料_188" localSheetId="7">營收搶先報!#REF!</definedName>
    <definedName name="外部資料_1880" localSheetId="1">紅綠燈!#REF!</definedName>
    <definedName name="外部資料_1881" localSheetId="1">紅綠燈!#REF!</definedName>
    <definedName name="外部資料_1883" localSheetId="1">紅綠燈!#REF!</definedName>
    <definedName name="外部資料_1884" localSheetId="1">紅綠燈!#REF!</definedName>
    <definedName name="外部資料_1885" localSheetId="1">紅綠燈!#REF!</definedName>
    <definedName name="外部資料_1887" localSheetId="1">紅綠燈!#REF!</definedName>
    <definedName name="外部資料_1888" localSheetId="1">紅綠燈!#REF!</definedName>
    <definedName name="外部資料_1889" localSheetId="1">紅綠燈!#REF!</definedName>
    <definedName name="外部資料_189" localSheetId="16">PKA!#REF!</definedName>
    <definedName name="外部資料_189" localSheetId="17">PKB!#REF!</definedName>
    <definedName name="外部資料_189" localSheetId="18">PKC!#REF!</definedName>
    <definedName name="外部資料_189" localSheetId="9">PSR!#REF!</definedName>
    <definedName name="外部資料_189" localSheetId="4">公司債!#REF!</definedName>
    <definedName name="外部資料_189" localSheetId="14">評比系統!$T$1:$T$3</definedName>
    <definedName name="外部資料_189" localSheetId="7">營收搶先報!#REF!</definedName>
    <definedName name="外部資料_1891" localSheetId="1">紅綠燈!#REF!</definedName>
    <definedName name="外部資料_1892" localSheetId="1">紅綠燈!#REF!</definedName>
    <definedName name="外部資料_1893" localSheetId="1">紅綠燈!#REF!</definedName>
    <definedName name="外部資料_1895" localSheetId="1">紅綠燈!#REF!</definedName>
    <definedName name="外部資料_1896" localSheetId="1">紅綠燈!#REF!</definedName>
    <definedName name="外部資料_1897" localSheetId="1">紅綠燈!#REF!</definedName>
    <definedName name="外部資料_1899" localSheetId="1">紅綠燈!#REF!</definedName>
    <definedName name="外部資料_19" localSheetId="16">PKA!#REF!</definedName>
    <definedName name="外部資料_19" localSheetId="17">PKB!#REF!</definedName>
    <definedName name="外部資料_19" localSheetId="18">PKC!#REF!</definedName>
    <definedName name="外部資料_19" localSheetId="9">PSR!#REF!</definedName>
    <definedName name="外部資料_19" localSheetId="4">公司債!#REF!</definedName>
    <definedName name="外部資料_19" localSheetId="1">紅綠燈!#REF!</definedName>
    <definedName name="外部資料_19" localSheetId="14">評比系統!#REF!</definedName>
    <definedName name="外部資料_19" localSheetId="5">篩股系統!#REF!</definedName>
    <definedName name="外部資料_19" localSheetId="7">營收搶先報!#REF!</definedName>
    <definedName name="外部資料_190" localSheetId="16">PKA!#REF!</definedName>
    <definedName name="外部資料_190" localSheetId="17">PKB!#REF!</definedName>
    <definedName name="外部資料_190" localSheetId="18">PKC!#REF!</definedName>
    <definedName name="外部資料_190" localSheetId="9">PSR!#REF!</definedName>
    <definedName name="外部資料_190" localSheetId="4">公司債!#REF!</definedName>
    <definedName name="外部資料_190" localSheetId="14">評比系統!$T$1:$T$3</definedName>
    <definedName name="外部資料_190" localSheetId="7">營收搶先報!#REF!</definedName>
    <definedName name="外部資料_1900" localSheetId="1">紅綠燈!#REF!</definedName>
    <definedName name="外部資料_1901" localSheetId="1">紅綠燈!#REF!</definedName>
    <definedName name="外部資料_1903" localSheetId="1">紅綠燈!#REF!</definedName>
    <definedName name="外部資料_1904" localSheetId="1">紅綠燈!#REF!</definedName>
    <definedName name="外部資料_1905" localSheetId="1">紅綠燈!#REF!</definedName>
    <definedName name="外部資料_1907" localSheetId="1">紅綠燈!#REF!</definedName>
    <definedName name="外部資料_1908" localSheetId="1">紅綠燈!#REF!</definedName>
    <definedName name="外部資料_1909" localSheetId="1">紅綠燈!#REF!</definedName>
    <definedName name="外部資料_191" localSheetId="16">PKA!#REF!</definedName>
    <definedName name="外部資料_191" localSheetId="17">PKB!#REF!</definedName>
    <definedName name="外部資料_191" localSheetId="18">PKC!#REF!</definedName>
    <definedName name="外部資料_191" localSheetId="9">PSR!#REF!</definedName>
    <definedName name="外部資料_191" localSheetId="4">公司債!#REF!</definedName>
    <definedName name="外部資料_191" localSheetId="14">評比系統!$T$1:$T$3</definedName>
    <definedName name="外部資料_191" localSheetId="7">營收搶先報!#REF!</definedName>
    <definedName name="外部資料_1911" localSheetId="1">紅綠燈!#REF!</definedName>
    <definedName name="外部資料_1912" localSheetId="1">紅綠燈!#REF!</definedName>
    <definedName name="外部資料_1914" localSheetId="1">紅綠燈!#REF!</definedName>
    <definedName name="外部資料_1915" localSheetId="1">紅綠燈!#REF!</definedName>
    <definedName name="外部資料_1917" localSheetId="1">紅綠燈!#REF!</definedName>
    <definedName name="外部資料_1918" localSheetId="1">紅綠燈!#REF!</definedName>
    <definedName name="外部資料_1919" localSheetId="1">紅綠燈!#REF!</definedName>
    <definedName name="外部資料_192" localSheetId="16">PKA!#REF!</definedName>
    <definedName name="外部資料_192" localSheetId="17">PKB!#REF!</definedName>
    <definedName name="外部資料_192" localSheetId="18">PKC!#REF!</definedName>
    <definedName name="外部資料_192" localSheetId="9">PSR!#REF!</definedName>
    <definedName name="外部資料_192" localSheetId="4">公司債!#REF!</definedName>
    <definedName name="外部資料_192" localSheetId="14">評比系統!$T$1:$T$3</definedName>
    <definedName name="外部資料_192" localSheetId="7">營收搶先報!#REF!</definedName>
    <definedName name="外部資料_1921" localSheetId="1">紅綠燈!#REF!</definedName>
    <definedName name="外部資料_1922" localSheetId="1">紅綠燈!#REF!</definedName>
    <definedName name="外部資料_1923" localSheetId="1">紅綠燈!#REF!</definedName>
    <definedName name="外部資料_1925" localSheetId="1">紅綠燈!#REF!</definedName>
    <definedName name="外部資料_1926" localSheetId="1">紅綠燈!#REF!</definedName>
    <definedName name="外部資料_1927" localSheetId="1">紅綠燈!#REF!</definedName>
    <definedName name="外部資料_1929" localSheetId="1">紅綠燈!#REF!</definedName>
    <definedName name="外部資料_193" localSheetId="16">PKA!#REF!</definedName>
    <definedName name="外部資料_193" localSheetId="17">PKB!#REF!</definedName>
    <definedName name="外部資料_193" localSheetId="18">PKC!#REF!</definedName>
    <definedName name="外部資料_193" localSheetId="9">PSR!#REF!</definedName>
    <definedName name="外部資料_193" localSheetId="4">公司債!#REF!</definedName>
    <definedName name="外部資料_193" localSheetId="14">評比系統!$T$1:$T$3</definedName>
    <definedName name="外部資料_193" localSheetId="7">營收搶先報!#REF!</definedName>
    <definedName name="外部資料_1930" localSheetId="1">紅綠燈!#REF!</definedName>
    <definedName name="外部資料_1931" localSheetId="1">紅綠燈!#REF!</definedName>
    <definedName name="外部資料_1933" localSheetId="1">紅綠燈!#REF!</definedName>
    <definedName name="外部資料_1934" localSheetId="1">紅綠燈!#REF!</definedName>
    <definedName name="外部資料_1935" localSheetId="1">紅綠燈!#REF!</definedName>
    <definedName name="外部資料_1937" localSheetId="1">紅綠燈!#REF!</definedName>
    <definedName name="外部資料_1938" localSheetId="1">紅綠燈!#REF!</definedName>
    <definedName name="外部資料_1939" localSheetId="1">紅綠燈!#REF!</definedName>
    <definedName name="外部資料_194" localSheetId="16">PKA!#REF!</definedName>
    <definedName name="外部資料_194" localSheetId="17">PKB!#REF!</definedName>
    <definedName name="外部資料_194" localSheetId="18">PKC!#REF!</definedName>
    <definedName name="外部資料_194" localSheetId="9">PSR!#REF!</definedName>
    <definedName name="外部資料_194" localSheetId="4">公司債!#REF!</definedName>
    <definedName name="外部資料_194" localSheetId="14">評比系統!$T$1:$T$3</definedName>
    <definedName name="外部資料_194" localSheetId="7">營收搶先報!#REF!</definedName>
    <definedName name="外部資料_1941" localSheetId="1">紅綠燈!#REF!</definedName>
    <definedName name="外部資料_1942" localSheetId="1">紅綠燈!#REF!</definedName>
    <definedName name="外部資料_1943" localSheetId="1">紅綠燈!#REF!</definedName>
    <definedName name="外部資料_1945" localSheetId="1">紅綠燈!#REF!</definedName>
    <definedName name="外部資料_1946" localSheetId="1">紅綠燈!#REF!</definedName>
    <definedName name="外部資料_1947" localSheetId="1">紅綠燈!#REF!</definedName>
    <definedName name="外部資料_1949" localSheetId="1">紅綠燈!#REF!</definedName>
    <definedName name="外部資料_195" localSheetId="16">PKA!#REF!</definedName>
    <definedName name="外部資料_195" localSheetId="17">PKB!#REF!</definedName>
    <definedName name="外部資料_195" localSheetId="18">PKC!#REF!</definedName>
    <definedName name="外部資料_195" localSheetId="9">PSR!#REF!</definedName>
    <definedName name="外部資料_195" localSheetId="4">公司債!#REF!</definedName>
    <definedName name="外部資料_195" localSheetId="14">評比系統!$T$1:$T$3</definedName>
    <definedName name="外部資料_195" localSheetId="7">營收搶先報!#REF!</definedName>
    <definedName name="外部資料_1950" localSheetId="1">紅綠燈!#REF!</definedName>
    <definedName name="外部資料_1951" localSheetId="1">紅綠燈!#REF!</definedName>
    <definedName name="外部資料_1953" localSheetId="1">紅綠燈!#REF!</definedName>
    <definedName name="外部資料_1954" localSheetId="1">紅綠燈!#REF!</definedName>
    <definedName name="外部資料_1956" localSheetId="1">紅綠燈!#REF!</definedName>
    <definedName name="外部資料_1957" localSheetId="1">紅綠燈!#REF!</definedName>
    <definedName name="外部資料_1958" localSheetId="1">紅綠燈!#REF!</definedName>
    <definedName name="外部資料_196" localSheetId="16">PKA!#REF!</definedName>
    <definedName name="外部資料_196" localSheetId="17">PKB!#REF!</definedName>
    <definedName name="外部資料_196" localSheetId="18">PKC!#REF!</definedName>
    <definedName name="外部資料_196" localSheetId="9">PSR!#REF!</definedName>
    <definedName name="外部資料_196" localSheetId="4">公司債!#REF!</definedName>
    <definedName name="外部資料_196" localSheetId="14">評比系統!$T$1:$T$3</definedName>
    <definedName name="外部資料_196" localSheetId="7">營收搶先報!#REF!</definedName>
    <definedName name="外部資料_1960" localSheetId="1">紅綠燈!#REF!</definedName>
    <definedName name="外部資料_1961" localSheetId="1">紅綠燈!#REF!</definedName>
    <definedName name="外部資料_1962" localSheetId="1">紅綠燈!#REF!</definedName>
    <definedName name="外部資料_1964" localSheetId="1">紅綠燈!#REF!</definedName>
    <definedName name="外部資料_1965" localSheetId="1">紅綠燈!#REF!</definedName>
    <definedName name="外部資料_1966" localSheetId="1">紅綠燈!#REF!</definedName>
    <definedName name="外部資料_1968" localSheetId="1">紅綠燈!#REF!</definedName>
    <definedName name="外部資料_1969" localSheetId="1">紅綠燈!#REF!</definedName>
    <definedName name="外部資料_197" localSheetId="16">PKA!#REF!</definedName>
    <definedName name="外部資料_197" localSheetId="17">PKB!#REF!</definedName>
    <definedName name="外部資料_197" localSheetId="18">PKC!#REF!</definedName>
    <definedName name="外部資料_197" localSheetId="9">PSR!#REF!</definedName>
    <definedName name="外部資料_197" localSheetId="4">公司債!#REF!</definedName>
    <definedName name="外部資料_197" localSheetId="14">評比系統!$T$1:$T$3</definedName>
    <definedName name="外部資料_197" localSheetId="7">營收搶先報!#REF!</definedName>
    <definedName name="外部資料_1970" localSheetId="1">紅綠燈!#REF!</definedName>
    <definedName name="外部資料_1972" localSheetId="1">紅綠燈!#REF!</definedName>
    <definedName name="外部資料_1973" localSheetId="1">紅綠燈!#REF!</definedName>
    <definedName name="外部資料_1974" localSheetId="1">紅綠燈!#REF!</definedName>
    <definedName name="外部資料_1976" localSheetId="1">紅綠燈!#REF!</definedName>
    <definedName name="外部資料_1977" localSheetId="1">紅綠燈!#REF!</definedName>
    <definedName name="外部資料_1978" localSheetId="1">紅綠燈!#REF!</definedName>
    <definedName name="外部資料_198" localSheetId="16">PKA!#REF!</definedName>
    <definedName name="外部資料_198" localSheetId="17">PKB!#REF!</definedName>
    <definedName name="外部資料_198" localSheetId="18">PKC!#REF!</definedName>
    <definedName name="外部資料_198" localSheetId="9">PSR!#REF!</definedName>
    <definedName name="外部資料_198" localSheetId="4">公司債!#REF!</definedName>
    <definedName name="外部資料_198" localSheetId="14">評比系統!$T$1:$T$3</definedName>
    <definedName name="外部資料_198" localSheetId="7">營收搶先報!#REF!</definedName>
    <definedName name="外部資料_1980" localSheetId="1">紅綠燈!#REF!</definedName>
    <definedName name="外部資料_1981" localSheetId="1">紅綠燈!#REF!</definedName>
    <definedName name="外部資料_1982" localSheetId="1">紅綠燈!#REF!</definedName>
    <definedName name="外部資料_1984" localSheetId="1">紅綠燈!#REF!</definedName>
    <definedName name="外部資料_1985" localSheetId="1">紅綠燈!#REF!</definedName>
    <definedName name="外部資料_1986" localSheetId="1">紅綠燈!#REF!</definedName>
    <definedName name="外部資料_1988" localSheetId="1">紅綠燈!#REF!</definedName>
    <definedName name="外部資料_1989" localSheetId="1">紅綠燈!#REF!</definedName>
    <definedName name="外部資料_199" localSheetId="16">PKA!#REF!</definedName>
    <definedName name="外部資料_199" localSheetId="17">PKB!#REF!</definedName>
    <definedName name="外部資料_199" localSheetId="18">PKC!#REF!</definedName>
    <definedName name="外部資料_199" localSheetId="9">PSR!#REF!</definedName>
    <definedName name="外部資料_199" localSheetId="4">公司債!#REF!</definedName>
    <definedName name="外部資料_199" localSheetId="14">評比系統!$T$1:$T$3</definedName>
    <definedName name="外部資料_199" localSheetId="7">營收搶先報!#REF!</definedName>
    <definedName name="外部資料_1990" localSheetId="1">紅綠燈!#REF!</definedName>
    <definedName name="外部資料_1992" localSheetId="1">紅綠燈!#REF!</definedName>
    <definedName name="外部資料_1993" localSheetId="1">紅綠燈!#REF!</definedName>
    <definedName name="外部資料_1994" localSheetId="1">紅綠燈!#REF!</definedName>
    <definedName name="外部資料_1996" localSheetId="1">紅綠燈!#REF!</definedName>
    <definedName name="外部資料_1997" localSheetId="1">紅綠燈!#REF!</definedName>
    <definedName name="外部資料_1998" localSheetId="1">紅綠燈!#REF!</definedName>
    <definedName name="外部資料_2" localSheetId="16">PKA!#REF!</definedName>
    <definedName name="外部資料_2" localSheetId="17">PKB!#REF!</definedName>
    <definedName name="外部資料_2" localSheetId="18">PKC!#REF!</definedName>
    <definedName name="外部資料_2" localSheetId="9">PSR!#REF!</definedName>
    <definedName name="外部資料_2" localSheetId="4">公司債!#REF!</definedName>
    <definedName name="外部資料_2" localSheetId="1">紅綠燈!#REF!</definedName>
    <definedName name="外部資料_2" localSheetId="14">評比系統!#REF!</definedName>
    <definedName name="外部資料_2" localSheetId="5">篩股系統!#REF!</definedName>
    <definedName name="外部資料_2" localSheetId="7">營收搶先報!#REF!</definedName>
    <definedName name="外部資料_20" localSheetId="16">PKA!#REF!</definedName>
    <definedName name="外部資料_20" localSheetId="17">PKB!#REF!</definedName>
    <definedName name="外部資料_20" localSheetId="18">PKC!#REF!</definedName>
    <definedName name="外部資料_20" localSheetId="9">PSR!#REF!</definedName>
    <definedName name="外部資料_20" localSheetId="4">公司債!#REF!</definedName>
    <definedName name="外部資料_20" localSheetId="1">紅綠燈!#REF!</definedName>
    <definedName name="外部資料_20" localSheetId="14">評比系統!#REF!</definedName>
    <definedName name="外部資料_20" localSheetId="5">篩股系統!#REF!</definedName>
    <definedName name="外部資料_20" localSheetId="7">營收搶先報!#REF!</definedName>
    <definedName name="外部資料_200" localSheetId="16">PKA!#REF!</definedName>
    <definedName name="外部資料_200" localSheetId="17">PKB!#REF!</definedName>
    <definedName name="外部資料_200" localSheetId="18">PKC!#REF!</definedName>
    <definedName name="外部資料_200" localSheetId="9">PSR!#REF!</definedName>
    <definedName name="外部資料_200" localSheetId="4">公司債!#REF!</definedName>
    <definedName name="外部資料_200" localSheetId="14">評比系統!$T$1:$T$3</definedName>
    <definedName name="外部資料_200" localSheetId="7">營收搶先報!#REF!</definedName>
    <definedName name="外部資料_2000" localSheetId="1">紅綠燈!#REF!</definedName>
    <definedName name="外部資料_2001" localSheetId="1">紅綠燈!#REF!</definedName>
    <definedName name="外部資料_2002" localSheetId="1">紅綠燈!#REF!</definedName>
    <definedName name="外部資料_2004" localSheetId="1">紅綠燈!#REF!</definedName>
    <definedName name="外部資料_2005" localSheetId="1">紅綠燈!#REF!</definedName>
    <definedName name="外部資料_2006" localSheetId="1">紅綠燈!#REF!</definedName>
    <definedName name="外部資料_2008" localSheetId="1">紅綠燈!#REF!</definedName>
    <definedName name="外部資料_2009" localSheetId="1">紅綠燈!#REF!</definedName>
    <definedName name="外部資料_201" localSheetId="16">PKA!#REF!</definedName>
    <definedName name="外部資料_201" localSheetId="17">PKB!#REF!</definedName>
    <definedName name="外部資料_201" localSheetId="18">PKC!#REF!</definedName>
    <definedName name="外部資料_201" localSheetId="9">PSR!#REF!</definedName>
    <definedName name="外部資料_201" localSheetId="4">公司債!#REF!</definedName>
    <definedName name="外部資料_201" localSheetId="14">評比系統!$T$1:$T$3</definedName>
    <definedName name="外部資料_201" localSheetId="7">營收搶先報!#REF!</definedName>
    <definedName name="外部資料_2010" localSheetId="1">紅綠燈!#REF!</definedName>
    <definedName name="外部資料_2012" localSheetId="1">紅綠燈!#REF!</definedName>
    <definedName name="外部資料_2013" localSheetId="1">紅綠燈!#REF!</definedName>
    <definedName name="外部資料_2014" localSheetId="1">紅綠燈!#REF!</definedName>
    <definedName name="外部資料_2016" localSheetId="1">紅綠燈!#REF!</definedName>
    <definedName name="外部資料_2017" localSheetId="1">紅綠燈!#REF!</definedName>
    <definedName name="外部資料_2018" localSheetId="1">紅綠燈!#REF!</definedName>
    <definedName name="外部資料_202" localSheetId="16">PKA!#REF!</definedName>
    <definedName name="外部資料_202" localSheetId="17">PKB!#REF!</definedName>
    <definedName name="外部資料_202" localSheetId="18">PKC!#REF!</definedName>
    <definedName name="外部資料_202" localSheetId="9">PSR!#REF!</definedName>
    <definedName name="外部資料_202" localSheetId="4">公司債!#REF!</definedName>
    <definedName name="外部資料_202" localSheetId="14">評比系統!$T$1:$T$3</definedName>
    <definedName name="外部資料_202" localSheetId="7">營收搶先報!#REF!</definedName>
    <definedName name="外部資料_2020" localSheetId="1">紅綠燈!#REF!</definedName>
    <definedName name="外部資料_2021" localSheetId="1">紅綠燈!#REF!</definedName>
    <definedName name="外部資料_2022" localSheetId="1">紅綠燈!#REF!</definedName>
    <definedName name="外部資料_2024" localSheetId="1">紅綠燈!#REF!</definedName>
    <definedName name="外部資料_2025" localSheetId="1">紅綠燈!#REF!</definedName>
    <definedName name="外部資料_2026" localSheetId="1">紅綠燈!#REF!</definedName>
    <definedName name="外部資料_2028" localSheetId="1">紅綠燈!#REF!</definedName>
    <definedName name="外部資料_2029" localSheetId="1">紅綠燈!#REF!</definedName>
    <definedName name="外部資料_203" localSheetId="16">PKA!#REF!</definedName>
    <definedName name="外部資料_203" localSheetId="17">PKB!#REF!</definedName>
    <definedName name="外部資料_203" localSheetId="18">PKC!#REF!</definedName>
    <definedName name="外部資料_203" localSheetId="9">PSR!#REF!</definedName>
    <definedName name="外部資料_203" localSheetId="4">公司債!#REF!</definedName>
    <definedName name="外部資料_203" localSheetId="14">評比系統!$T$1:$T$3</definedName>
    <definedName name="外部資料_203" localSheetId="7">營收搶先報!#REF!</definedName>
    <definedName name="外部資料_2030" localSheetId="1">紅綠燈!#REF!</definedName>
    <definedName name="外部資料_2032" localSheetId="1">紅綠燈!#REF!</definedName>
    <definedName name="外部資料_2033" localSheetId="1">紅綠燈!#REF!</definedName>
    <definedName name="外部資料_2034" localSheetId="1">紅綠燈!#REF!</definedName>
    <definedName name="外部資料_2036" localSheetId="1">紅綠燈!#REF!</definedName>
    <definedName name="外部資料_2037" localSheetId="1">紅綠燈!#REF!</definedName>
    <definedName name="外部資料_2038" localSheetId="1">紅綠燈!#REF!</definedName>
    <definedName name="外部資料_204" localSheetId="16">PKA!#REF!</definedName>
    <definedName name="外部資料_204" localSheetId="17">PKB!#REF!</definedName>
    <definedName name="外部資料_204" localSheetId="18">PKC!#REF!</definedName>
    <definedName name="外部資料_204" localSheetId="9">PSR!#REF!</definedName>
    <definedName name="外部資料_204" localSheetId="4">公司債!#REF!</definedName>
    <definedName name="外部資料_204" localSheetId="14">評比系統!$T$1:$T$3</definedName>
    <definedName name="外部資料_204" localSheetId="7">營收搶先報!#REF!</definedName>
    <definedName name="外部資料_2040" localSheetId="1">紅綠燈!#REF!</definedName>
    <definedName name="外部資料_2041" localSheetId="1">紅綠燈!#REF!</definedName>
    <definedName name="外部資料_2042" localSheetId="1">紅綠燈!#REF!</definedName>
    <definedName name="外部資料_2044" localSheetId="1">紅綠燈!#REF!</definedName>
    <definedName name="外部資料_2045" localSheetId="1">紅綠燈!#REF!</definedName>
    <definedName name="外部資料_2046" localSheetId="1">紅綠燈!#REF!</definedName>
    <definedName name="外部資料_2048" localSheetId="1">紅綠燈!#REF!</definedName>
    <definedName name="外部資料_2049" localSheetId="1">紅綠燈!#REF!</definedName>
    <definedName name="外部資料_205" localSheetId="16">PKA!#REF!</definedName>
    <definedName name="外部資料_205" localSheetId="17">PKB!#REF!</definedName>
    <definedName name="外部資料_205" localSheetId="18">PKC!#REF!</definedName>
    <definedName name="外部資料_205" localSheetId="9">PSR!#REF!</definedName>
    <definedName name="外部資料_205" localSheetId="4">公司債!#REF!</definedName>
    <definedName name="外部資料_205" localSheetId="14">評比系統!$T$1:$T$3</definedName>
    <definedName name="外部資料_205" localSheetId="7">營收搶先報!#REF!</definedName>
    <definedName name="外部資料_2050" localSheetId="1">紅綠燈!#REF!</definedName>
    <definedName name="外部資料_2052" localSheetId="1">紅綠燈!#REF!</definedName>
    <definedName name="外部資料_2053" localSheetId="1">紅綠燈!#REF!</definedName>
    <definedName name="外部資料_2054" localSheetId="1">紅綠燈!#REF!</definedName>
    <definedName name="外部資料_2056" localSheetId="1">紅綠燈!#REF!</definedName>
    <definedName name="外部資料_2057" localSheetId="1">紅綠燈!#REF!</definedName>
    <definedName name="外部資料_2058" localSheetId="1">紅綠燈!#REF!</definedName>
    <definedName name="外部資料_206" localSheetId="16">PKA!#REF!</definedName>
    <definedName name="外部資料_206" localSheetId="17">PKB!#REF!</definedName>
    <definedName name="外部資料_206" localSheetId="18">PKC!#REF!</definedName>
    <definedName name="外部資料_206" localSheetId="9">PSR!#REF!</definedName>
    <definedName name="外部資料_206" localSheetId="4">公司債!#REF!</definedName>
    <definedName name="外部資料_206" localSheetId="14">評比系統!$T$1:$T$3</definedName>
    <definedName name="外部資料_206" localSheetId="7">營收搶先報!#REF!</definedName>
    <definedName name="外部資料_2060" localSheetId="1">紅綠燈!#REF!</definedName>
    <definedName name="外部資料_2061" localSheetId="1">紅綠燈!#REF!</definedName>
    <definedName name="外部資料_2062" localSheetId="1">紅綠燈!#REF!</definedName>
    <definedName name="外部資料_2064" localSheetId="1">紅綠燈!#REF!</definedName>
    <definedName name="外部資料_2065" localSheetId="1">紅綠燈!#REF!</definedName>
    <definedName name="外部資料_2066" localSheetId="1">紅綠燈!#REF!</definedName>
    <definedName name="外部資料_2068" localSheetId="1">紅綠燈!#REF!</definedName>
    <definedName name="外部資料_2069" localSheetId="1">紅綠燈!#REF!</definedName>
    <definedName name="外部資料_207" localSheetId="16">PKA!#REF!</definedName>
    <definedName name="外部資料_207" localSheetId="17">PKB!#REF!</definedName>
    <definedName name="外部資料_207" localSheetId="18">PKC!#REF!</definedName>
    <definedName name="外部資料_207" localSheetId="9">PSR!#REF!</definedName>
    <definedName name="外部資料_207" localSheetId="4">公司債!#REF!</definedName>
    <definedName name="外部資料_207" localSheetId="14">評比系統!$T$1:$T$3</definedName>
    <definedName name="外部資料_207" localSheetId="7">營收搶先報!#REF!</definedName>
    <definedName name="外部資料_2070" localSheetId="1">紅綠燈!#REF!</definedName>
    <definedName name="外部資料_2072" localSheetId="1">紅綠燈!#REF!</definedName>
    <definedName name="外部資料_2073" localSheetId="1">紅綠燈!#REF!</definedName>
    <definedName name="外部資料_2074" localSheetId="1">紅綠燈!#REF!</definedName>
    <definedName name="外部資料_2076" localSheetId="1">紅綠燈!#REF!</definedName>
    <definedName name="外部資料_2077" localSheetId="1">紅綠燈!#REF!</definedName>
    <definedName name="外部資料_2078" localSheetId="1">紅綠燈!#REF!</definedName>
    <definedName name="外部資料_208" localSheetId="16">PKA!#REF!</definedName>
    <definedName name="外部資料_208" localSheetId="17">PKB!#REF!</definedName>
    <definedName name="外部資料_208" localSheetId="18">PKC!#REF!</definedName>
    <definedName name="外部資料_208" localSheetId="9">PSR!#REF!</definedName>
    <definedName name="外部資料_208" localSheetId="4">公司債!#REF!</definedName>
    <definedName name="外部資料_208" localSheetId="14">評比系統!$T$1:$T$3</definedName>
    <definedName name="外部資料_208" localSheetId="7">營收搶先報!#REF!</definedName>
    <definedName name="外部資料_2080" localSheetId="1">紅綠燈!#REF!</definedName>
    <definedName name="外部資料_2081" localSheetId="1">紅綠燈!#REF!</definedName>
    <definedName name="外部資料_2082" localSheetId="1">紅綠燈!#REF!</definedName>
    <definedName name="外部資料_2084" localSheetId="1">紅綠燈!#REF!</definedName>
    <definedName name="外部資料_2085" localSheetId="1">紅綠燈!#REF!</definedName>
    <definedName name="外部資料_2086" localSheetId="1">紅綠燈!#REF!</definedName>
    <definedName name="外部資料_2088" localSheetId="1">紅綠燈!#REF!</definedName>
    <definedName name="外部資料_2089" localSheetId="1">紅綠燈!#REF!</definedName>
    <definedName name="外部資料_209" localSheetId="16">PKA!#REF!</definedName>
    <definedName name="外部資料_209" localSheetId="17">PKB!#REF!</definedName>
    <definedName name="外部資料_209" localSheetId="18">PKC!#REF!</definedName>
    <definedName name="外部資料_209" localSheetId="9">PSR!#REF!</definedName>
    <definedName name="外部資料_209" localSheetId="4">公司債!#REF!</definedName>
    <definedName name="外部資料_209" localSheetId="14">評比系統!$T$1:$T$3</definedName>
    <definedName name="外部資料_209" localSheetId="7">營收搶先報!#REF!</definedName>
    <definedName name="外部資料_2090" localSheetId="1">紅綠燈!#REF!</definedName>
    <definedName name="外部資料_2092" localSheetId="1">紅綠燈!#REF!</definedName>
    <definedName name="外部資料_2093" localSheetId="1">紅綠燈!#REF!</definedName>
    <definedName name="外部資料_2094" localSheetId="1">紅綠燈!#REF!</definedName>
    <definedName name="外部資料_2096" localSheetId="1">紅綠燈!#REF!</definedName>
    <definedName name="外部資料_2097" localSheetId="1">紅綠燈!#REF!</definedName>
    <definedName name="外部資料_2098" localSheetId="1">紅綠燈!#REF!</definedName>
    <definedName name="外部資料_21" localSheetId="16">PKA!#REF!</definedName>
    <definedName name="外部資料_21" localSheetId="17">PKB!#REF!</definedName>
    <definedName name="外部資料_21" localSheetId="18">PKC!#REF!</definedName>
    <definedName name="外部資料_21" localSheetId="9">PSR!#REF!</definedName>
    <definedName name="外部資料_21" localSheetId="4">公司債!#REF!</definedName>
    <definedName name="外部資料_21" localSheetId="1">紅綠燈!#REF!</definedName>
    <definedName name="外部資料_21" localSheetId="14">評比系統!#REF!</definedName>
    <definedName name="外部資料_21" localSheetId="5">篩股系統!#REF!</definedName>
    <definedName name="外部資料_21" localSheetId="7">營收搶先報!#REF!</definedName>
    <definedName name="外部資料_210" localSheetId="16">PKA!#REF!</definedName>
    <definedName name="外部資料_210" localSheetId="17">PKB!#REF!</definedName>
    <definedName name="外部資料_210" localSheetId="18">PKC!#REF!</definedName>
    <definedName name="外部資料_210" localSheetId="9">PSR!#REF!</definedName>
    <definedName name="外部資料_210" localSheetId="4">公司債!#REF!</definedName>
    <definedName name="外部資料_210" localSheetId="14">評比系統!$T$1:$T$3</definedName>
    <definedName name="外部資料_210" localSheetId="7">營收搶先報!#REF!</definedName>
    <definedName name="外部資料_2100" localSheetId="1">紅綠燈!#REF!</definedName>
    <definedName name="外部資料_2101" localSheetId="1">紅綠燈!#REF!</definedName>
    <definedName name="外部資料_2102" localSheetId="1">紅綠燈!#REF!</definedName>
    <definedName name="外部資料_2104" localSheetId="1">紅綠燈!#REF!</definedName>
    <definedName name="外部資料_2105" localSheetId="1">紅綠燈!#REF!</definedName>
    <definedName name="外部資料_2106" localSheetId="1">紅綠燈!#REF!</definedName>
    <definedName name="外部資料_2108" localSheetId="1">紅綠燈!#REF!</definedName>
    <definedName name="外部資料_2109" localSheetId="1">紅綠燈!#REF!</definedName>
    <definedName name="外部資料_211" localSheetId="16">PKA!#REF!</definedName>
    <definedName name="外部資料_211" localSheetId="17">PKB!#REF!</definedName>
    <definedName name="外部資料_211" localSheetId="18">PKC!#REF!</definedName>
    <definedName name="外部資料_211" localSheetId="9">PSR!#REF!</definedName>
    <definedName name="外部資料_211" localSheetId="4">公司債!#REF!</definedName>
    <definedName name="外部資料_211" localSheetId="14">評比系統!$T$1:$T$3</definedName>
    <definedName name="外部資料_211" localSheetId="7">營收搶先報!#REF!</definedName>
    <definedName name="外部資料_2110" localSheetId="1">紅綠燈!#REF!</definedName>
    <definedName name="外部資料_2112" localSheetId="1">紅綠燈!#REF!</definedName>
    <definedName name="外部資料_2113" localSheetId="1">紅綠燈!#REF!</definedName>
    <definedName name="外部資料_2114" localSheetId="1">紅綠燈!#REF!</definedName>
    <definedName name="外部資料_2116" localSheetId="1">紅綠燈!#REF!</definedName>
    <definedName name="外部資料_2117" localSheetId="1">紅綠燈!#REF!</definedName>
    <definedName name="外部資料_2118" localSheetId="1">紅綠燈!#REF!</definedName>
    <definedName name="外部資料_212" localSheetId="16">PKA!#REF!</definedName>
    <definedName name="外部資料_212" localSheetId="17">PKB!#REF!</definedName>
    <definedName name="外部資料_212" localSheetId="18">PKC!#REF!</definedName>
    <definedName name="外部資料_212" localSheetId="9">PSR!#REF!</definedName>
    <definedName name="外部資料_212" localSheetId="4">公司債!#REF!</definedName>
    <definedName name="外部資料_212" localSheetId="14">評比系統!$T$1:$T$3</definedName>
    <definedName name="外部資料_212" localSheetId="7">營收搶先報!#REF!</definedName>
    <definedName name="外部資料_2120" localSheetId="1">紅綠燈!#REF!</definedName>
    <definedName name="外部資料_2121" localSheetId="1">紅綠燈!#REF!</definedName>
    <definedName name="外部資料_2122" localSheetId="1">紅綠燈!#REF!</definedName>
    <definedName name="外部資料_2124" localSheetId="1">紅綠燈!#REF!</definedName>
    <definedName name="外部資料_2125" localSheetId="1">紅綠燈!#REF!</definedName>
    <definedName name="外部資料_2126" localSheetId="1">紅綠燈!#REF!</definedName>
    <definedName name="外部資料_2128" localSheetId="1">紅綠燈!#REF!</definedName>
    <definedName name="外部資料_2129" localSheetId="1">紅綠燈!#REF!</definedName>
    <definedName name="外部資料_213" localSheetId="16">PKA!#REF!</definedName>
    <definedName name="外部資料_213" localSheetId="17">PKB!#REF!</definedName>
    <definedName name="外部資料_213" localSheetId="18">PKC!#REF!</definedName>
    <definedName name="外部資料_213" localSheetId="9">PSR!#REF!</definedName>
    <definedName name="外部資料_213" localSheetId="4">公司債!#REF!</definedName>
    <definedName name="外部資料_213" localSheetId="14">評比系統!$T$1:$T$3</definedName>
    <definedName name="外部資料_213" localSheetId="7">營收搶先報!#REF!</definedName>
    <definedName name="外部資料_2130" localSheetId="1">紅綠燈!#REF!</definedName>
    <definedName name="外部資料_2132" localSheetId="1">紅綠燈!#REF!</definedName>
    <definedName name="外部資料_2133" localSheetId="1">紅綠燈!#REF!</definedName>
    <definedName name="外部資料_2134" localSheetId="1">紅綠燈!#REF!</definedName>
    <definedName name="外部資料_2136" localSheetId="1">紅綠燈!#REF!</definedName>
    <definedName name="外部資料_2137" localSheetId="1">紅綠燈!#REF!</definedName>
    <definedName name="外部資料_2138" localSheetId="1">紅綠燈!#REF!</definedName>
    <definedName name="外部資料_214" localSheetId="16">PKA!#REF!</definedName>
    <definedName name="外部資料_214" localSheetId="17">PKB!#REF!</definedName>
    <definedName name="外部資料_214" localSheetId="18">PKC!#REF!</definedName>
    <definedName name="外部資料_214" localSheetId="9">PSR!#REF!</definedName>
    <definedName name="外部資料_214" localSheetId="4">公司債!#REF!</definedName>
    <definedName name="外部資料_214" localSheetId="14">評比系統!$T$1:$T$3</definedName>
    <definedName name="外部資料_214" localSheetId="7">營收搶先報!#REF!</definedName>
    <definedName name="外部資料_2140" localSheetId="1">紅綠燈!#REF!</definedName>
    <definedName name="外部資料_2141" localSheetId="1">紅綠燈!#REF!</definedName>
    <definedName name="外部資料_2142" localSheetId="1">紅綠燈!#REF!</definedName>
    <definedName name="外部資料_2144" localSheetId="1">紅綠燈!#REF!</definedName>
    <definedName name="外部資料_2145" localSheetId="1">紅綠燈!#REF!</definedName>
    <definedName name="外部資料_2146" localSheetId="1">紅綠燈!#REF!</definedName>
    <definedName name="外部資料_2148" localSheetId="1">紅綠燈!#REF!</definedName>
    <definedName name="外部資料_2149" localSheetId="1">紅綠燈!#REF!</definedName>
    <definedName name="外部資料_215" localSheetId="16">PKA!#REF!</definedName>
    <definedName name="外部資料_215" localSheetId="17">PKB!#REF!</definedName>
    <definedName name="外部資料_215" localSheetId="18">PKC!#REF!</definedName>
    <definedName name="外部資料_215" localSheetId="9">PSR!#REF!</definedName>
    <definedName name="外部資料_215" localSheetId="4">公司債!#REF!</definedName>
    <definedName name="外部資料_215" localSheetId="14">評比系統!$T$1:$T$3</definedName>
    <definedName name="外部資料_215" localSheetId="7">營收搶先報!#REF!</definedName>
    <definedName name="外部資料_2150" localSheetId="1">紅綠燈!#REF!</definedName>
    <definedName name="外部資料_2152" localSheetId="1">紅綠燈!#REF!</definedName>
    <definedName name="外部資料_2153" localSheetId="1">紅綠燈!#REF!</definedName>
    <definedName name="外部資料_2154" localSheetId="1">紅綠燈!#REF!</definedName>
    <definedName name="外部資料_2156" localSheetId="1">紅綠燈!#REF!</definedName>
    <definedName name="外部資料_2157" localSheetId="1">紅綠燈!#REF!</definedName>
    <definedName name="外部資料_2158" localSheetId="1">紅綠燈!#REF!</definedName>
    <definedName name="外部資料_216" localSheetId="16">PKA!#REF!</definedName>
    <definedName name="外部資料_216" localSheetId="17">PKB!#REF!</definedName>
    <definedName name="外部資料_216" localSheetId="18">PKC!#REF!</definedName>
    <definedName name="外部資料_216" localSheetId="9">PSR!#REF!</definedName>
    <definedName name="外部資料_216" localSheetId="4">公司債!#REF!</definedName>
    <definedName name="外部資料_216" localSheetId="14">評比系統!$T$1:$T$3</definedName>
    <definedName name="外部資料_216" localSheetId="7">營收搶先報!#REF!</definedName>
    <definedName name="外部資料_2160" localSheetId="1">紅綠燈!#REF!</definedName>
    <definedName name="外部資料_2161" localSheetId="1">紅綠燈!#REF!</definedName>
    <definedName name="外部資料_2162" localSheetId="1">紅綠燈!#REF!</definedName>
    <definedName name="外部資料_2164" localSheetId="1">紅綠燈!#REF!</definedName>
    <definedName name="外部資料_2165" localSheetId="1">紅綠燈!#REF!</definedName>
    <definedName name="外部資料_2166" localSheetId="1">紅綠燈!#REF!</definedName>
    <definedName name="外部資料_2168" localSheetId="1">紅綠燈!#REF!</definedName>
    <definedName name="外部資料_2169" localSheetId="1">紅綠燈!#REF!</definedName>
    <definedName name="外部資料_217" localSheetId="16">PKA!#REF!</definedName>
    <definedName name="外部資料_217" localSheetId="17">PKB!#REF!</definedName>
    <definedName name="外部資料_217" localSheetId="18">PKC!#REF!</definedName>
    <definedName name="外部資料_217" localSheetId="9">PSR!#REF!</definedName>
    <definedName name="外部資料_217" localSheetId="4">公司債!#REF!</definedName>
    <definedName name="外部資料_217" localSheetId="14">評比系統!$T$1:$T$3</definedName>
    <definedName name="外部資料_217" localSheetId="7">營收搶先報!#REF!</definedName>
    <definedName name="外部資料_2170" localSheetId="1">紅綠燈!#REF!</definedName>
    <definedName name="外部資料_2172" localSheetId="1">紅綠燈!#REF!</definedName>
    <definedName name="外部資料_2173" localSheetId="1">紅綠燈!#REF!</definedName>
    <definedName name="外部資料_2174" localSheetId="1">紅綠燈!#REF!</definedName>
    <definedName name="外部資料_2176" localSheetId="1">紅綠燈!#REF!</definedName>
    <definedName name="外部資料_2177" localSheetId="1">紅綠燈!#REF!</definedName>
    <definedName name="外部資料_2178" localSheetId="1">紅綠燈!#REF!</definedName>
    <definedName name="外部資料_218" localSheetId="16">PKA!#REF!</definedName>
    <definedName name="外部資料_218" localSheetId="17">PKB!#REF!</definedName>
    <definedName name="外部資料_218" localSheetId="18">PKC!#REF!</definedName>
    <definedName name="外部資料_218" localSheetId="9">PSR!#REF!</definedName>
    <definedName name="外部資料_218" localSheetId="4">公司債!#REF!</definedName>
    <definedName name="外部資料_218" localSheetId="14">評比系統!$T$1:$T$3</definedName>
    <definedName name="外部資料_218" localSheetId="7">營收搶先報!#REF!</definedName>
    <definedName name="外部資料_2180" localSheetId="1">紅綠燈!#REF!</definedName>
    <definedName name="外部資料_2181" localSheetId="1">紅綠燈!#REF!</definedName>
    <definedName name="外部資料_2182" localSheetId="1">紅綠燈!#REF!</definedName>
    <definedName name="外部資料_2183" localSheetId="5">篩股系統!$D$3:$H$59</definedName>
    <definedName name="外部資料_2184" localSheetId="1">紅綠燈!#REF!</definedName>
    <definedName name="外部資料_2185" localSheetId="1">紅綠燈!#REF!</definedName>
    <definedName name="外部資料_2186" localSheetId="1">紅綠燈!#REF!</definedName>
    <definedName name="外部資料_2188" localSheetId="1">紅綠燈!#REF!</definedName>
    <definedName name="外部資料_2189" localSheetId="1">紅綠燈!#REF!</definedName>
    <definedName name="外部資料_219" localSheetId="16">PKA!#REF!</definedName>
    <definedName name="外部資料_219" localSheetId="17">PKB!#REF!</definedName>
    <definedName name="外部資料_219" localSheetId="18">PKC!#REF!</definedName>
    <definedName name="外部資料_219" localSheetId="9">PSR!#REF!</definedName>
    <definedName name="外部資料_219" localSheetId="4">公司債!#REF!</definedName>
    <definedName name="外部資料_219" localSheetId="14">評比系統!$T$1:$T$3</definedName>
    <definedName name="外部資料_219" localSheetId="7">營收搶先報!#REF!</definedName>
    <definedName name="外部資料_2190" localSheetId="1">紅綠燈!#REF!</definedName>
    <definedName name="外部資料_2192" localSheetId="1">紅綠燈!#REF!</definedName>
    <definedName name="外部資料_2193" localSheetId="1">紅綠燈!#REF!</definedName>
    <definedName name="外部資料_2194" localSheetId="1">紅綠燈!#REF!</definedName>
    <definedName name="外部資料_2196" localSheetId="1">紅綠燈!#REF!</definedName>
    <definedName name="外部資料_2197" localSheetId="1">紅綠燈!#REF!</definedName>
    <definedName name="外部資料_2198" localSheetId="1">紅綠燈!#REF!</definedName>
    <definedName name="外部資料_22" localSheetId="16">PKA!#REF!</definedName>
    <definedName name="外部資料_22" localSheetId="17">PKB!#REF!</definedName>
    <definedName name="外部資料_22" localSheetId="18">PKC!#REF!</definedName>
    <definedName name="外部資料_22" localSheetId="9">PSR!#REF!</definedName>
    <definedName name="外部資料_22" localSheetId="4">公司債!#REF!</definedName>
    <definedName name="外部資料_22" localSheetId="1">紅綠燈!#REF!</definedName>
    <definedName name="外部資料_22" localSheetId="14">評比系統!#REF!</definedName>
    <definedName name="外部資料_22" localSheetId="5">篩股系統!#REF!</definedName>
    <definedName name="外部資料_22" localSheetId="7">營收搶先報!#REF!</definedName>
    <definedName name="外部資料_220" localSheetId="16">PKA!#REF!</definedName>
    <definedName name="外部資料_220" localSheetId="17">PKB!#REF!</definedName>
    <definedName name="外部資料_220" localSheetId="18">PKC!#REF!</definedName>
    <definedName name="外部資料_220" localSheetId="9">PSR!#REF!</definedName>
    <definedName name="外部資料_220" localSheetId="4">公司債!#REF!</definedName>
    <definedName name="外部資料_220" localSheetId="14">評比系統!$T$1:$T$3</definedName>
    <definedName name="外部資料_220" localSheetId="7">營收搶先報!#REF!</definedName>
    <definedName name="外部資料_2200" localSheetId="1">紅綠燈!#REF!</definedName>
    <definedName name="外部資料_2201" localSheetId="1">紅綠燈!#REF!</definedName>
    <definedName name="外部資料_2202" localSheetId="1">紅綠燈!#REF!</definedName>
    <definedName name="外部資料_2204" localSheetId="1">紅綠燈!#REF!</definedName>
    <definedName name="外部資料_2205" localSheetId="1">紅綠燈!#REF!</definedName>
    <definedName name="外部資料_2206" localSheetId="1">紅綠燈!#REF!</definedName>
    <definedName name="外部資料_2208" localSheetId="1">紅綠燈!#REF!</definedName>
    <definedName name="外部資料_2209" localSheetId="1">紅綠燈!#REF!</definedName>
    <definedName name="外部資料_221" localSheetId="16">PKA!#REF!</definedName>
    <definedName name="外部資料_221" localSheetId="17">PKB!#REF!</definedName>
    <definedName name="外部資料_221" localSheetId="18">PKC!#REF!</definedName>
    <definedName name="外部資料_221" localSheetId="9">PSR!#REF!</definedName>
    <definedName name="外部資料_221" localSheetId="4">公司債!#REF!</definedName>
    <definedName name="外部資料_221" localSheetId="14">評比系統!$T$1:$T$3</definedName>
    <definedName name="外部資料_221" localSheetId="7">營收搶先報!#REF!</definedName>
    <definedName name="外部資料_2210" localSheetId="1">紅綠燈!#REF!</definedName>
    <definedName name="外部資料_2212" localSheetId="1">紅綠燈!#REF!</definedName>
    <definedName name="外部資料_2213" localSheetId="1">紅綠燈!#REF!</definedName>
    <definedName name="外部資料_2214" localSheetId="1">紅綠燈!#REF!</definedName>
    <definedName name="外部資料_2216" localSheetId="1">紅綠燈!#REF!</definedName>
    <definedName name="外部資料_2217" localSheetId="1">紅綠燈!#REF!</definedName>
    <definedName name="外部資料_2218" localSheetId="1">紅綠燈!#REF!</definedName>
    <definedName name="外部資料_222" localSheetId="16">PKA!#REF!</definedName>
    <definedName name="外部資料_222" localSheetId="17">PKB!#REF!</definedName>
    <definedName name="外部資料_222" localSheetId="18">PKC!#REF!</definedName>
    <definedName name="外部資料_222" localSheetId="9">PSR!#REF!</definedName>
    <definedName name="外部資料_222" localSheetId="4">公司債!#REF!</definedName>
    <definedName name="外部資料_222" localSheetId="14">評比系統!$T$1:$T$3</definedName>
    <definedName name="外部資料_222" localSheetId="7">營收搶先報!#REF!</definedName>
    <definedName name="外部資料_2220" localSheetId="1">紅綠燈!#REF!</definedName>
    <definedName name="外部資料_2221" localSheetId="1">紅綠燈!#REF!</definedName>
    <definedName name="外部資料_2222" localSheetId="1">紅綠燈!#REF!</definedName>
    <definedName name="外部資料_2224" localSheetId="1">紅綠燈!#REF!</definedName>
    <definedName name="外部資料_2225" localSheetId="1">紅綠燈!#REF!</definedName>
    <definedName name="外部資料_2226" localSheetId="1">紅綠燈!#REF!</definedName>
    <definedName name="外部資料_2228" localSheetId="1">紅綠燈!#REF!</definedName>
    <definedName name="外部資料_2229" localSheetId="1">紅綠燈!#REF!</definedName>
    <definedName name="外部資料_223" localSheetId="16">PKA!#REF!</definedName>
    <definedName name="外部資料_223" localSheetId="17">PKB!#REF!</definedName>
    <definedName name="外部資料_223" localSheetId="18">PKC!#REF!</definedName>
    <definedName name="外部資料_223" localSheetId="9">PSR!#REF!</definedName>
    <definedName name="外部資料_223" localSheetId="4">公司債!#REF!</definedName>
    <definedName name="外部資料_223" localSheetId="14">評比系統!$T$1:$T$3</definedName>
    <definedName name="外部資料_223" localSheetId="7">營收搶先報!#REF!</definedName>
    <definedName name="外部資料_2230" localSheetId="1">紅綠燈!#REF!</definedName>
    <definedName name="外部資料_2232" localSheetId="1">紅綠燈!#REF!</definedName>
    <definedName name="外部資料_2233" localSheetId="1">紅綠燈!#REF!</definedName>
    <definedName name="外部資料_2234" localSheetId="1">紅綠燈!#REF!</definedName>
    <definedName name="外部資料_2236" localSheetId="1">紅綠燈!#REF!</definedName>
    <definedName name="外部資料_2237" localSheetId="1">紅綠燈!#REF!</definedName>
    <definedName name="外部資料_2238" localSheetId="1">紅綠燈!#REF!</definedName>
    <definedName name="外部資料_224" localSheetId="16">PKA!#REF!</definedName>
    <definedName name="外部資料_224" localSheetId="17">PKB!#REF!</definedName>
    <definedName name="外部資料_224" localSheetId="18">PKC!#REF!</definedName>
    <definedName name="外部資料_224" localSheetId="9">PSR!#REF!</definedName>
    <definedName name="外部資料_224" localSheetId="4">公司債!#REF!</definedName>
    <definedName name="外部資料_224" localSheetId="14">評比系統!$T$1:$T$3</definedName>
    <definedName name="外部資料_224" localSheetId="7">營收搶先報!#REF!</definedName>
    <definedName name="外部資料_2240" localSheetId="1">紅綠燈!#REF!</definedName>
    <definedName name="外部資料_2241" localSheetId="1">紅綠燈!#REF!</definedName>
    <definedName name="外部資料_2242" localSheetId="1">紅綠燈!#REF!</definedName>
    <definedName name="外部資料_2244" localSheetId="1">紅綠燈!#REF!</definedName>
    <definedName name="外部資料_2245" localSheetId="1">紅綠燈!#REF!</definedName>
    <definedName name="外部資料_2246" localSheetId="1">紅綠燈!#REF!</definedName>
    <definedName name="外部資料_2248" localSheetId="1">紅綠燈!#REF!</definedName>
    <definedName name="外部資料_2249" localSheetId="1">紅綠燈!#REF!</definedName>
    <definedName name="外部資料_225" localSheetId="16">PKA!#REF!</definedName>
    <definedName name="外部資料_225" localSheetId="17">PKB!#REF!</definedName>
    <definedName name="外部資料_225" localSheetId="18">PKC!#REF!</definedName>
    <definedName name="外部資料_225" localSheetId="9">PSR!#REF!</definedName>
    <definedName name="外部資料_225" localSheetId="4">公司債!#REF!</definedName>
    <definedName name="外部資料_225" localSheetId="14">評比系統!$T$1:$T$3</definedName>
    <definedName name="外部資料_225" localSheetId="7">營收搶先報!#REF!</definedName>
    <definedName name="外部資料_2250" localSheetId="1">紅綠燈!#REF!</definedName>
    <definedName name="外部資料_2252" localSheetId="1">紅綠燈!#REF!</definedName>
    <definedName name="外部資料_2253" localSheetId="1">紅綠燈!#REF!</definedName>
    <definedName name="外部資料_2254" localSheetId="1">紅綠燈!#REF!</definedName>
    <definedName name="外部資料_2256" localSheetId="1">紅綠燈!#REF!</definedName>
    <definedName name="外部資料_2257" localSheetId="1">紅綠燈!#REF!</definedName>
    <definedName name="外部資料_2258" localSheetId="1">紅綠燈!#REF!</definedName>
    <definedName name="外部資料_226" localSheetId="16">PKA!#REF!</definedName>
    <definedName name="外部資料_226" localSheetId="17">PKB!#REF!</definedName>
    <definedName name="外部資料_226" localSheetId="18">PKC!#REF!</definedName>
    <definedName name="外部資料_226" localSheetId="9">PSR!#REF!</definedName>
    <definedName name="外部資料_226" localSheetId="4">公司債!#REF!</definedName>
    <definedName name="外部資料_226" localSheetId="14">評比系統!$T$1:$T$3</definedName>
    <definedName name="外部資料_226" localSheetId="7">營收搶先報!#REF!</definedName>
    <definedName name="外部資料_2260" localSheetId="1">紅綠燈!#REF!</definedName>
    <definedName name="外部資料_2261" localSheetId="1">紅綠燈!#REF!</definedName>
    <definedName name="外部資料_2262" localSheetId="1">紅綠燈!#REF!</definedName>
    <definedName name="外部資料_2264" localSheetId="1">紅綠燈!#REF!</definedName>
    <definedName name="外部資料_2265" localSheetId="1">紅綠燈!#REF!</definedName>
    <definedName name="外部資料_2266" localSheetId="1">紅綠燈!#REF!</definedName>
    <definedName name="外部資料_2268" localSheetId="1">紅綠燈!#REF!</definedName>
    <definedName name="外部資料_2269" localSheetId="1">紅綠燈!#REF!</definedName>
    <definedName name="外部資料_227" localSheetId="16">PKA!#REF!</definedName>
    <definedName name="外部資料_227" localSheetId="17">PKB!#REF!</definedName>
    <definedName name="外部資料_227" localSheetId="18">PKC!#REF!</definedName>
    <definedName name="外部資料_227" localSheetId="9">PSR!#REF!</definedName>
    <definedName name="外部資料_227" localSheetId="4">公司債!#REF!</definedName>
    <definedName name="外部資料_227" localSheetId="14">評比系統!$T$1:$T$3</definedName>
    <definedName name="外部資料_227" localSheetId="7">營收搶先報!#REF!</definedName>
    <definedName name="外部資料_2270" localSheetId="1">紅綠燈!#REF!</definedName>
    <definedName name="外部資料_2272" localSheetId="1">紅綠燈!#REF!</definedName>
    <definedName name="外部資料_2273" localSheetId="1">紅綠燈!#REF!</definedName>
    <definedName name="外部資料_2274" localSheetId="1">紅綠燈!#REF!</definedName>
    <definedName name="外部資料_2276" localSheetId="1">紅綠燈!#REF!</definedName>
    <definedName name="外部資料_2277" localSheetId="1">紅綠燈!#REF!</definedName>
    <definedName name="外部資料_2278" localSheetId="1">紅綠燈!#REF!</definedName>
    <definedName name="外部資料_228" localSheetId="16">PKA!#REF!</definedName>
    <definedName name="外部資料_228" localSheetId="17">PKB!#REF!</definedName>
    <definedName name="外部資料_228" localSheetId="18">PKC!#REF!</definedName>
    <definedName name="外部資料_228" localSheetId="9">PSR!#REF!</definedName>
    <definedName name="外部資料_228" localSheetId="4">公司債!#REF!</definedName>
    <definedName name="外部資料_228" localSheetId="14">評比系統!$T$1:$T$3</definedName>
    <definedName name="外部資料_228" localSheetId="7">營收搶先報!#REF!</definedName>
    <definedName name="外部資料_2280" localSheetId="1">紅綠燈!#REF!</definedName>
    <definedName name="外部資料_2281" localSheetId="1">紅綠燈!#REF!</definedName>
    <definedName name="外部資料_2282" localSheetId="1">紅綠燈!#REF!</definedName>
    <definedName name="外部資料_2284" localSheetId="1">紅綠燈!#REF!</definedName>
    <definedName name="外部資料_2285" localSheetId="1">紅綠燈!#REF!</definedName>
    <definedName name="外部資料_2286" localSheetId="1">紅綠燈!#REF!</definedName>
    <definedName name="外部資料_2288" localSheetId="1">紅綠燈!#REF!</definedName>
    <definedName name="外部資料_2289" localSheetId="1">紅綠燈!#REF!</definedName>
    <definedName name="外部資料_229" localSheetId="16">PKA!#REF!</definedName>
    <definedName name="外部資料_229" localSheetId="17">PKB!#REF!</definedName>
    <definedName name="外部資料_229" localSheetId="18">PKC!#REF!</definedName>
    <definedName name="外部資料_229" localSheetId="9">PSR!#REF!</definedName>
    <definedName name="外部資料_229" localSheetId="4">公司債!#REF!</definedName>
    <definedName name="外部資料_229" localSheetId="14">評比系統!$T$1:$T$3</definedName>
    <definedName name="外部資料_229" localSheetId="7">營收搶先報!#REF!</definedName>
    <definedName name="外部資料_2290" localSheetId="1">紅綠燈!#REF!</definedName>
    <definedName name="外部資料_2292" localSheetId="1">紅綠燈!#REF!</definedName>
    <definedName name="外部資料_2293" localSheetId="1">紅綠燈!#REF!</definedName>
    <definedName name="外部資料_2294" localSheetId="1">紅綠燈!#REF!</definedName>
    <definedName name="外部資料_2296" localSheetId="1">紅綠燈!#REF!</definedName>
    <definedName name="外部資料_2297" localSheetId="1">紅綠燈!#REF!</definedName>
    <definedName name="外部資料_2298" localSheetId="1">紅綠燈!#REF!</definedName>
    <definedName name="外部資料_23" localSheetId="16">PKA!#REF!</definedName>
    <definedName name="外部資料_23" localSheetId="17">PKB!#REF!</definedName>
    <definedName name="外部資料_23" localSheetId="18">PKC!#REF!</definedName>
    <definedName name="外部資料_23" localSheetId="9">PSR!#REF!</definedName>
    <definedName name="外部資料_23" localSheetId="4">公司債!#REF!</definedName>
    <definedName name="外部資料_23" localSheetId="1">紅綠燈!#REF!</definedName>
    <definedName name="外部資料_23" localSheetId="14">評比系統!#REF!</definedName>
    <definedName name="外部資料_23" localSheetId="5">篩股系統!#REF!</definedName>
    <definedName name="外部資料_23" localSheetId="7">營收搶先報!#REF!</definedName>
    <definedName name="外部資料_230" localSheetId="16">PKA!#REF!</definedName>
    <definedName name="外部資料_230" localSheetId="17">PKB!#REF!</definedName>
    <definedName name="外部資料_230" localSheetId="18">PKC!#REF!</definedName>
    <definedName name="外部資料_230" localSheetId="9">PSR!#REF!</definedName>
    <definedName name="外部資料_230" localSheetId="4">公司債!#REF!</definedName>
    <definedName name="外部資料_230" localSheetId="14">評比系統!$T$1:$T$3</definedName>
    <definedName name="外部資料_230" localSheetId="7">營收搶先報!#REF!</definedName>
    <definedName name="外部資料_2300" localSheetId="1">紅綠燈!#REF!</definedName>
    <definedName name="外部資料_2301" localSheetId="1">紅綠燈!#REF!</definedName>
    <definedName name="外部資料_2302" localSheetId="1">紅綠燈!#REF!</definedName>
    <definedName name="外部資料_2304" localSheetId="1">紅綠燈!#REF!</definedName>
    <definedName name="外部資料_2305" localSheetId="1">紅綠燈!#REF!</definedName>
    <definedName name="外部資料_2306" localSheetId="1">紅綠燈!#REF!</definedName>
    <definedName name="外部資料_2308" localSheetId="1">紅綠燈!#REF!</definedName>
    <definedName name="外部資料_2309" localSheetId="1">紅綠燈!#REF!</definedName>
    <definedName name="外部資料_231" localSheetId="16">PKA!#REF!</definedName>
    <definedName name="外部資料_231" localSheetId="17">PKB!#REF!</definedName>
    <definedName name="外部資料_231" localSheetId="18">PKC!#REF!</definedName>
    <definedName name="外部資料_231" localSheetId="9">PSR!#REF!</definedName>
    <definedName name="外部資料_231" localSheetId="4">公司債!#REF!</definedName>
    <definedName name="外部資料_231" localSheetId="14">評比系統!$T$1:$T$3</definedName>
    <definedName name="外部資料_231" localSheetId="7">營收搶先報!#REF!</definedName>
    <definedName name="外部資料_2310" localSheetId="1">紅綠燈!#REF!</definedName>
    <definedName name="外部資料_2312" localSheetId="1">紅綠燈!#REF!</definedName>
    <definedName name="外部資料_2313" localSheetId="1">紅綠燈!#REF!</definedName>
    <definedName name="外部資料_2314" localSheetId="1">紅綠燈!#REF!</definedName>
    <definedName name="外部資料_2316" localSheetId="1">紅綠燈!#REF!</definedName>
    <definedName name="外部資料_2317" localSheetId="1">紅綠燈!#REF!</definedName>
    <definedName name="外部資料_2318" localSheetId="1">紅綠燈!#REF!</definedName>
    <definedName name="外部資料_232" localSheetId="16">PKA!#REF!</definedName>
    <definedName name="外部資料_232" localSheetId="17">PKB!#REF!</definedName>
    <definedName name="外部資料_232" localSheetId="18">PKC!#REF!</definedName>
    <definedName name="外部資料_232" localSheetId="9">PSR!#REF!</definedName>
    <definedName name="外部資料_232" localSheetId="4">公司債!#REF!</definedName>
    <definedName name="外部資料_232" localSheetId="14">評比系統!$T$1:$T$3</definedName>
    <definedName name="外部資料_232" localSheetId="7">營收搶先報!#REF!</definedName>
    <definedName name="外部資料_2320" localSheetId="1">紅綠燈!#REF!</definedName>
    <definedName name="外部資料_2321" localSheetId="1">紅綠燈!#REF!</definedName>
    <definedName name="外部資料_2322" localSheetId="1">紅綠燈!#REF!</definedName>
    <definedName name="外部資料_2324" localSheetId="1">紅綠燈!#REF!</definedName>
    <definedName name="外部資料_2325" localSheetId="1">紅綠燈!#REF!</definedName>
    <definedName name="外部資料_2326" localSheetId="1">紅綠燈!#REF!</definedName>
    <definedName name="外部資料_2328" localSheetId="1">紅綠燈!#REF!</definedName>
    <definedName name="外部資料_2329" localSheetId="1">紅綠燈!#REF!</definedName>
    <definedName name="外部資料_233" localSheetId="16">PKA!#REF!</definedName>
    <definedName name="外部資料_233" localSheetId="17">PKB!#REF!</definedName>
    <definedName name="外部資料_233" localSheetId="18">PKC!#REF!</definedName>
    <definedName name="外部資料_233" localSheetId="9">PSR!#REF!</definedName>
    <definedName name="外部資料_233" localSheetId="4">公司債!#REF!</definedName>
    <definedName name="外部資料_233" localSheetId="14">評比系統!$T$1:$T$3</definedName>
    <definedName name="外部資料_233" localSheetId="7">營收搶先報!#REF!</definedName>
    <definedName name="外部資料_2330" localSheetId="1">紅綠燈!#REF!</definedName>
    <definedName name="外部資料_2332" localSheetId="1">紅綠燈!#REF!</definedName>
    <definedName name="外部資料_2333" localSheetId="1">紅綠燈!#REF!</definedName>
    <definedName name="外部資料_2334" localSheetId="1">紅綠燈!#REF!</definedName>
    <definedName name="外部資料_2336" localSheetId="1">紅綠燈!#REF!</definedName>
    <definedName name="外部資料_2337" localSheetId="1">紅綠燈!#REF!</definedName>
    <definedName name="外部資料_2338" localSheetId="1">紅綠燈!#REF!</definedName>
    <definedName name="外部資料_234" localSheetId="16">PKA!#REF!</definedName>
    <definedName name="外部資料_234" localSheetId="17">PKB!#REF!</definedName>
    <definedName name="外部資料_234" localSheetId="18">PKC!#REF!</definedName>
    <definedName name="外部資料_234" localSheetId="9">PSR!#REF!</definedName>
    <definedName name="外部資料_234" localSheetId="4">公司債!#REF!</definedName>
    <definedName name="外部資料_234" localSheetId="14">評比系統!$T$1:$T$3</definedName>
    <definedName name="外部資料_234" localSheetId="7">營收搶先報!#REF!</definedName>
    <definedName name="外部資料_2340" localSheetId="1">紅綠燈!#REF!</definedName>
    <definedName name="外部資料_2341" localSheetId="1">紅綠燈!#REF!</definedName>
    <definedName name="外部資料_2342" localSheetId="1">紅綠燈!#REF!</definedName>
    <definedName name="外部資料_2344" localSheetId="1">紅綠燈!#REF!</definedName>
    <definedName name="外部資料_2345" localSheetId="1">紅綠燈!#REF!</definedName>
    <definedName name="外部資料_2346" localSheetId="1">紅綠燈!#REF!</definedName>
    <definedName name="外部資料_2348" localSheetId="1">紅綠燈!#REF!</definedName>
    <definedName name="外部資料_2349" localSheetId="1">紅綠燈!#REF!</definedName>
    <definedName name="外部資料_235" localSheetId="16">PKA!#REF!</definedName>
    <definedName name="外部資料_235" localSheetId="17">PKB!#REF!</definedName>
    <definedName name="外部資料_235" localSheetId="18">PKC!#REF!</definedName>
    <definedName name="外部資料_235" localSheetId="9">PSR!#REF!</definedName>
    <definedName name="外部資料_235" localSheetId="4">公司債!#REF!</definedName>
    <definedName name="外部資料_235" localSheetId="14">評比系統!$T$1:$T$3</definedName>
    <definedName name="外部資料_235" localSheetId="7">營收搶先報!#REF!</definedName>
    <definedName name="外部資料_2350" localSheetId="1">紅綠燈!#REF!</definedName>
    <definedName name="外部資料_2352" localSheetId="1">紅綠燈!#REF!</definedName>
    <definedName name="外部資料_2353" localSheetId="1">紅綠燈!#REF!</definedName>
    <definedName name="外部資料_2354" localSheetId="1">紅綠燈!#REF!</definedName>
    <definedName name="外部資料_2356" localSheetId="1">紅綠燈!#REF!</definedName>
    <definedName name="外部資料_2357" localSheetId="1">紅綠燈!#REF!</definedName>
    <definedName name="外部資料_2358" localSheetId="1">紅綠燈!#REF!</definedName>
    <definedName name="外部資料_236" localSheetId="16">PKA!#REF!</definedName>
    <definedName name="外部資料_236" localSheetId="17">PKB!#REF!</definedName>
    <definedName name="外部資料_236" localSheetId="18">PKC!#REF!</definedName>
    <definedName name="外部資料_236" localSheetId="9">PSR!#REF!</definedName>
    <definedName name="外部資料_236" localSheetId="4">公司債!#REF!</definedName>
    <definedName name="外部資料_236" localSheetId="14">評比系統!$T$1:$T$3</definedName>
    <definedName name="外部資料_236" localSheetId="7">營收搶先報!#REF!</definedName>
    <definedName name="外部資料_2360" localSheetId="1">紅綠燈!#REF!</definedName>
    <definedName name="外部資料_2361" localSheetId="1">紅綠燈!#REF!</definedName>
    <definedName name="外部資料_2362" localSheetId="1">紅綠燈!#REF!</definedName>
    <definedName name="外部資料_2364" localSheetId="1">紅綠燈!#REF!</definedName>
    <definedName name="外部資料_2365" localSheetId="1">紅綠燈!#REF!</definedName>
    <definedName name="外部資料_2366" localSheetId="1">紅綠燈!#REF!</definedName>
    <definedName name="外部資料_2368" localSheetId="1">紅綠燈!#REF!</definedName>
    <definedName name="外部資料_2369" localSheetId="1">紅綠燈!#REF!</definedName>
    <definedName name="外部資料_237" localSheetId="16">PKA!#REF!</definedName>
    <definedName name="外部資料_237" localSheetId="17">PKB!#REF!</definedName>
    <definedName name="外部資料_237" localSheetId="18">PKC!#REF!</definedName>
    <definedName name="外部資料_237" localSheetId="9">PSR!#REF!</definedName>
    <definedName name="外部資料_237" localSheetId="4">公司債!#REF!</definedName>
    <definedName name="外部資料_237" localSheetId="14">評比系統!$T$1:$T$3</definedName>
    <definedName name="外部資料_237" localSheetId="7">營收搶先報!#REF!</definedName>
    <definedName name="外部資料_2370" localSheetId="1">紅綠燈!#REF!</definedName>
    <definedName name="外部資料_2372" localSheetId="1">紅綠燈!#REF!</definedName>
    <definedName name="外部資料_2373" localSheetId="1">紅綠燈!#REF!</definedName>
    <definedName name="外部資料_2374" localSheetId="1">紅綠燈!#REF!</definedName>
    <definedName name="外部資料_2376" localSheetId="1">紅綠燈!#REF!</definedName>
    <definedName name="外部資料_2377" localSheetId="1">紅綠燈!#REF!</definedName>
    <definedName name="外部資料_2378" localSheetId="1">紅綠燈!#REF!</definedName>
    <definedName name="外部資料_238" localSheetId="16">PKA!#REF!</definedName>
    <definedName name="外部資料_238" localSheetId="17">PKB!#REF!</definedName>
    <definedName name="外部資料_238" localSheetId="18">PKC!#REF!</definedName>
    <definedName name="外部資料_238" localSheetId="9">PSR!#REF!</definedName>
    <definedName name="外部資料_238" localSheetId="4">公司債!#REF!</definedName>
    <definedName name="外部資料_238" localSheetId="14">評比系統!$T$1:$T$3</definedName>
    <definedName name="外部資料_238" localSheetId="7">營收搶先報!#REF!</definedName>
    <definedName name="外部資料_2380" localSheetId="1">紅綠燈!#REF!</definedName>
    <definedName name="外部資料_2381" localSheetId="1">紅綠燈!#REF!</definedName>
    <definedName name="外部資料_2382" localSheetId="1">紅綠燈!#REF!</definedName>
    <definedName name="外部資料_2384" localSheetId="1">紅綠燈!#REF!</definedName>
    <definedName name="外部資料_2385" localSheetId="1">紅綠燈!#REF!</definedName>
    <definedName name="外部資料_2386" localSheetId="1">紅綠燈!#REF!</definedName>
    <definedName name="外部資料_2388" localSheetId="1">紅綠燈!#REF!</definedName>
    <definedName name="外部資料_2389" localSheetId="1">紅綠燈!#REF!</definedName>
    <definedName name="外部資料_239" localSheetId="16">PKA!#REF!</definedName>
    <definedName name="外部資料_239" localSheetId="17">PKB!#REF!</definedName>
    <definedName name="外部資料_239" localSheetId="18">PKC!#REF!</definedName>
    <definedName name="外部資料_239" localSheetId="9">PSR!#REF!</definedName>
    <definedName name="外部資料_239" localSheetId="4">公司債!#REF!</definedName>
    <definedName name="外部資料_239" localSheetId="14">評比系統!$T$1:$T$3</definedName>
    <definedName name="外部資料_239" localSheetId="7">營收搶先報!#REF!</definedName>
    <definedName name="外部資料_2390" localSheetId="1">紅綠燈!#REF!</definedName>
    <definedName name="外部資料_2392" localSheetId="1">紅綠燈!#REF!</definedName>
    <definedName name="外部資料_2393" localSheetId="1">紅綠燈!#REF!</definedName>
    <definedName name="外部資料_2394" localSheetId="1">紅綠燈!#REF!</definedName>
    <definedName name="外部資料_2396" localSheetId="1">紅綠燈!#REF!</definedName>
    <definedName name="外部資料_2397" localSheetId="1">紅綠燈!#REF!</definedName>
    <definedName name="外部資料_2398" localSheetId="1">紅綠燈!#REF!</definedName>
    <definedName name="外部資料_24" localSheetId="16">PKA!#REF!</definedName>
    <definedName name="外部資料_24" localSheetId="17">PKB!#REF!</definedName>
    <definedName name="外部資料_24" localSheetId="18">PKC!#REF!</definedName>
    <definedName name="外部資料_24" localSheetId="9">PSR!#REF!</definedName>
    <definedName name="外部資料_24" localSheetId="4">公司債!#REF!</definedName>
    <definedName name="外部資料_24" localSheetId="1">紅綠燈!#REF!</definedName>
    <definedName name="外部資料_24" localSheetId="14">評比系統!#REF!</definedName>
    <definedName name="外部資料_24" localSheetId="5">篩股系統!#REF!</definedName>
    <definedName name="外部資料_24" localSheetId="7">營收搶先報!#REF!</definedName>
    <definedName name="外部資料_240" localSheetId="16">PKA!#REF!</definedName>
    <definedName name="外部資料_240" localSheetId="17">PKB!#REF!</definedName>
    <definedName name="外部資料_240" localSheetId="18">PKC!#REF!</definedName>
    <definedName name="外部資料_240" localSheetId="9">PSR!#REF!</definedName>
    <definedName name="外部資料_240" localSheetId="4">公司債!#REF!</definedName>
    <definedName name="外部資料_240" localSheetId="14">評比系統!$T$1:$T$3</definedName>
    <definedName name="外部資料_240" localSheetId="7">營收搶先報!#REF!</definedName>
    <definedName name="外部資料_2400" localSheetId="1">紅綠燈!#REF!</definedName>
    <definedName name="外部資料_2401" localSheetId="1">紅綠燈!#REF!</definedName>
    <definedName name="外部資料_2402" localSheetId="1">紅綠燈!#REF!</definedName>
    <definedName name="外部資料_2404" localSheetId="1">紅綠燈!#REF!</definedName>
    <definedName name="外部資料_2405" localSheetId="1">紅綠燈!#REF!</definedName>
    <definedName name="外部資料_2406" localSheetId="1">紅綠燈!#REF!</definedName>
    <definedName name="外部資料_2408" localSheetId="1">紅綠燈!#REF!</definedName>
    <definedName name="外部資料_2409" localSheetId="1">紅綠燈!#REF!</definedName>
    <definedName name="外部資料_241" localSheetId="16">PKA!#REF!</definedName>
    <definedName name="外部資料_241" localSheetId="17">PKB!#REF!</definedName>
    <definedName name="外部資料_241" localSheetId="18">PKC!#REF!</definedName>
    <definedName name="外部資料_241" localSheetId="9">PSR!#REF!</definedName>
    <definedName name="外部資料_241" localSheetId="4">公司債!#REF!</definedName>
    <definedName name="外部資料_241" localSheetId="14">評比系統!$T$1:$T$3</definedName>
    <definedName name="外部資料_241" localSheetId="7">營收搶先報!#REF!</definedName>
    <definedName name="外部資料_2410" localSheetId="1">紅綠燈!#REF!</definedName>
    <definedName name="外部資料_2412" localSheetId="1">紅綠燈!#REF!</definedName>
    <definedName name="外部資料_2413" localSheetId="1">紅綠燈!#REF!</definedName>
    <definedName name="外部資料_2414" localSheetId="1">紅綠燈!#REF!</definedName>
    <definedName name="外部資料_2416" localSheetId="1">紅綠燈!#REF!</definedName>
    <definedName name="外部資料_2417" localSheetId="1">紅綠燈!#REF!</definedName>
    <definedName name="外部資料_2418" localSheetId="1">紅綠燈!#REF!</definedName>
    <definedName name="外部資料_242" localSheetId="16">PKA!#REF!</definedName>
    <definedName name="外部資料_242" localSheetId="17">PKB!#REF!</definedName>
    <definedName name="外部資料_242" localSheetId="18">PKC!#REF!</definedName>
    <definedName name="外部資料_242" localSheetId="9">PSR!#REF!</definedName>
    <definedName name="外部資料_242" localSheetId="4">公司債!#REF!</definedName>
    <definedName name="外部資料_242" localSheetId="14">評比系統!$T$1:$T$3</definedName>
    <definedName name="外部資料_242" localSheetId="7">營收搶先報!#REF!</definedName>
    <definedName name="外部資料_2420" localSheetId="1">紅綠燈!#REF!</definedName>
    <definedName name="外部資料_2421" localSheetId="1">紅綠燈!#REF!</definedName>
    <definedName name="外部資料_2422" localSheetId="1">紅綠燈!#REF!</definedName>
    <definedName name="外部資料_2424" localSheetId="1">紅綠燈!#REF!</definedName>
    <definedName name="外部資料_2425" localSheetId="1">紅綠燈!#REF!</definedName>
    <definedName name="外部資料_2426" localSheetId="1">紅綠燈!#REF!</definedName>
    <definedName name="外部資料_2428" localSheetId="1">紅綠燈!#REF!</definedName>
    <definedName name="外部資料_2429" localSheetId="1">紅綠燈!#REF!</definedName>
    <definedName name="外部資料_243" localSheetId="16">PKA!#REF!</definedName>
    <definedName name="外部資料_243" localSheetId="17">PKB!#REF!</definedName>
    <definedName name="外部資料_243" localSheetId="18">PKC!#REF!</definedName>
    <definedName name="外部資料_243" localSheetId="9">PSR!#REF!</definedName>
    <definedName name="外部資料_243" localSheetId="4">公司債!#REF!</definedName>
    <definedName name="外部資料_243" localSheetId="14">評比系統!$T$1:$T$3</definedName>
    <definedName name="外部資料_243" localSheetId="7">營收搶先報!#REF!</definedName>
    <definedName name="外部資料_2430" localSheetId="1">紅綠燈!#REF!</definedName>
    <definedName name="外部資料_2432" localSheetId="1">紅綠燈!#REF!</definedName>
    <definedName name="外部資料_2433" localSheetId="1">紅綠燈!#REF!</definedName>
    <definedName name="外部資料_2434" localSheetId="1">紅綠燈!#REF!</definedName>
    <definedName name="外部資料_2436" localSheetId="1">紅綠燈!#REF!</definedName>
    <definedName name="外部資料_2437" localSheetId="1">紅綠燈!#REF!</definedName>
    <definedName name="外部資料_2438" localSheetId="1">紅綠燈!#REF!</definedName>
    <definedName name="外部資料_244" localSheetId="16">PKA!#REF!</definedName>
    <definedName name="外部資料_244" localSheetId="17">PKB!#REF!</definedName>
    <definedName name="外部資料_244" localSheetId="18">PKC!#REF!</definedName>
    <definedName name="外部資料_244" localSheetId="9">PSR!#REF!</definedName>
    <definedName name="外部資料_244" localSheetId="4">公司債!#REF!</definedName>
    <definedName name="外部資料_244" localSheetId="14">評比系統!$T$1:$T$3</definedName>
    <definedName name="外部資料_244" localSheetId="7">營收搶先報!#REF!</definedName>
    <definedName name="外部資料_2440" localSheetId="1">紅綠燈!#REF!</definedName>
    <definedName name="外部資料_2441" localSheetId="1">紅綠燈!#REF!</definedName>
    <definedName name="外部資料_2442" localSheetId="1">紅綠燈!#REF!</definedName>
    <definedName name="外部資料_2444" localSheetId="1">紅綠燈!#REF!</definedName>
    <definedName name="外部資料_2445" localSheetId="1">紅綠燈!#REF!</definedName>
    <definedName name="外部資料_2446" localSheetId="1">紅綠燈!#REF!</definedName>
    <definedName name="外部資料_2448" localSheetId="1">紅綠燈!#REF!</definedName>
    <definedName name="外部資料_2449" localSheetId="1">紅綠燈!#REF!</definedName>
    <definedName name="外部資料_245" localSheetId="16">PKA!#REF!</definedName>
    <definedName name="外部資料_245" localSheetId="17">PKB!#REF!</definedName>
    <definedName name="外部資料_245" localSheetId="18">PKC!#REF!</definedName>
    <definedName name="外部資料_245" localSheetId="9">PSR!#REF!</definedName>
    <definedName name="外部資料_245" localSheetId="4">公司債!#REF!</definedName>
    <definedName name="外部資料_245" localSheetId="14">評比系統!$T$1:$T$3</definedName>
    <definedName name="外部資料_245" localSheetId="7">營收搶先報!#REF!</definedName>
    <definedName name="外部資料_2451" localSheetId="1">紅綠燈!#REF!</definedName>
    <definedName name="外部資料_2452" localSheetId="1">紅綠燈!#REF!</definedName>
    <definedName name="外部資料_2453" localSheetId="1">紅綠燈!#REF!</definedName>
    <definedName name="外部資料_2455" localSheetId="1">紅綠燈!#REF!</definedName>
    <definedName name="外部資料_2456" localSheetId="1">紅綠燈!#REF!</definedName>
    <definedName name="外部資料_2457" localSheetId="1">紅綠燈!#REF!</definedName>
    <definedName name="外部資料_2459" localSheetId="1">紅綠燈!#REF!</definedName>
    <definedName name="外部資料_246" localSheetId="16">PKA!#REF!</definedName>
    <definedName name="外部資料_246" localSheetId="17">PKB!#REF!</definedName>
    <definedName name="外部資料_246" localSheetId="18">PKC!#REF!</definedName>
    <definedName name="外部資料_246" localSheetId="9">PSR!#REF!</definedName>
    <definedName name="外部資料_246" localSheetId="4">公司債!#REF!</definedName>
    <definedName name="外部資料_246" localSheetId="14">評比系統!$T$1:$T$3</definedName>
    <definedName name="外部資料_246" localSheetId="7">營收搶先報!#REF!</definedName>
    <definedName name="外部資料_2460" localSheetId="1">紅綠燈!#REF!</definedName>
    <definedName name="外部資料_2461" localSheetId="1">紅綠燈!#REF!</definedName>
    <definedName name="外部資料_2463" localSheetId="1">紅綠燈!#REF!</definedName>
    <definedName name="外部資料_2464" localSheetId="1">紅綠燈!#REF!</definedName>
    <definedName name="外部資料_2465" localSheetId="1">紅綠燈!#REF!</definedName>
    <definedName name="外部資料_2467" localSheetId="1">紅綠燈!#REF!</definedName>
    <definedName name="外部資料_2468" localSheetId="1">紅綠燈!#REF!</definedName>
    <definedName name="外部資料_2469" localSheetId="1">紅綠燈!#REF!</definedName>
    <definedName name="外部資料_247" localSheetId="16">PKA!#REF!</definedName>
    <definedName name="外部資料_247" localSheetId="17">PKB!#REF!</definedName>
    <definedName name="外部資料_247" localSheetId="18">PKC!#REF!</definedName>
    <definedName name="外部資料_247" localSheetId="9">PSR!#REF!</definedName>
    <definedName name="外部資料_247" localSheetId="4">公司債!#REF!</definedName>
    <definedName name="外部資料_247" localSheetId="14">評比系統!$T$1:$T$3</definedName>
    <definedName name="外部資料_247" localSheetId="7">營收搶先報!$A$2:$K$39</definedName>
    <definedName name="外部資料_2471" localSheetId="1">紅綠燈!#REF!</definedName>
    <definedName name="外部資料_2472" localSheetId="1">紅綠燈!#REF!</definedName>
    <definedName name="外部資料_2473" localSheetId="1">紅綠燈!#REF!</definedName>
    <definedName name="外部資料_2475" localSheetId="1">紅綠燈!#REF!</definedName>
    <definedName name="外部資料_2476" localSheetId="1">紅綠燈!#REF!</definedName>
    <definedName name="外部資料_2477" localSheetId="1">紅綠燈!#REF!</definedName>
    <definedName name="外部資料_2479" localSheetId="1">紅綠燈!#REF!</definedName>
    <definedName name="外部資料_248" localSheetId="16">PKA!#REF!</definedName>
    <definedName name="外部資料_248" localSheetId="17">PKB!#REF!</definedName>
    <definedName name="外部資料_248" localSheetId="18">PKC!#REF!</definedName>
    <definedName name="外部資料_248" localSheetId="9">PSR!#REF!</definedName>
    <definedName name="外部資料_248" localSheetId="4">公司債!#REF!</definedName>
    <definedName name="外部資料_248" localSheetId="14">評比系統!$T$1:$T$3</definedName>
    <definedName name="外部資料_248" localSheetId="7">營收搶先報!$A$2:$K$17</definedName>
    <definedName name="外部資料_2480" localSheetId="1">紅綠燈!#REF!</definedName>
    <definedName name="外部資料_2481" localSheetId="1">紅綠燈!#REF!</definedName>
    <definedName name="外部資料_2483" localSheetId="1">紅綠燈!#REF!</definedName>
    <definedName name="外部資料_2484" localSheetId="1">紅綠燈!#REF!</definedName>
    <definedName name="外部資料_2485" localSheetId="1">紅綠燈!#REF!</definedName>
    <definedName name="外部資料_2487" localSheetId="1">紅綠燈!#REF!</definedName>
    <definedName name="外部資料_2488" localSheetId="1">紅綠燈!#REF!</definedName>
    <definedName name="外部資料_2489" localSheetId="1">紅綠燈!#REF!</definedName>
    <definedName name="外部資料_249" localSheetId="16">PKA!#REF!</definedName>
    <definedName name="外部資料_249" localSheetId="17">PKB!#REF!</definedName>
    <definedName name="外部資料_249" localSheetId="18">PKC!#REF!</definedName>
    <definedName name="外部資料_249" localSheetId="9">PSR!#REF!</definedName>
    <definedName name="外部資料_249" localSheetId="4">公司債!#REF!</definedName>
    <definedName name="外部資料_249" localSheetId="14">評比系統!$T$1:$T$3</definedName>
    <definedName name="外部資料_249" localSheetId="7">營收搶先報!$A$2:$K$251</definedName>
    <definedName name="外部資料_2491" localSheetId="1">紅綠燈!#REF!</definedName>
    <definedName name="外部資料_2492" localSheetId="1">紅綠燈!#REF!</definedName>
    <definedName name="外部資料_2493" localSheetId="1">紅綠燈!#REF!</definedName>
    <definedName name="外部資料_2495" localSheetId="1">紅綠燈!#REF!</definedName>
    <definedName name="外部資料_2496" localSheetId="1">紅綠燈!#REF!</definedName>
    <definedName name="外部資料_2497" localSheetId="1">紅綠燈!#REF!</definedName>
    <definedName name="外部資料_2499" localSheetId="1">紅綠燈!#REF!</definedName>
    <definedName name="外部資料_25" localSheetId="16">PKA!#REF!</definedName>
    <definedName name="外部資料_25" localSheetId="17">PKB!#REF!</definedName>
    <definedName name="外部資料_25" localSheetId="18">PKC!#REF!</definedName>
    <definedName name="外部資料_25" localSheetId="9">PSR!#REF!</definedName>
    <definedName name="外部資料_25" localSheetId="4">公司債!#REF!</definedName>
    <definedName name="外部資料_25" localSheetId="1">紅綠燈!#REF!</definedName>
    <definedName name="外部資料_25" localSheetId="14">評比系統!#REF!</definedName>
    <definedName name="外部資料_25" localSheetId="5">篩股系統!#REF!</definedName>
    <definedName name="外部資料_25" localSheetId="7">營收搶先報!#REF!</definedName>
    <definedName name="外部資料_250" localSheetId="16">PKA!#REF!</definedName>
    <definedName name="外部資料_250" localSheetId="17">PKB!#REF!</definedName>
    <definedName name="外部資料_250" localSheetId="18">PKC!#REF!</definedName>
    <definedName name="外部資料_250" localSheetId="9">PSR!#REF!</definedName>
    <definedName name="外部資料_250" localSheetId="4">公司債!#REF!</definedName>
    <definedName name="外部資料_250" localSheetId="14">評比系統!$T$1:$T$3</definedName>
    <definedName name="外部資料_250" localSheetId="7">營收搶先報!$A$2:$K$229</definedName>
    <definedName name="外部資料_2500" localSheetId="1">紅綠燈!#REF!</definedName>
    <definedName name="外部資料_2501" localSheetId="1">紅綠燈!#REF!</definedName>
    <definedName name="外部資料_2503" localSheetId="1">紅綠燈!#REF!</definedName>
    <definedName name="外部資料_2504" localSheetId="1">紅綠燈!#REF!</definedName>
    <definedName name="外部資料_2505" localSheetId="1">紅綠燈!#REF!</definedName>
    <definedName name="外部資料_2507" localSheetId="1">紅綠燈!#REF!</definedName>
    <definedName name="外部資料_2508" localSheetId="1">紅綠燈!#REF!</definedName>
    <definedName name="外部資料_2509" localSheetId="1">紅綠燈!#REF!</definedName>
    <definedName name="外部資料_251" localSheetId="16">PKA!#REF!</definedName>
    <definedName name="外部資料_251" localSheetId="17">PKB!#REF!</definedName>
    <definedName name="外部資料_251" localSheetId="18">PKC!#REF!</definedName>
    <definedName name="外部資料_251" localSheetId="9">PSR!#REF!</definedName>
    <definedName name="外部資料_251" localSheetId="4">公司債!#REF!</definedName>
    <definedName name="外部資料_251" localSheetId="14">評比系統!$T$1:$T$3</definedName>
    <definedName name="外部資料_251" localSheetId="7">營收搶先報!$A$2:$K$463</definedName>
    <definedName name="外部資料_2511" localSheetId="1">紅綠燈!#REF!</definedName>
    <definedName name="外部資料_2512" localSheetId="1">紅綠燈!#REF!</definedName>
    <definedName name="外部資料_2513" localSheetId="1">紅綠燈!#REF!</definedName>
    <definedName name="外部資料_2515" localSheetId="1">紅綠燈!#REF!</definedName>
    <definedName name="外部資料_2516" localSheetId="1">紅綠燈!#REF!</definedName>
    <definedName name="外部資料_2517" localSheetId="1">紅綠燈!#REF!</definedName>
    <definedName name="外部資料_2519" localSheetId="1">紅綠燈!#REF!</definedName>
    <definedName name="外部資料_252" localSheetId="16">PKA!#REF!</definedName>
    <definedName name="外部資料_252" localSheetId="17">PKB!#REF!</definedName>
    <definedName name="外部資料_252" localSheetId="18">PKC!#REF!</definedName>
    <definedName name="外部資料_252" localSheetId="9">PSR!#REF!</definedName>
    <definedName name="外部資料_252" localSheetId="4">公司債!#REF!</definedName>
    <definedName name="外部資料_252" localSheetId="14">評比系統!$T$1:$T$3</definedName>
    <definedName name="外部資料_252" localSheetId="7">營收搶先報!$A$2:$K$441</definedName>
    <definedName name="外部資料_2520" localSheetId="1">紅綠燈!#REF!</definedName>
    <definedName name="外部資料_2521" localSheetId="1">紅綠燈!#REF!</definedName>
    <definedName name="外部資料_2523" localSheetId="1">紅綠燈!#REF!</definedName>
    <definedName name="外部資料_2524" localSheetId="1">紅綠燈!#REF!</definedName>
    <definedName name="外部資料_2525" localSheetId="1">紅綠燈!#REF!</definedName>
    <definedName name="外部資料_2527" localSheetId="1">紅綠燈!#REF!</definedName>
    <definedName name="外部資料_2528" localSheetId="1">紅綠燈!#REF!</definedName>
    <definedName name="外部資料_2529" localSheetId="1">紅綠燈!#REF!</definedName>
    <definedName name="外部資料_253" localSheetId="16">PKA!#REF!</definedName>
    <definedName name="外部資料_253" localSheetId="17">PKB!#REF!</definedName>
    <definedName name="外部資料_253" localSheetId="18">PKC!#REF!</definedName>
    <definedName name="外部資料_253" localSheetId="9">PSR!#REF!</definedName>
    <definedName name="外部資料_253" localSheetId="4">公司債!#REF!</definedName>
    <definedName name="外部資料_253" localSheetId="14">評比系統!$T$1:$T$3</definedName>
    <definedName name="外部資料_2531" localSheetId="1">紅綠燈!#REF!</definedName>
    <definedName name="外部資料_2532" localSheetId="1">紅綠燈!#REF!</definedName>
    <definedName name="外部資料_2533" localSheetId="1">紅綠燈!#REF!</definedName>
    <definedName name="外部資料_2535" localSheetId="1">紅綠燈!#REF!</definedName>
    <definedName name="外部資料_2536" localSheetId="1">紅綠燈!#REF!</definedName>
    <definedName name="外部資料_2537" localSheetId="1">紅綠燈!#REF!</definedName>
    <definedName name="外部資料_2539" localSheetId="1">紅綠燈!#REF!</definedName>
    <definedName name="外部資料_254" localSheetId="16">PKA!#REF!</definedName>
    <definedName name="外部資料_254" localSheetId="17">PKB!#REF!</definedName>
    <definedName name="外部資料_254" localSheetId="18">PKC!#REF!</definedName>
    <definedName name="外部資料_254" localSheetId="9">PSR!#REF!</definedName>
    <definedName name="外部資料_254" localSheetId="4">公司債!#REF!</definedName>
    <definedName name="外部資料_254" localSheetId="14">評比系統!$T$1:$T$3</definedName>
    <definedName name="外部資料_2540" localSheetId="1">紅綠燈!#REF!</definedName>
    <definedName name="外部資料_2541" localSheetId="1">紅綠燈!#REF!</definedName>
    <definedName name="外部資料_2543" localSheetId="1">紅綠燈!#REF!</definedName>
    <definedName name="外部資料_2544" localSheetId="1">紅綠燈!#REF!</definedName>
    <definedName name="外部資料_2545" localSheetId="1">紅綠燈!#REF!</definedName>
    <definedName name="外部資料_2547" localSheetId="1">紅綠燈!#REF!</definedName>
    <definedName name="外部資料_2548" localSheetId="1">紅綠燈!#REF!</definedName>
    <definedName name="外部資料_2549" localSheetId="1">紅綠燈!#REF!</definedName>
    <definedName name="外部資料_255" localSheetId="16">PKA!#REF!</definedName>
    <definedName name="外部資料_255" localSheetId="17">PKB!#REF!</definedName>
    <definedName name="外部資料_255" localSheetId="18">PKC!#REF!</definedName>
    <definedName name="外部資料_255" localSheetId="9">PSR!#REF!</definedName>
    <definedName name="外部資料_255" localSheetId="4">公司債!#REF!</definedName>
    <definedName name="外部資料_255" localSheetId="14">評比系統!$T$1:$T$3</definedName>
    <definedName name="外部資料_2551" localSheetId="1">紅綠燈!#REF!</definedName>
    <definedName name="外部資料_2552" localSheetId="1">紅綠燈!#REF!</definedName>
    <definedName name="外部資料_2553" localSheetId="1">紅綠燈!#REF!</definedName>
    <definedName name="外部資料_2555" localSheetId="1">紅綠燈!#REF!</definedName>
    <definedName name="外部資料_2556" localSheetId="1">紅綠燈!#REF!</definedName>
    <definedName name="外部資料_2557" localSheetId="1">紅綠燈!#REF!</definedName>
    <definedName name="外部資料_2559" localSheetId="1">紅綠燈!#REF!</definedName>
    <definedName name="外部資料_256" localSheetId="16">PKA!#REF!</definedName>
    <definedName name="外部資料_256" localSheetId="17">PKB!#REF!</definedName>
    <definedName name="外部資料_256" localSheetId="18">PKC!#REF!</definedName>
    <definedName name="外部資料_256" localSheetId="9">PSR!#REF!</definedName>
    <definedName name="外部資料_256" localSheetId="4">公司債!#REF!</definedName>
    <definedName name="外部資料_256" localSheetId="14">評比系統!$T$1:$T$3</definedName>
    <definedName name="外部資料_2560" localSheetId="1">紅綠燈!#REF!</definedName>
    <definedName name="外部資料_2561" localSheetId="1">紅綠燈!#REF!</definedName>
    <definedName name="外部資料_2563" localSheetId="1">紅綠燈!#REF!</definedName>
    <definedName name="外部資料_2564" localSheetId="1">紅綠燈!#REF!</definedName>
    <definedName name="外部資料_2565" localSheetId="1">紅綠燈!#REF!</definedName>
    <definedName name="外部資料_2567" localSheetId="1">紅綠燈!#REF!</definedName>
    <definedName name="外部資料_2568" localSheetId="1">紅綠燈!#REF!</definedName>
    <definedName name="外部資料_2569" localSheetId="1">紅綠燈!#REF!</definedName>
    <definedName name="外部資料_257" localSheetId="16">PKA!#REF!</definedName>
    <definedName name="外部資料_257" localSheetId="17">PKB!#REF!</definedName>
    <definedName name="外部資料_257" localSheetId="18">PKC!#REF!</definedName>
    <definedName name="外部資料_257" localSheetId="9">PSR!#REF!</definedName>
    <definedName name="外部資料_257" localSheetId="4">公司債!#REF!</definedName>
    <definedName name="外部資料_257" localSheetId="14">評比系統!$T$1:$T$3</definedName>
    <definedName name="外部資料_2571" localSheetId="1">紅綠燈!#REF!</definedName>
    <definedName name="外部資料_2572" localSheetId="1">紅綠燈!#REF!</definedName>
    <definedName name="外部資料_2573" localSheetId="1">紅綠燈!#REF!</definedName>
    <definedName name="外部資料_2575" localSheetId="1">紅綠燈!#REF!</definedName>
    <definedName name="外部資料_2576" localSheetId="1">紅綠燈!#REF!</definedName>
    <definedName name="外部資料_2577" localSheetId="1">紅綠燈!#REF!</definedName>
    <definedName name="外部資料_2579" localSheetId="1">紅綠燈!#REF!</definedName>
    <definedName name="外部資料_258" localSheetId="16">PKA!#REF!</definedName>
    <definedName name="外部資料_258" localSheetId="17">PKB!#REF!</definedName>
    <definedName name="外部資料_258" localSheetId="18">PKC!#REF!</definedName>
    <definedName name="外部資料_258" localSheetId="9">PSR!#REF!</definedName>
    <definedName name="外部資料_258" localSheetId="4">公司債!#REF!</definedName>
    <definedName name="外部資料_258" localSheetId="14">評比系統!$T$1:$T$3</definedName>
    <definedName name="外部資料_2580" localSheetId="1">紅綠燈!#REF!</definedName>
    <definedName name="外部資料_2581" localSheetId="1">紅綠燈!#REF!</definedName>
    <definedName name="外部資料_2583" localSheetId="1">紅綠燈!#REF!</definedName>
    <definedName name="外部資料_2584" localSheetId="1">紅綠燈!#REF!</definedName>
    <definedName name="外部資料_2585" localSheetId="1">紅綠燈!#REF!</definedName>
    <definedName name="外部資料_2587" localSheetId="1">紅綠燈!#REF!</definedName>
    <definedName name="外部資料_2588" localSheetId="1">紅綠燈!#REF!</definedName>
    <definedName name="外部資料_2589" localSheetId="1">紅綠燈!#REF!</definedName>
    <definedName name="外部資料_259" localSheetId="16">PKA!#REF!</definedName>
    <definedName name="外部資料_259" localSheetId="17">PKB!#REF!</definedName>
    <definedName name="外部資料_259" localSheetId="18">PKC!#REF!</definedName>
    <definedName name="外部資料_259" localSheetId="9">PSR!#REF!</definedName>
    <definedName name="外部資料_259" localSheetId="4">公司債!#REF!</definedName>
    <definedName name="外部資料_259" localSheetId="14">評比系統!$T$1:$T$3</definedName>
    <definedName name="外部資料_2591" localSheetId="1">紅綠燈!#REF!</definedName>
    <definedName name="外部資料_2592" localSheetId="1">紅綠燈!#REF!</definedName>
    <definedName name="外部資料_2593" localSheetId="1">紅綠燈!#REF!</definedName>
    <definedName name="外部資料_2595" localSheetId="1">紅綠燈!#REF!</definedName>
    <definedName name="外部資料_2596" localSheetId="1">紅綠燈!#REF!</definedName>
    <definedName name="外部資料_2597" localSheetId="1">紅綠燈!#REF!</definedName>
    <definedName name="外部資料_2599" localSheetId="1">紅綠燈!#REF!</definedName>
    <definedName name="外部資料_26" localSheetId="16">PKA!#REF!</definedName>
    <definedName name="外部資料_26" localSheetId="17">PKB!#REF!</definedName>
    <definedName name="外部資料_26" localSheetId="18">PKC!#REF!</definedName>
    <definedName name="外部資料_26" localSheetId="9">PSR!#REF!</definedName>
    <definedName name="外部資料_26" localSheetId="4">公司債!#REF!</definedName>
    <definedName name="外部資料_26" localSheetId="1">紅綠燈!#REF!</definedName>
    <definedName name="外部資料_26" localSheetId="14">評比系統!#REF!</definedName>
    <definedName name="外部資料_26" localSheetId="5">篩股系統!#REF!</definedName>
    <definedName name="外部資料_26" localSheetId="7">營收搶先報!#REF!</definedName>
    <definedName name="外部資料_260" localSheetId="16">PKA!#REF!</definedName>
    <definedName name="外部資料_260" localSheetId="17">PKB!#REF!</definedName>
    <definedName name="外部資料_260" localSheetId="18">PKC!#REF!</definedName>
    <definedName name="外部資料_260" localSheetId="9">PSR!#REF!</definedName>
    <definedName name="外部資料_260" localSheetId="4">公司債!#REF!</definedName>
    <definedName name="外部資料_260" localSheetId="14">評比系統!$T$1:$T$3</definedName>
    <definedName name="外部資料_2600" localSheetId="1">紅綠燈!#REF!</definedName>
    <definedName name="外部資料_2601" localSheetId="1">紅綠燈!#REF!</definedName>
    <definedName name="外部資料_2603" localSheetId="1">紅綠燈!#REF!</definedName>
    <definedName name="外部資料_2604" localSheetId="1">紅綠燈!#REF!</definedName>
    <definedName name="外部資料_2605" localSheetId="1">紅綠燈!#REF!</definedName>
    <definedName name="外部資料_2607" localSheetId="1">紅綠燈!#REF!</definedName>
    <definedName name="外部資料_2608" localSheetId="1">紅綠燈!#REF!</definedName>
    <definedName name="外部資料_261" localSheetId="16">PKA!#REF!</definedName>
    <definedName name="外部資料_261" localSheetId="17">PKB!#REF!</definedName>
    <definedName name="外部資料_261" localSheetId="18">PKC!#REF!</definedName>
    <definedName name="外部資料_261" localSheetId="9">PSR!#REF!</definedName>
    <definedName name="外部資料_261" localSheetId="4">公司債!#REF!</definedName>
    <definedName name="外部資料_261" localSheetId="14">評比系統!$T$1:$T$3</definedName>
    <definedName name="外部資料_2610" localSheetId="1">紅綠燈!#REF!</definedName>
    <definedName name="外部資料_2611" localSheetId="1">紅綠燈!#REF!</definedName>
    <definedName name="外部資料_2612" localSheetId="1">紅綠燈!#REF!</definedName>
    <definedName name="外部資料_2614" localSheetId="1">紅綠燈!#REF!</definedName>
    <definedName name="外部資料_2615" localSheetId="1">紅綠燈!#REF!</definedName>
    <definedName name="外部資料_2616" localSheetId="1">紅綠燈!#REF!</definedName>
    <definedName name="外部資料_2618" localSheetId="1">紅綠燈!#REF!</definedName>
    <definedName name="外部資料_2619" localSheetId="1">紅綠燈!#REF!</definedName>
    <definedName name="外部資料_262" localSheetId="16">PKA!#REF!</definedName>
    <definedName name="外部資料_262" localSheetId="17">PKB!#REF!</definedName>
    <definedName name="外部資料_262" localSheetId="18">PKC!#REF!</definedName>
    <definedName name="外部資料_262" localSheetId="9">PSR!#REF!</definedName>
    <definedName name="外部資料_262" localSheetId="4">公司債!#REF!</definedName>
    <definedName name="外部資料_262" localSheetId="14">評比系統!$T$1:$T$3</definedName>
    <definedName name="外部資料_2621" localSheetId="1">紅綠燈!#REF!</definedName>
    <definedName name="外部資料_2622" localSheetId="1">紅綠燈!#REF!</definedName>
    <definedName name="外部資料_2623" localSheetId="1">紅綠燈!#REF!</definedName>
    <definedName name="外部資料_2625" localSheetId="1">紅綠燈!#REF!</definedName>
    <definedName name="外部資料_2626" localSheetId="1">紅綠燈!#REF!</definedName>
    <definedName name="外部資料_2627" localSheetId="1">紅綠燈!#REF!</definedName>
    <definedName name="外部資料_2629" localSheetId="1">紅綠燈!#REF!</definedName>
    <definedName name="外部資料_263" localSheetId="16">PKA!#REF!</definedName>
    <definedName name="外部資料_263" localSheetId="17">PKB!#REF!</definedName>
    <definedName name="外部資料_263" localSheetId="18">PKC!#REF!</definedName>
    <definedName name="外部資料_263" localSheetId="9">PSR!#REF!</definedName>
    <definedName name="外部資料_263" localSheetId="4">公司債!#REF!</definedName>
    <definedName name="外部資料_263" localSheetId="14">評比系統!$T$1:$T$3</definedName>
    <definedName name="外部資料_2630" localSheetId="1">紅綠燈!#REF!</definedName>
    <definedName name="外部資料_2631" localSheetId="1">紅綠燈!#REF!</definedName>
    <definedName name="外部資料_2633" localSheetId="1">紅綠燈!#REF!</definedName>
    <definedName name="外部資料_2634" localSheetId="1">紅綠燈!#REF!</definedName>
    <definedName name="外部資料_2635" localSheetId="1">紅綠燈!#REF!</definedName>
    <definedName name="外部資料_2637" localSheetId="1">紅綠燈!#REF!</definedName>
    <definedName name="外部資料_2638" localSheetId="1">紅綠燈!#REF!</definedName>
    <definedName name="外部資料_2639" localSheetId="1">紅綠燈!#REF!</definedName>
    <definedName name="外部資料_264" localSheetId="16">PKA!#REF!</definedName>
    <definedName name="外部資料_264" localSheetId="17">PKB!#REF!</definedName>
    <definedName name="外部資料_264" localSheetId="18">PKC!#REF!</definedName>
    <definedName name="外部資料_264" localSheetId="9">PSR!#REF!</definedName>
    <definedName name="外部資料_264" localSheetId="4">公司債!#REF!</definedName>
    <definedName name="外部資料_264" localSheetId="14">評比系統!$T$1:$T$3</definedName>
    <definedName name="外部資料_2641" localSheetId="1">紅綠燈!#REF!</definedName>
    <definedName name="外部資料_2642" localSheetId="1">紅綠燈!#REF!</definedName>
    <definedName name="外部資料_2643" localSheetId="1">紅綠燈!#REF!</definedName>
    <definedName name="外部資料_2645" localSheetId="1">紅綠燈!#REF!</definedName>
    <definedName name="外部資料_2646" localSheetId="1">紅綠燈!#REF!</definedName>
    <definedName name="外部資料_2647" localSheetId="1">紅綠燈!#REF!</definedName>
    <definedName name="外部資料_2649" localSheetId="1">紅綠燈!#REF!</definedName>
    <definedName name="外部資料_265" localSheetId="16">PKA!#REF!</definedName>
    <definedName name="外部資料_265" localSheetId="17">PKB!#REF!</definedName>
    <definedName name="外部資料_265" localSheetId="18">PKC!#REF!</definedName>
    <definedName name="外部資料_265" localSheetId="9">PSR!#REF!</definedName>
    <definedName name="外部資料_265" localSheetId="4">公司債!#REF!</definedName>
    <definedName name="外部資料_265" localSheetId="14">評比系統!$T$1:$T$3</definedName>
    <definedName name="外部資料_2650" localSheetId="1">紅綠燈!#REF!</definedName>
    <definedName name="外部資料_2651" localSheetId="1">紅綠燈!#REF!</definedName>
    <definedName name="外部資料_2653" localSheetId="1">紅綠燈!#REF!</definedName>
    <definedName name="外部資料_2654" localSheetId="1">紅綠燈!#REF!</definedName>
    <definedName name="外部資料_2655" localSheetId="1">紅綠燈!#REF!</definedName>
    <definedName name="外部資料_2657" localSheetId="1">紅綠燈!#REF!</definedName>
    <definedName name="外部資料_2658" localSheetId="1">紅綠燈!#REF!</definedName>
    <definedName name="外部資料_2659" localSheetId="1">紅綠燈!#REF!</definedName>
    <definedName name="外部資料_266" localSheetId="16">PKA!#REF!</definedName>
    <definedName name="外部資料_266" localSheetId="17">PKB!#REF!</definedName>
    <definedName name="外部資料_266" localSheetId="18">PKC!#REF!</definedName>
    <definedName name="外部資料_266" localSheetId="9">PSR!#REF!</definedName>
    <definedName name="外部資料_266" localSheetId="4">公司債!#REF!</definedName>
    <definedName name="外部資料_266" localSheetId="14">評比系統!$T$1:$T$3</definedName>
    <definedName name="外部資料_2661" localSheetId="1">紅綠燈!#REF!</definedName>
    <definedName name="外部資料_2662" localSheetId="1">紅綠燈!#REF!</definedName>
    <definedName name="外部資料_2663" localSheetId="1">紅綠燈!#REF!</definedName>
    <definedName name="外部資料_2665" localSheetId="1">紅綠燈!#REF!</definedName>
    <definedName name="外部資料_2666" localSheetId="1">紅綠燈!#REF!</definedName>
    <definedName name="外部資料_2667" localSheetId="1">紅綠燈!#REF!</definedName>
    <definedName name="外部資料_2669" localSheetId="1">紅綠燈!#REF!</definedName>
    <definedName name="外部資料_267" localSheetId="16">PKA!#REF!</definedName>
    <definedName name="外部資料_267" localSheetId="17">PKB!#REF!</definedName>
    <definedName name="外部資料_267" localSheetId="18">PKC!#REF!</definedName>
    <definedName name="外部資料_267" localSheetId="9">PSR!#REF!</definedName>
    <definedName name="外部資料_267" localSheetId="4">公司債!#REF!</definedName>
    <definedName name="外部資料_267" localSheetId="14">評比系統!$T$1:$T$3</definedName>
    <definedName name="外部資料_2670" localSheetId="1">紅綠燈!#REF!</definedName>
    <definedName name="外部資料_2671" localSheetId="1">紅綠燈!#REF!</definedName>
    <definedName name="外部資料_2673" localSheetId="1">紅綠燈!#REF!</definedName>
    <definedName name="外部資料_2674" localSheetId="1">紅綠燈!#REF!</definedName>
    <definedName name="外部資料_2675" localSheetId="1">紅綠燈!#REF!</definedName>
    <definedName name="外部資料_2677" localSheetId="1">紅綠燈!#REF!</definedName>
    <definedName name="外部資料_2678" localSheetId="1">紅綠燈!#REF!</definedName>
    <definedName name="外部資料_2679" localSheetId="1">紅綠燈!#REF!</definedName>
    <definedName name="外部資料_268" localSheetId="16">PKA!#REF!</definedName>
    <definedName name="外部資料_268" localSheetId="17">PKB!#REF!</definedName>
    <definedName name="外部資料_268" localSheetId="18">PKC!#REF!</definedName>
    <definedName name="外部資料_268" localSheetId="9">PSR!#REF!</definedName>
    <definedName name="外部資料_268" localSheetId="4">公司債!#REF!</definedName>
    <definedName name="外部資料_268" localSheetId="14">評比系統!$T$1:$T$3</definedName>
    <definedName name="外部資料_2681" localSheetId="1">紅綠燈!#REF!</definedName>
    <definedName name="外部資料_2682" localSheetId="1">紅綠燈!#REF!</definedName>
    <definedName name="外部資料_2683" localSheetId="1">紅綠燈!#REF!</definedName>
    <definedName name="外部資料_2685" localSheetId="1">紅綠燈!#REF!</definedName>
    <definedName name="外部資料_2686" localSheetId="1">紅綠燈!#REF!</definedName>
    <definedName name="外部資料_2687" localSheetId="1">紅綠燈!#REF!</definedName>
    <definedName name="外部資料_2689" localSheetId="1">紅綠燈!#REF!</definedName>
    <definedName name="外部資料_269" localSheetId="16">PKA!#REF!</definedName>
    <definedName name="外部資料_269" localSheetId="17">PKB!#REF!</definedName>
    <definedName name="外部資料_269" localSheetId="18">PKC!#REF!</definedName>
    <definedName name="外部資料_269" localSheetId="9">PSR!#REF!</definedName>
    <definedName name="外部資料_269" localSheetId="4">公司債!#REF!</definedName>
    <definedName name="外部資料_269" localSheetId="14">評比系統!$T$1:$T$3</definedName>
    <definedName name="外部資料_2690" localSheetId="1">紅綠燈!#REF!</definedName>
    <definedName name="外部資料_2691" localSheetId="1">紅綠燈!#REF!</definedName>
    <definedName name="外部資料_2693" localSheetId="1">紅綠燈!#REF!</definedName>
    <definedName name="外部資料_2694" localSheetId="1">紅綠燈!#REF!</definedName>
    <definedName name="外部資料_2695" localSheetId="1">紅綠燈!#REF!</definedName>
    <definedName name="外部資料_2697" localSheetId="1">紅綠燈!#REF!</definedName>
    <definedName name="外部資料_2698" localSheetId="1">紅綠燈!#REF!</definedName>
    <definedName name="外部資料_2699" localSheetId="1">紅綠燈!#REF!</definedName>
    <definedName name="外部資料_27" localSheetId="16">PKA!#REF!</definedName>
    <definedName name="外部資料_27" localSheetId="17">PKB!#REF!</definedName>
    <definedName name="外部資料_27" localSheetId="18">PKC!#REF!</definedName>
    <definedName name="外部資料_27" localSheetId="9">PSR!#REF!</definedName>
    <definedName name="外部資料_27" localSheetId="4">公司債!#REF!</definedName>
    <definedName name="外部資料_27" localSheetId="14">評比系統!#REF!</definedName>
    <definedName name="外部資料_27" localSheetId="5">篩股系統!#REF!</definedName>
    <definedName name="外部資料_27" localSheetId="7">營收搶先報!#REF!</definedName>
    <definedName name="外部資料_270" localSheetId="16">PKA!#REF!</definedName>
    <definedName name="外部資料_270" localSheetId="17">PKB!#REF!</definedName>
    <definedName name="外部資料_270" localSheetId="18">PKC!#REF!</definedName>
    <definedName name="外部資料_270" localSheetId="9">PSR!#REF!</definedName>
    <definedName name="外部資料_270" localSheetId="4">公司債!#REF!</definedName>
    <definedName name="外部資料_270" localSheetId="14">評比系統!$T$1:$T$3</definedName>
    <definedName name="外部資料_2701" localSheetId="1">紅綠燈!#REF!</definedName>
    <definedName name="外部資料_2702" localSheetId="1">紅綠燈!#REF!</definedName>
    <definedName name="外部資料_2703" localSheetId="1">紅綠燈!#REF!</definedName>
    <definedName name="外部資料_2705" localSheetId="1">紅綠燈!#REF!</definedName>
    <definedName name="外部資料_2706" localSheetId="1">紅綠燈!#REF!</definedName>
    <definedName name="外部資料_2707" localSheetId="1">紅綠燈!#REF!</definedName>
    <definedName name="外部資料_2709" localSheetId="1">紅綠燈!#REF!</definedName>
    <definedName name="外部資料_271" localSheetId="16">PKA!#REF!</definedName>
    <definedName name="外部資料_271" localSheetId="17">PKB!#REF!</definedName>
    <definedName name="外部資料_271" localSheetId="18">PKC!#REF!</definedName>
    <definedName name="外部資料_271" localSheetId="9">PSR!#REF!</definedName>
    <definedName name="外部資料_271" localSheetId="4">公司債!#REF!</definedName>
    <definedName name="外部資料_271" localSheetId="14">評比系統!$T$1:$T$3</definedName>
    <definedName name="外部資料_2710" localSheetId="1">紅綠燈!#REF!</definedName>
    <definedName name="外部資料_2711" localSheetId="1">紅綠燈!#REF!</definedName>
    <definedName name="外部資料_2713" localSheetId="1">紅綠燈!#REF!</definedName>
    <definedName name="外部資料_2714" localSheetId="1">紅綠燈!#REF!</definedName>
    <definedName name="外部資料_2715" localSheetId="1">紅綠燈!#REF!</definedName>
    <definedName name="外部資料_2717" localSheetId="1">紅綠燈!#REF!</definedName>
    <definedName name="外部資料_2718" localSheetId="1">紅綠燈!#REF!</definedName>
    <definedName name="外部資料_2719" localSheetId="1">紅綠燈!#REF!</definedName>
    <definedName name="外部資料_272" localSheetId="16">PKA!#REF!</definedName>
    <definedName name="外部資料_272" localSheetId="17">PKB!#REF!</definedName>
    <definedName name="外部資料_272" localSheetId="18">PKC!#REF!</definedName>
    <definedName name="外部資料_272" localSheetId="9">PSR!#REF!</definedName>
    <definedName name="外部資料_272" localSheetId="4">公司債!#REF!</definedName>
    <definedName name="外部資料_272" localSheetId="14">評比系統!$T$1:$T$3</definedName>
    <definedName name="外部資料_2721" localSheetId="1">紅綠燈!#REF!</definedName>
    <definedName name="外部資料_2722" localSheetId="1">紅綠燈!#REF!</definedName>
    <definedName name="外部資料_2723" localSheetId="1">紅綠燈!#REF!</definedName>
    <definedName name="外部資料_2725" localSheetId="1">紅綠燈!#REF!</definedName>
    <definedName name="外部資料_2726" localSheetId="1">紅綠燈!#REF!</definedName>
    <definedName name="外部資料_2727" localSheetId="1">紅綠燈!#REF!</definedName>
    <definedName name="外部資料_2729" localSheetId="1">紅綠燈!#REF!</definedName>
    <definedName name="外部資料_273" localSheetId="16">PKA!#REF!</definedName>
    <definedName name="外部資料_273" localSheetId="17">PKB!#REF!</definedName>
    <definedName name="外部資料_273" localSheetId="18">PKC!#REF!</definedName>
    <definedName name="外部資料_273" localSheetId="9">PSR!#REF!</definedName>
    <definedName name="外部資料_273" localSheetId="4">公司債!#REF!</definedName>
    <definedName name="外部資料_273" localSheetId="14">評比系統!$T$1:$T$3</definedName>
    <definedName name="外部資料_2730" localSheetId="1">紅綠燈!#REF!</definedName>
    <definedName name="外部資料_2731" localSheetId="1">紅綠燈!#REF!</definedName>
    <definedName name="外部資料_2733" localSheetId="1">紅綠燈!#REF!</definedName>
    <definedName name="外部資料_2734" localSheetId="1">紅綠燈!#REF!</definedName>
    <definedName name="外部資料_2735" localSheetId="1">紅綠燈!#REF!</definedName>
    <definedName name="外部資料_2737" localSheetId="1">紅綠燈!#REF!</definedName>
    <definedName name="外部資料_2738" localSheetId="1">紅綠燈!#REF!</definedName>
    <definedName name="外部資料_2739" localSheetId="1">紅綠燈!#REF!</definedName>
    <definedName name="外部資料_274" localSheetId="16">PKA!#REF!</definedName>
    <definedName name="外部資料_274" localSheetId="17">PKB!#REF!</definedName>
    <definedName name="外部資料_274" localSheetId="18">PKC!#REF!</definedName>
    <definedName name="外部資料_274" localSheetId="9">PSR!#REF!</definedName>
    <definedName name="外部資料_274" localSheetId="4">公司債!#REF!</definedName>
    <definedName name="外部資料_274" localSheetId="14">評比系統!$T$1:$T$3</definedName>
    <definedName name="外部資料_2741" localSheetId="1">紅綠燈!#REF!</definedName>
    <definedName name="外部資料_2742" localSheetId="1">紅綠燈!#REF!</definedName>
    <definedName name="外部資料_2743" localSheetId="1">紅綠燈!#REF!</definedName>
    <definedName name="外部資料_2745" localSheetId="1">紅綠燈!#REF!</definedName>
    <definedName name="外部資料_2746" localSheetId="1">紅綠燈!#REF!</definedName>
    <definedName name="外部資料_2747" localSheetId="1">紅綠燈!#REF!</definedName>
    <definedName name="外部資料_2749" localSheetId="1">紅綠燈!#REF!</definedName>
    <definedName name="外部資料_275" localSheetId="16">PKA!#REF!</definedName>
    <definedName name="外部資料_275" localSheetId="17">PKB!#REF!</definedName>
    <definedName name="外部資料_275" localSheetId="18">PKC!#REF!</definedName>
    <definedName name="外部資料_275" localSheetId="9">PSR!#REF!</definedName>
    <definedName name="外部資料_275" localSheetId="4">公司債!#REF!</definedName>
    <definedName name="外部資料_275" localSheetId="14">評比系統!$T$1:$T$3</definedName>
    <definedName name="外部資料_2750" localSheetId="1">紅綠燈!#REF!</definedName>
    <definedName name="外部資料_2751" localSheetId="1">紅綠燈!#REF!</definedName>
    <definedName name="外部資料_2753" localSheetId="1">紅綠燈!#REF!</definedName>
    <definedName name="外部資料_2754" localSheetId="1">紅綠燈!#REF!</definedName>
    <definedName name="外部資料_2755" localSheetId="1">紅綠燈!#REF!</definedName>
    <definedName name="外部資料_2757" localSheetId="1">紅綠燈!#REF!</definedName>
    <definedName name="外部資料_2758" localSheetId="1">紅綠燈!#REF!</definedName>
    <definedName name="外部資料_2759" localSheetId="1">紅綠燈!#REF!</definedName>
    <definedName name="外部資料_276" localSheetId="16">PKA!#REF!</definedName>
    <definedName name="外部資料_276" localSheetId="17">PKB!#REF!</definedName>
    <definedName name="外部資料_276" localSheetId="18">PKC!#REF!</definedName>
    <definedName name="外部資料_276" localSheetId="9">PSR!#REF!</definedName>
    <definedName name="外部資料_276" localSheetId="4">公司債!#REF!</definedName>
    <definedName name="外部資料_276" localSheetId="14">評比系統!$T$1:$T$3</definedName>
    <definedName name="外部資料_2761" localSheetId="1">紅綠燈!#REF!</definedName>
    <definedName name="外部資料_2762" localSheetId="1">紅綠燈!#REF!</definedName>
    <definedName name="外部資料_2763" localSheetId="1">紅綠燈!#REF!</definedName>
    <definedName name="外部資料_2765" localSheetId="1">紅綠燈!#REF!</definedName>
    <definedName name="外部資料_2766" localSheetId="1">紅綠燈!#REF!</definedName>
    <definedName name="外部資料_2767" localSheetId="1">紅綠燈!#REF!</definedName>
    <definedName name="外部資料_2769" localSheetId="1">紅綠燈!#REF!</definedName>
    <definedName name="外部資料_277" localSheetId="16">PKA!#REF!</definedName>
    <definedName name="外部資料_277" localSheetId="17">PKB!#REF!</definedName>
    <definedName name="外部資料_277" localSheetId="18">PKC!#REF!</definedName>
    <definedName name="外部資料_277" localSheetId="9">PSR!#REF!</definedName>
    <definedName name="外部資料_277" localSheetId="4">公司債!#REF!</definedName>
    <definedName name="外部資料_277" localSheetId="14">評比系統!$T$1:$T$3</definedName>
    <definedName name="外部資料_2770" localSheetId="1">紅綠燈!#REF!</definedName>
    <definedName name="外部資料_2771" localSheetId="1">紅綠燈!#REF!</definedName>
    <definedName name="外部資料_2773" localSheetId="1">紅綠燈!#REF!</definedName>
    <definedName name="外部資料_2774" localSheetId="1">紅綠燈!#REF!</definedName>
    <definedName name="外部資料_2775" localSheetId="1">紅綠燈!#REF!</definedName>
    <definedName name="外部資料_2777" localSheetId="1">紅綠燈!#REF!</definedName>
    <definedName name="外部資料_2778" localSheetId="1">紅綠燈!#REF!</definedName>
    <definedName name="外部資料_2779" localSheetId="1">紅綠燈!#REF!</definedName>
    <definedName name="外部資料_278" localSheetId="16">PKA!#REF!</definedName>
    <definedName name="外部資料_278" localSheetId="17">PKB!#REF!</definedName>
    <definedName name="外部資料_278" localSheetId="18">PKC!#REF!</definedName>
    <definedName name="外部資料_278" localSheetId="9">PSR!#REF!</definedName>
    <definedName name="外部資料_278" localSheetId="4">公司債!#REF!</definedName>
    <definedName name="外部資料_278" localSheetId="14">評比系統!$T$1:$T$3</definedName>
    <definedName name="外部資料_2781" localSheetId="1">紅綠燈!#REF!</definedName>
    <definedName name="外部資料_2782" localSheetId="1">紅綠燈!#REF!</definedName>
    <definedName name="外部資料_2783" localSheetId="1">紅綠燈!#REF!</definedName>
    <definedName name="外部資料_2785" localSheetId="1">紅綠燈!#REF!</definedName>
    <definedName name="外部資料_2786" localSheetId="1">紅綠燈!#REF!</definedName>
    <definedName name="外部資料_2787" localSheetId="1">紅綠燈!#REF!</definedName>
    <definedName name="外部資料_2788" localSheetId="5">篩股系統!$D$3:$H$56</definedName>
    <definedName name="外部資料_2789" localSheetId="1">紅綠燈!#REF!</definedName>
    <definedName name="外部資料_279" localSheetId="16">PKA!#REF!</definedName>
    <definedName name="外部資料_279" localSheetId="17">PKB!#REF!</definedName>
    <definedName name="外部資料_279" localSheetId="18">PKC!#REF!</definedName>
    <definedName name="外部資料_279" localSheetId="9">PSR!#REF!</definedName>
    <definedName name="外部資料_279" localSheetId="4">公司債!#REF!</definedName>
    <definedName name="外部資料_279" localSheetId="14">評比系統!$T$1:$T$3</definedName>
    <definedName name="外部資料_2790" localSheetId="1">紅綠燈!#REF!</definedName>
    <definedName name="外部資料_2792" localSheetId="1">紅綠燈!#REF!</definedName>
    <definedName name="外部資料_2793" localSheetId="1">紅綠燈!#REF!</definedName>
    <definedName name="外部資料_2794" localSheetId="1">紅綠燈!#REF!</definedName>
    <definedName name="外部資料_2796" localSheetId="1">紅綠燈!#REF!</definedName>
    <definedName name="外部資料_2797" localSheetId="1">紅綠燈!#REF!</definedName>
    <definedName name="外部資料_2798" localSheetId="1">紅綠燈!#REF!</definedName>
    <definedName name="外部資料_28" localSheetId="16">PKA!#REF!</definedName>
    <definedName name="外部資料_28" localSheetId="17">PKB!#REF!</definedName>
    <definedName name="外部資料_28" localSheetId="18">PKC!#REF!</definedName>
    <definedName name="外部資料_28" localSheetId="9">PSR!#REF!</definedName>
    <definedName name="外部資料_28" localSheetId="4">公司債!#REF!</definedName>
    <definedName name="外部資料_28" localSheetId="1">紅綠燈!#REF!</definedName>
    <definedName name="外部資料_28" localSheetId="14">評比系統!#REF!</definedName>
    <definedName name="外部資料_28" localSheetId="5">篩股系統!#REF!</definedName>
    <definedName name="外部資料_28" localSheetId="7">營收搶先報!#REF!</definedName>
    <definedName name="外部資料_280" localSheetId="16">PKA!#REF!</definedName>
    <definedName name="外部資料_280" localSheetId="17">PKB!#REF!</definedName>
    <definedName name="外部資料_280" localSheetId="18">PKC!#REF!</definedName>
    <definedName name="外部資料_280" localSheetId="9">PSR!#REF!</definedName>
    <definedName name="外部資料_280" localSheetId="4">公司債!#REF!</definedName>
    <definedName name="外部資料_280" localSheetId="14">評比系統!$T$1:$T$3</definedName>
    <definedName name="外部資料_2800" localSheetId="1">紅綠燈!#REF!</definedName>
    <definedName name="外部資料_2801" localSheetId="1">紅綠燈!#REF!</definedName>
    <definedName name="外部資料_2802" localSheetId="1">紅綠燈!#REF!</definedName>
    <definedName name="外部資料_2804" localSheetId="1">紅綠燈!#REF!</definedName>
    <definedName name="外部資料_2805" localSheetId="1">紅綠燈!#REF!</definedName>
    <definedName name="外部資料_2806" localSheetId="1">紅綠燈!#REF!</definedName>
    <definedName name="外部資料_2808" localSheetId="1">紅綠燈!#REF!</definedName>
    <definedName name="外部資料_2809" localSheetId="1">紅綠燈!#REF!</definedName>
    <definedName name="外部資料_281" localSheetId="16">PKA!#REF!</definedName>
    <definedName name="外部資料_281" localSheetId="17">PKB!#REF!</definedName>
    <definedName name="外部資料_281" localSheetId="18">PKC!#REF!</definedName>
    <definedName name="外部資料_281" localSheetId="9">PSR!#REF!</definedName>
    <definedName name="外部資料_281" localSheetId="4">公司債!#REF!</definedName>
    <definedName name="外部資料_281" localSheetId="14">評比系統!$T$1:$T$3</definedName>
    <definedName name="外部資料_2810" localSheetId="1">紅綠燈!#REF!</definedName>
    <definedName name="外部資料_2812" localSheetId="1">紅綠燈!#REF!</definedName>
    <definedName name="外部資料_2813" localSheetId="1">紅綠燈!#REF!</definedName>
    <definedName name="外部資料_2814" localSheetId="1">紅綠燈!#REF!</definedName>
    <definedName name="外部資料_2815" localSheetId="5">篩股系統!$D$3:$H$56</definedName>
    <definedName name="外部資料_2816" localSheetId="1">紅綠燈!#REF!</definedName>
    <definedName name="外部資料_2817" localSheetId="1">紅綠燈!#REF!</definedName>
    <definedName name="外部資料_2818" localSheetId="1">紅綠燈!#REF!</definedName>
    <definedName name="外部資料_282" localSheetId="16">PKA!#REF!</definedName>
    <definedName name="外部資料_282" localSheetId="17">PKB!#REF!</definedName>
    <definedName name="外部資料_282" localSheetId="18">PKC!#REF!</definedName>
    <definedName name="外部資料_282" localSheetId="9">PSR!#REF!</definedName>
    <definedName name="外部資料_282" localSheetId="4">公司債!#REF!</definedName>
    <definedName name="外部資料_282" localSheetId="14">評比系統!$T$1:$T$3</definedName>
    <definedName name="外部資料_2820" localSheetId="1">紅綠燈!#REF!</definedName>
    <definedName name="外部資料_2821" localSheetId="1">紅綠燈!#REF!</definedName>
    <definedName name="外部資料_2822" localSheetId="1">紅綠燈!#REF!</definedName>
    <definedName name="外部資料_2824" localSheetId="1">紅綠燈!#REF!</definedName>
    <definedName name="外部資料_2825" localSheetId="1">紅綠燈!#REF!</definedName>
    <definedName name="外部資料_2826" localSheetId="1">紅綠燈!#REF!</definedName>
    <definedName name="外部資料_2828" localSheetId="1">紅綠燈!#REF!</definedName>
    <definedName name="外部資料_2829" localSheetId="1">紅綠燈!#REF!</definedName>
    <definedName name="外部資料_283" localSheetId="16">PKA!#REF!</definedName>
    <definedName name="外部資料_283" localSheetId="17">PKB!#REF!</definedName>
    <definedName name="外部資料_283" localSheetId="18">PKC!#REF!</definedName>
    <definedName name="外部資料_283" localSheetId="9">PSR!#REF!</definedName>
    <definedName name="外部資料_283" localSheetId="4">公司債!#REF!</definedName>
    <definedName name="外部資料_283" localSheetId="14">評比系統!$T$1:$T$3</definedName>
    <definedName name="外部資料_2830" localSheetId="1">紅綠燈!#REF!</definedName>
    <definedName name="外部資料_2832" localSheetId="1">紅綠燈!#REF!</definedName>
    <definedName name="外部資料_2833" localSheetId="1">紅綠燈!#REF!</definedName>
    <definedName name="外部資料_2834" localSheetId="1">紅綠燈!#REF!</definedName>
    <definedName name="外部資料_2834" localSheetId="5">篩股系統!$D$3:$H$56</definedName>
    <definedName name="外部資料_2836" localSheetId="1">紅綠燈!#REF!</definedName>
    <definedName name="外部資料_2837" localSheetId="1">紅綠燈!#REF!</definedName>
    <definedName name="外部資料_2838" localSheetId="1">紅綠燈!#REF!</definedName>
    <definedName name="外部資料_2838" localSheetId="5">篩股系統!$D$3:$H$56</definedName>
    <definedName name="外部資料_284" localSheetId="16">PKA!#REF!</definedName>
    <definedName name="外部資料_284" localSheetId="17">PKB!#REF!</definedName>
    <definedName name="外部資料_284" localSheetId="18">PKC!#REF!</definedName>
    <definedName name="外部資料_284" localSheetId="9">PSR!#REF!</definedName>
    <definedName name="外部資料_284" localSheetId="4">公司債!#REF!</definedName>
    <definedName name="外部資料_284" localSheetId="14">評比系統!$T$1:$T$3</definedName>
    <definedName name="外部資料_2840" localSheetId="1">紅綠燈!#REF!</definedName>
    <definedName name="外部資料_2841" localSheetId="1">紅綠燈!#REF!</definedName>
    <definedName name="外部資料_2842" localSheetId="1">紅綠燈!#REF!</definedName>
    <definedName name="外部資料_2844" localSheetId="1">紅綠燈!#REF!</definedName>
    <definedName name="外部資料_2845" localSheetId="1">紅綠燈!#REF!</definedName>
    <definedName name="外部資料_2846" localSheetId="1">紅綠燈!#REF!</definedName>
    <definedName name="外部資料_2848" localSheetId="1">紅綠燈!#REF!</definedName>
    <definedName name="外部資料_2849" localSheetId="1">紅綠燈!#REF!</definedName>
    <definedName name="外部資料_285" localSheetId="16">PKA!#REF!</definedName>
    <definedName name="外部資料_285" localSheetId="17">PKB!#REF!</definedName>
    <definedName name="外部資料_285" localSheetId="18">PKC!#REF!</definedName>
    <definedName name="外部資料_285" localSheetId="4">公司債!#REF!</definedName>
    <definedName name="外部資料_285" localSheetId="14">評比系統!$T$1:$T$3</definedName>
    <definedName name="外部資料_2850" localSheetId="1">紅綠燈!#REF!</definedName>
    <definedName name="外部資料_2850" localSheetId="5">篩股系統!$D$3:$H$56</definedName>
    <definedName name="外部資料_2852" localSheetId="1">紅綠燈!#REF!</definedName>
    <definedName name="外部資料_2853" localSheetId="1">紅綠燈!#REF!</definedName>
    <definedName name="外部資料_2853" localSheetId="5">篩股系統!$D$3:$H$56</definedName>
    <definedName name="外部資料_2854" localSheetId="1">紅綠燈!#REF!</definedName>
    <definedName name="外部資料_2856" localSheetId="1">紅綠燈!#REF!</definedName>
    <definedName name="外部資料_2857" localSheetId="1">紅綠燈!#REF!</definedName>
    <definedName name="外部資料_2858" localSheetId="1">紅綠燈!#REF!</definedName>
    <definedName name="外部資料_286" localSheetId="16">PKA!#REF!</definedName>
    <definedName name="外部資料_286" localSheetId="17">PKB!#REF!</definedName>
    <definedName name="外部資料_286" localSheetId="18">PKC!#REF!</definedName>
    <definedName name="外部資料_286" localSheetId="4">公司債!#REF!</definedName>
    <definedName name="外部資料_286" localSheetId="14">評比系統!$T$1:$T$3</definedName>
    <definedName name="外部資料_2860" localSheetId="1">紅綠燈!#REF!</definedName>
    <definedName name="外部資料_2861" localSheetId="1">紅綠燈!#REF!</definedName>
    <definedName name="外部資料_2862" localSheetId="1">紅綠燈!#REF!</definedName>
    <definedName name="外部資料_2864" localSheetId="1">紅綠燈!#REF!</definedName>
    <definedName name="外部資料_2865" localSheetId="1">紅綠燈!#REF!</definedName>
    <definedName name="外部資料_2866" localSheetId="1">紅綠燈!#REF!</definedName>
    <definedName name="外部資料_2868" localSheetId="1">紅綠燈!#REF!</definedName>
    <definedName name="外部資料_2869" localSheetId="1">紅綠燈!#REF!</definedName>
    <definedName name="外部資料_287" localSheetId="16">PKA!#REF!</definedName>
    <definedName name="外部資料_287" localSheetId="17">PKB!#REF!</definedName>
    <definedName name="外部資料_287" localSheetId="18">PKC!#REF!</definedName>
    <definedName name="外部資料_287" localSheetId="4">公司債!#REF!</definedName>
    <definedName name="外部資料_287" localSheetId="14">評比系統!$T$1:$T$3</definedName>
    <definedName name="外部資料_2870" localSheetId="1">紅綠燈!#REF!</definedName>
    <definedName name="外部資料_2872" localSheetId="1">紅綠燈!#REF!</definedName>
    <definedName name="外部資料_2873" localSheetId="1">紅綠燈!#REF!</definedName>
    <definedName name="外部資料_2874" localSheetId="1">紅綠燈!#REF!</definedName>
    <definedName name="外部資料_2876" localSheetId="1">紅綠燈!#REF!</definedName>
    <definedName name="外部資料_2877" localSheetId="1">紅綠燈!#REF!</definedName>
    <definedName name="外部資料_2878" localSheetId="1">紅綠燈!#REF!</definedName>
    <definedName name="外部資料_288" localSheetId="16">PKA!#REF!</definedName>
    <definedName name="外部資料_288" localSheetId="17">PKB!#REF!</definedName>
    <definedName name="外部資料_288" localSheetId="18">PKC!#REF!</definedName>
    <definedName name="外部資料_288" localSheetId="4">公司債!#REF!</definedName>
    <definedName name="外部資料_288" localSheetId="14">評比系統!$T$1:$T$3</definedName>
    <definedName name="外部資料_2880" localSheetId="1">紅綠燈!#REF!</definedName>
    <definedName name="外部資料_2881" localSheetId="1">紅綠燈!#REF!</definedName>
    <definedName name="外部資料_2882" localSheetId="1">紅綠燈!#REF!</definedName>
    <definedName name="外部資料_2884" localSheetId="1">紅綠燈!#REF!</definedName>
    <definedName name="外部資料_2885" localSheetId="1">紅綠燈!#REF!</definedName>
    <definedName name="外部資料_2886" localSheetId="1">紅綠燈!#REF!</definedName>
    <definedName name="外部資料_2888" localSheetId="1">紅綠燈!#REF!</definedName>
    <definedName name="外部資料_2889" localSheetId="1">紅綠燈!#REF!</definedName>
    <definedName name="外部資料_289" localSheetId="16">PKA!#REF!</definedName>
    <definedName name="外部資料_289" localSheetId="17">PKB!#REF!</definedName>
    <definedName name="外部資料_289" localSheetId="18">PKC!#REF!</definedName>
    <definedName name="外部資料_289" localSheetId="4">公司債!#REF!</definedName>
    <definedName name="外部資料_289" localSheetId="14">評比系統!$T$1:$T$3</definedName>
    <definedName name="外部資料_2890" localSheetId="1">紅綠燈!#REF!</definedName>
    <definedName name="外部資料_2892" localSheetId="1">紅綠燈!#REF!</definedName>
    <definedName name="外部資料_2893" localSheetId="1">紅綠燈!#REF!</definedName>
    <definedName name="外部資料_2894" localSheetId="1">紅綠燈!#REF!</definedName>
    <definedName name="外部資料_2896" localSheetId="1">紅綠燈!#REF!</definedName>
    <definedName name="外部資料_2897" localSheetId="1">紅綠燈!#REF!</definedName>
    <definedName name="外部資料_2898" localSheetId="1">紅綠燈!#REF!</definedName>
    <definedName name="外部資料_29" localSheetId="16">PKA!#REF!</definedName>
    <definedName name="外部資料_29" localSheetId="17">PKB!#REF!</definedName>
    <definedName name="外部資料_29" localSheetId="18">PKC!#REF!</definedName>
    <definedName name="外部資料_29" localSheetId="9">PSR!#REF!</definedName>
    <definedName name="外部資料_29" localSheetId="4">公司債!#REF!</definedName>
    <definedName name="外部資料_29" localSheetId="1">紅綠燈!#REF!</definedName>
    <definedName name="外部資料_29" localSheetId="14">評比系統!#REF!</definedName>
    <definedName name="外部資料_29" localSheetId="5">篩股系統!#REF!</definedName>
    <definedName name="外部資料_29" localSheetId="7">營收搶先報!#REF!</definedName>
    <definedName name="外部資料_290" localSheetId="16">PKA!#REF!</definedName>
    <definedName name="外部資料_290" localSheetId="17">PKB!#REF!</definedName>
    <definedName name="外部資料_290" localSheetId="18">PKC!#REF!</definedName>
    <definedName name="外部資料_290" localSheetId="4">公司債!#REF!</definedName>
    <definedName name="外部資料_290" localSheetId="14">評比系統!$T$1:$T$3</definedName>
    <definedName name="外部資料_2900" localSheetId="1">紅綠燈!#REF!</definedName>
    <definedName name="外部資料_2901" localSheetId="1">紅綠燈!#REF!</definedName>
    <definedName name="外部資料_2902" localSheetId="1">紅綠燈!#REF!</definedName>
    <definedName name="外部資料_2904" localSheetId="1">紅綠燈!#REF!</definedName>
    <definedName name="外部資料_2905" localSheetId="1">紅綠燈!#REF!</definedName>
    <definedName name="外部資料_2906" localSheetId="1">紅綠燈!#REF!</definedName>
    <definedName name="外部資料_2908" localSheetId="1">紅綠燈!#REF!</definedName>
    <definedName name="外部資料_2909" localSheetId="1">紅綠燈!#REF!</definedName>
    <definedName name="外部資料_291" localSheetId="16">PKA!#REF!</definedName>
    <definedName name="外部資料_291" localSheetId="17">PKB!#REF!</definedName>
    <definedName name="外部資料_291" localSheetId="18">PKC!#REF!</definedName>
    <definedName name="外部資料_291" localSheetId="4">公司債!#REF!</definedName>
    <definedName name="外部資料_291" localSheetId="14">評比系統!$T$1:$T$3</definedName>
    <definedName name="外部資料_2910" localSheetId="1">紅綠燈!#REF!</definedName>
    <definedName name="外部資料_2912" localSheetId="1">紅綠燈!#REF!</definedName>
    <definedName name="外部資料_2913" localSheetId="1">紅綠燈!#REF!</definedName>
    <definedName name="外部資料_2914" localSheetId="1">紅綠燈!#REF!</definedName>
    <definedName name="外部資料_2916" localSheetId="1">紅綠燈!#REF!</definedName>
    <definedName name="外部資料_2917" localSheetId="1">紅綠燈!#REF!</definedName>
    <definedName name="外部資料_2918" localSheetId="1">紅綠燈!#REF!</definedName>
    <definedName name="外部資料_292" localSheetId="16">PKA!#REF!</definedName>
    <definedName name="外部資料_292" localSheetId="17">PKB!#REF!</definedName>
    <definedName name="外部資料_292" localSheetId="18">PKC!#REF!</definedName>
    <definedName name="外部資料_292" localSheetId="4">公司債!#REF!</definedName>
    <definedName name="外部資料_292" localSheetId="14">評比系統!$T$1:$T$3</definedName>
    <definedName name="外部資料_2920" localSheetId="1">紅綠燈!#REF!</definedName>
    <definedName name="外部資料_2921" localSheetId="1">紅綠燈!#REF!</definedName>
    <definedName name="外部資料_2922" localSheetId="1">紅綠燈!#REF!</definedName>
    <definedName name="外部資料_2924" localSheetId="1">紅綠燈!#REF!</definedName>
    <definedName name="外部資料_2925" localSheetId="1">紅綠燈!#REF!</definedName>
    <definedName name="外部資料_2926" localSheetId="1">紅綠燈!#REF!</definedName>
    <definedName name="外部資料_2928" localSheetId="1">紅綠燈!#REF!</definedName>
    <definedName name="外部資料_2929" localSheetId="1">紅綠燈!#REF!</definedName>
    <definedName name="外部資料_293" localSheetId="16">PKA!#REF!</definedName>
    <definedName name="外部資料_293" localSheetId="17">PKB!#REF!</definedName>
    <definedName name="外部資料_293" localSheetId="18">PKC!#REF!</definedName>
    <definedName name="外部資料_293" localSheetId="4">公司債!#REF!</definedName>
    <definedName name="外部資料_293" localSheetId="14">評比系統!$T$1:$T$3</definedName>
    <definedName name="外部資料_2930" localSheetId="1">紅綠燈!#REF!</definedName>
    <definedName name="外部資料_2932" localSheetId="1">紅綠燈!#REF!</definedName>
    <definedName name="外部資料_2933" localSheetId="1">紅綠燈!#REF!</definedName>
    <definedName name="外部資料_2934" localSheetId="1">紅綠燈!#REF!</definedName>
    <definedName name="外部資料_2936" localSheetId="1">紅綠燈!#REF!</definedName>
    <definedName name="外部資料_2937" localSheetId="1">紅綠燈!#REF!</definedName>
    <definedName name="外部資料_2938" localSheetId="1">紅綠燈!#REF!</definedName>
    <definedName name="外部資料_294" localSheetId="16">PKA!#REF!</definedName>
    <definedName name="外部資料_294" localSheetId="17">PKB!#REF!</definedName>
    <definedName name="外部資料_294" localSheetId="18">PKC!#REF!</definedName>
    <definedName name="外部資料_294" localSheetId="4">公司債!#REF!</definedName>
    <definedName name="外部資料_294" localSheetId="14">評比系統!$T$1:$T$3</definedName>
    <definedName name="外部資料_2940" localSheetId="1">紅綠燈!#REF!</definedName>
    <definedName name="外部資料_2941" localSheetId="1">紅綠燈!#REF!</definedName>
    <definedName name="外部資料_2942" localSheetId="1">紅綠燈!#REF!</definedName>
    <definedName name="外部資料_2944" localSheetId="1">紅綠燈!#REF!</definedName>
    <definedName name="外部資料_2945" localSheetId="1">紅綠燈!#REF!</definedName>
    <definedName name="外部資料_2946" localSheetId="1">紅綠燈!#REF!</definedName>
    <definedName name="外部資料_2948" localSheetId="1">紅綠燈!#REF!</definedName>
    <definedName name="外部資料_2949" localSheetId="1">紅綠燈!#REF!</definedName>
    <definedName name="外部資料_295" localSheetId="16">PKA!#REF!</definedName>
    <definedName name="外部資料_295" localSheetId="17">PKB!#REF!</definedName>
    <definedName name="外部資料_295" localSheetId="18">PKC!#REF!</definedName>
    <definedName name="外部資料_295" localSheetId="4">公司債!#REF!</definedName>
    <definedName name="外部資料_295" localSheetId="14">評比系統!$T$1:$T$3</definedName>
    <definedName name="外部資料_2950" localSheetId="1">紅綠燈!#REF!</definedName>
    <definedName name="外部資料_2952" localSheetId="1">紅綠燈!#REF!</definedName>
    <definedName name="外部資料_2953" localSheetId="1">紅綠燈!#REF!</definedName>
    <definedName name="外部資料_2954" localSheetId="1">紅綠燈!#REF!</definedName>
    <definedName name="外部資料_2956" localSheetId="1">紅綠燈!#REF!</definedName>
    <definedName name="外部資料_2957" localSheetId="1">紅綠燈!#REF!</definedName>
    <definedName name="外部資料_2958" localSheetId="1">紅綠燈!#REF!</definedName>
    <definedName name="外部資料_296" localSheetId="16">PKA!#REF!</definedName>
    <definedName name="外部資料_296" localSheetId="17">PKB!#REF!</definedName>
    <definedName name="外部資料_296" localSheetId="18">PKC!#REF!</definedName>
    <definedName name="外部資料_296" localSheetId="4">公司債!#REF!</definedName>
    <definedName name="外部資料_296" localSheetId="14">評比系統!$T$1:$T$3</definedName>
    <definedName name="外部資料_2960" localSheetId="1">紅綠燈!#REF!</definedName>
    <definedName name="外部資料_2961" localSheetId="1">紅綠燈!#REF!</definedName>
    <definedName name="外部資料_2962" localSheetId="1">紅綠燈!#REF!</definedName>
    <definedName name="外部資料_2964" localSheetId="1">紅綠燈!#REF!</definedName>
    <definedName name="外部資料_2965" localSheetId="1">紅綠燈!#REF!</definedName>
    <definedName name="外部資料_2966" localSheetId="1">紅綠燈!#REF!</definedName>
    <definedName name="外部資料_2968" localSheetId="1">紅綠燈!#REF!</definedName>
    <definedName name="外部資料_2969" localSheetId="1">紅綠燈!#REF!</definedName>
    <definedName name="外部資料_297" localSheetId="16">PKA!#REF!</definedName>
    <definedName name="外部資料_297" localSheetId="17">PKB!#REF!</definedName>
    <definedName name="外部資料_297" localSheetId="18">PKC!#REF!</definedName>
    <definedName name="外部資料_297" localSheetId="4">公司債!#REF!</definedName>
    <definedName name="外部資料_297" localSheetId="14">評比系統!$T$1:$T$3</definedName>
    <definedName name="外部資料_2970" localSheetId="1">紅綠燈!#REF!</definedName>
    <definedName name="外部資料_2972" localSheetId="1">紅綠燈!#REF!</definedName>
    <definedName name="外部資料_2973" localSheetId="1">紅綠燈!#REF!</definedName>
    <definedName name="外部資料_2974" localSheetId="1">紅綠燈!#REF!</definedName>
    <definedName name="外部資料_2976" localSheetId="1">紅綠燈!#REF!</definedName>
    <definedName name="外部資料_2977" localSheetId="1">紅綠燈!#REF!</definedName>
    <definedName name="外部資料_2978" localSheetId="1">紅綠燈!#REF!</definedName>
    <definedName name="外部資料_298" localSheetId="16">PKA!#REF!</definedName>
    <definedName name="外部資料_298" localSheetId="17">PKB!#REF!</definedName>
    <definedName name="外部資料_298" localSheetId="18">PKC!#REF!</definedName>
    <definedName name="外部資料_298" localSheetId="4">公司債!#REF!</definedName>
    <definedName name="外部資料_298" localSheetId="14">評比系統!$T$1:$T$3</definedName>
    <definedName name="外部資料_2980" localSheetId="1">紅綠燈!#REF!</definedName>
    <definedName name="外部資料_2981" localSheetId="1">紅綠燈!#REF!</definedName>
    <definedName name="外部資料_2982" localSheetId="1">紅綠燈!#REF!</definedName>
    <definedName name="外部資料_2984" localSheetId="1">紅綠燈!#REF!</definedName>
    <definedName name="外部資料_2985" localSheetId="1">紅綠燈!#REF!</definedName>
    <definedName name="外部資料_2986" localSheetId="1">紅綠燈!#REF!</definedName>
    <definedName name="外部資料_2988" localSheetId="1">紅綠燈!#REF!</definedName>
    <definedName name="外部資料_2989" localSheetId="1">紅綠燈!#REF!</definedName>
    <definedName name="外部資料_299" localSheetId="16">PKA!#REF!</definedName>
    <definedName name="外部資料_299" localSheetId="17">PKB!#REF!</definedName>
    <definedName name="外部資料_299" localSheetId="18">PKC!#REF!</definedName>
    <definedName name="外部資料_299" localSheetId="4">公司債!#REF!</definedName>
    <definedName name="外部資料_299" localSheetId="14">評比系統!$T$1:$T$3</definedName>
    <definedName name="外部資料_2990" localSheetId="1">紅綠燈!#REF!</definedName>
    <definedName name="外部資料_2992" localSheetId="1">紅綠燈!#REF!</definedName>
    <definedName name="外部資料_2993" localSheetId="1">紅綠燈!#REF!</definedName>
    <definedName name="外部資料_2994" localSheetId="1">紅綠燈!#REF!</definedName>
    <definedName name="外部資料_2996" localSheetId="1">紅綠燈!#REF!</definedName>
    <definedName name="外部資料_2997" localSheetId="1">紅綠燈!#REF!</definedName>
    <definedName name="外部資料_2998" localSheetId="1">紅綠燈!#REF!</definedName>
    <definedName name="外部資料_3" localSheetId="16">PKA!#REF!</definedName>
    <definedName name="外部資料_3" localSheetId="17">PKB!#REF!</definedName>
    <definedName name="外部資料_3" localSheetId="18">PKC!#REF!</definedName>
    <definedName name="外部資料_3" localSheetId="9">PSR!#REF!</definedName>
    <definedName name="外部資料_3" localSheetId="4">公司債!#REF!</definedName>
    <definedName name="外部資料_3" localSheetId="1">紅綠燈!#REF!</definedName>
    <definedName name="外部資料_3" localSheetId="14">評比系統!#REF!</definedName>
    <definedName name="外部資料_3" localSheetId="5">篩股系統!#REF!</definedName>
    <definedName name="外部資料_3" localSheetId="7">營收搶先報!#REF!</definedName>
    <definedName name="外部資料_30" localSheetId="16">PKA!#REF!</definedName>
    <definedName name="外部資料_30" localSheetId="17">PKB!#REF!</definedName>
    <definedName name="外部資料_30" localSheetId="18">PKC!#REF!</definedName>
    <definedName name="外部資料_30" localSheetId="9">PSR!#REF!</definedName>
    <definedName name="外部資料_30" localSheetId="4">公司債!#REF!</definedName>
    <definedName name="外部資料_30" localSheetId="1">紅綠燈!#REF!</definedName>
    <definedName name="外部資料_30" localSheetId="14">評比系統!#REF!</definedName>
    <definedName name="外部資料_30" localSheetId="5">篩股系統!#REF!</definedName>
    <definedName name="外部資料_30" localSheetId="7">營收搶先報!#REF!</definedName>
    <definedName name="外部資料_300" localSheetId="16">PKA!#REF!</definedName>
    <definedName name="外部資料_300" localSheetId="17">PKB!#REF!</definedName>
    <definedName name="外部資料_300" localSheetId="18">PKC!#REF!</definedName>
    <definedName name="外部資料_300" localSheetId="4">公司債!#REF!</definedName>
    <definedName name="外部資料_300" localSheetId="14">評比系統!$T$1:$T$3</definedName>
    <definedName name="外部資料_3000" localSheetId="1">紅綠燈!#REF!</definedName>
    <definedName name="外部資料_3001" localSheetId="1">紅綠燈!#REF!</definedName>
    <definedName name="外部資料_3002" localSheetId="1">紅綠燈!#REF!</definedName>
    <definedName name="外部資料_3004" localSheetId="1">紅綠燈!#REF!</definedName>
    <definedName name="外部資料_3005" localSheetId="1">紅綠燈!#REF!</definedName>
    <definedName name="外部資料_3006" localSheetId="1">紅綠燈!#REF!</definedName>
    <definedName name="外部資料_3008" localSheetId="1">紅綠燈!#REF!</definedName>
    <definedName name="外部資料_3009" localSheetId="1">紅綠燈!#REF!</definedName>
    <definedName name="外部資料_301" localSheetId="16">PKA!#REF!</definedName>
    <definedName name="外部資料_301" localSheetId="17">PKB!#REF!</definedName>
    <definedName name="外部資料_301" localSheetId="18">PKC!#REF!</definedName>
    <definedName name="外部資料_301" localSheetId="4">公司債!#REF!</definedName>
    <definedName name="外部資料_301" localSheetId="14">評比系統!$T$1:$T$3</definedName>
    <definedName name="外部資料_3011" localSheetId="1">紅綠燈!#REF!</definedName>
    <definedName name="外部資料_3012" localSheetId="1">紅綠燈!#REF!</definedName>
    <definedName name="外部資料_3013" localSheetId="1">紅綠燈!#REF!</definedName>
    <definedName name="外部資料_3015" localSheetId="1">紅綠燈!#REF!</definedName>
    <definedName name="外部資料_3016" localSheetId="1">紅綠燈!#REF!</definedName>
    <definedName name="外部資料_3017" localSheetId="1">紅綠燈!#REF!</definedName>
    <definedName name="外部資料_3019" localSheetId="1">紅綠燈!#REF!</definedName>
    <definedName name="外部資料_302" localSheetId="16">PKA!#REF!</definedName>
    <definedName name="外部資料_302" localSheetId="17">PKB!#REF!</definedName>
    <definedName name="外部資料_302" localSheetId="18">PKC!#REF!</definedName>
    <definedName name="外部資料_302" localSheetId="4">公司債!#REF!</definedName>
    <definedName name="外部資料_302" localSheetId="14">評比系統!$T$1:$T$3</definedName>
    <definedName name="外部資料_3020" localSheetId="1">紅綠燈!#REF!</definedName>
    <definedName name="外部資料_3022" localSheetId="1">紅綠燈!#REF!</definedName>
    <definedName name="外部資料_3023" localSheetId="1">紅綠燈!#REF!</definedName>
    <definedName name="外部資料_3024" localSheetId="1">紅綠燈!#REF!</definedName>
    <definedName name="外部資料_3026" localSheetId="1">紅綠燈!#REF!</definedName>
    <definedName name="外部資料_3027" localSheetId="1">紅綠燈!#REF!</definedName>
    <definedName name="外部資料_3028" localSheetId="1">紅綠燈!#REF!</definedName>
    <definedName name="外部資料_303" localSheetId="16">PKA!#REF!</definedName>
    <definedName name="外部資料_303" localSheetId="17">PKB!#REF!</definedName>
    <definedName name="外部資料_303" localSheetId="18">PKC!#REF!</definedName>
    <definedName name="外部資料_303" localSheetId="4">公司債!#REF!</definedName>
    <definedName name="外部資料_303" localSheetId="14">評比系統!$T$1:$T$3</definedName>
    <definedName name="外部資料_3030" localSheetId="1">紅綠燈!#REF!</definedName>
    <definedName name="外部資料_3031" localSheetId="1">紅綠燈!#REF!</definedName>
    <definedName name="外部資料_3032" localSheetId="1">紅綠燈!#REF!</definedName>
    <definedName name="外部資料_3034" localSheetId="1">紅綠燈!#REF!</definedName>
    <definedName name="外部資料_3035" localSheetId="1">紅綠燈!#REF!</definedName>
    <definedName name="外部資料_3036" localSheetId="1">紅綠燈!#REF!</definedName>
    <definedName name="外部資料_3038" localSheetId="1">紅綠燈!#REF!</definedName>
    <definedName name="外部資料_3039" localSheetId="1">紅綠燈!#REF!</definedName>
    <definedName name="外部資料_304" localSheetId="16">PKA!#REF!</definedName>
    <definedName name="外部資料_304" localSheetId="17">PKB!#REF!</definedName>
    <definedName name="外部資料_304" localSheetId="18">PKC!#REF!</definedName>
    <definedName name="外部資料_304" localSheetId="4">公司債!#REF!</definedName>
    <definedName name="外部資料_304" localSheetId="14">評比系統!$T$1:$T$3</definedName>
    <definedName name="外部資料_3040" localSheetId="1">紅綠燈!#REF!</definedName>
    <definedName name="外部資料_3042" localSheetId="1">紅綠燈!#REF!</definedName>
    <definedName name="外部資料_3043" localSheetId="1">紅綠燈!#REF!</definedName>
    <definedName name="外部資料_3044" localSheetId="1">紅綠燈!#REF!</definedName>
    <definedName name="外部資料_3046" localSheetId="1">紅綠燈!#REF!</definedName>
    <definedName name="外部資料_3047" localSheetId="1">紅綠燈!#REF!</definedName>
    <definedName name="外部資料_3048" localSheetId="1">紅綠燈!#REF!</definedName>
    <definedName name="外部資料_305" localSheetId="16">PKA!#REF!</definedName>
    <definedName name="外部資料_305" localSheetId="17">PKB!#REF!</definedName>
    <definedName name="外部資料_305" localSheetId="18">PKC!#REF!</definedName>
    <definedName name="外部資料_305" localSheetId="4">公司債!#REF!</definedName>
    <definedName name="外部資料_305" localSheetId="14">評比系統!$T$1:$T$3</definedName>
    <definedName name="外部資料_3050" localSheetId="1">紅綠燈!#REF!</definedName>
    <definedName name="外部資料_3051" localSheetId="1">紅綠燈!#REF!</definedName>
    <definedName name="外部資料_3053" localSheetId="1">紅綠燈!#REF!</definedName>
    <definedName name="外部資料_3054" localSheetId="1">紅綠燈!#REF!</definedName>
    <definedName name="外部資料_3056" localSheetId="1">紅綠燈!#REF!</definedName>
    <definedName name="外部資料_3057" localSheetId="1">紅綠燈!#REF!</definedName>
    <definedName name="外部資料_3058" localSheetId="1">紅綠燈!#REF!</definedName>
    <definedName name="外部資料_306" localSheetId="16">PKA!#REF!</definedName>
    <definedName name="外部資料_306" localSheetId="17">PKB!#REF!</definedName>
    <definedName name="外部資料_306" localSheetId="18">PKC!#REF!</definedName>
    <definedName name="外部資料_306" localSheetId="4">公司債!#REF!</definedName>
    <definedName name="外部資料_306" localSheetId="14">評比系統!$T$1:$T$3</definedName>
    <definedName name="外部資料_3060" localSheetId="1">紅綠燈!#REF!</definedName>
    <definedName name="外部資料_3061" localSheetId="1">紅綠燈!#REF!</definedName>
    <definedName name="外部資料_3062" localSheetId="1">紅綠燈!#REF!</definedName>
    <definedName name="外部資料_3064" localSheetId="1">紅綠燈!#REF!</definedName>
    <definedName name="外部資料_3065" localSheetId="1">紅綠燈!#REF!</definedName>
    <definedName name="外部資料_3066" localSheetId="1">紅綠燈!#REF!</definedName>
    <definedName name="外部資料_3068" localSheetId="1">紅綠燈!#REF!</definedName>
    <definedName name="外部資料_3069" localSheetId="1">紅綠燈!#REF!</definedName>
    <definedName name="外部資料_307" localSheetId="16">PKA!#REF!</definedName>
    <definedName name="外部資料_307" localSheetId="17">PKB!#REF!</definedName>
    <definedName name="外部資料_307" localSheetId="18">PKC!#REF!</definedName>
    <definedName name="外部資料_307" localSheetId="4">公司債!#REF!</definedName>
    <definedName name="外部資料_307" localSheetId="14">評比系統!$T$1:$T$3</definedName>
    <definedName name="外部資料_3070" localSheetId="1">紅綠燈!#REF!</definedName>
    <definedName name="外部資料_3072" localSheetId="1">紅綠燈!#REF!</definedName>
    <definedName name="外部資料_3073" localSheetId="1">紅綠燈!#REF!</definedName>
    <definedName name="外部資料_3074" localSheetId="1">紅綠燈!#REF!</definedName>
    <definedName name="外部資料_3076" localSheetId="1">紅綠燈!#REF!</definedName>
    <definedName name="外部資料_3077" localSheetId="1">紅綠燈!#REF!</definedName>
    <definedName name="外部資料_3078" localSheetId="1">紅綠燈!#REF!</definedName>
    <definedName name="外部資料_308" localSheetId="16">PKA!#REF!</definedName>
    <definedName name="外部資料_308" localSheetId="17">PKB!#REF!</definedName>
    <definedName name="外部資料_308" localSheetId="18">PKC!#REF!</definedName>
    <definedName name="外部資料_308" localSheetId="4">公司債!#REF!</definedName>
    <definedName name="外部資料_308" localSheetId="14">評比系統!$T$1:$T$3</definedName>
    <definedName name="外部資料_3080" localSheetId="1">紅綠燈!#REF!</definedName>
    <definedName name="外部資料_3081" localSheetId="1">紅綠燈!#REF!</definedName>
    <definedName name="外部資料_3082" localSheetId="1">紅綠燈!#REF!</definedName>
    <definedName name="外部資料_3084" localSheetId="1">紅綠燈!#REF!</definedName>
    <definedName name="外部資料_3085" localSheetId="1">紅綠燈!#REF!</definedName>
    <definedName name="外部資料_3086" localSheetId="1">紅綠燈!#REF!</definedName>
    <definedName name="外部資料_3088" localSheetId="1">紅綠燈!#REF!</definedName>
    <definedName name="外部資料_3089" localSheetId="1">紅綠燈!#REF!</definedName>
    <definedName name="外部資料_309" localSheetId="16">PKA!#REF!</definedName>
    <definedName name="外部資料_309" localSheetId="17">PKB!#REF!</definedName>
    <definedName name="外部資料_309" localSheetId="18">PKC!#REF!</definedName>
    <definedName name="外部資料_309" localSheetId="4">公司債!#REF!</definedName>
    <definedName name="外部資料_309" localSheetId="14">評比系統!$T$1:$T$3</definedName>
    <definedName name="外部資料_3090" localSheetId="1">紅綠燈!#REF!</definedName>
    <definedName name="外部資料_3092" localSheetId="1">紅綠燈!#REF!</definedName>
    <definedName name="外部資料_3093" localSheetId="1">紅綠燈!#REF!</definedName>
    <definedName name="外部資料_3094" localSheetId="1">紅綠燈!#REF!</definedName>
    <definedName name="外部資料_3096" localSheetId="1">紅綠燈!#REF!</definedName>
    <definedName name="外部資料_3097" localSheetId="1">紅綠燈!#REF!</definedName>
    <definedName name="外部資料_3098" localSheetId="1">紅綠燈!#REF!</definedName>
    <definedName name="外部資料_31" localSheetId="16">PKA!#REF!</definedName>
    <definedName name="外部資料_31" localSheetId="17">PKB!#REF!</definedName>
    <definedName name="外部資料_31" localSheetId="18">PKC!#REF!</definedName>
    <definedName name="外部資料_31" localSheetId="9">PSR!#REF!</definedName>
    <definedName name="外部資料_31" localSheetId="4">公司債!#REF!</definedName>
    <definedName name="外部資料_31" localSheetId="14">評比系統!#REF!</definedName>
    <definedName name="外部資料_31" localSheetId="5">篩股系統!#REF!</definedName>
    <definedName name="外部資料_31" localSheetId="7">營收搶先報!#REF!</definedName>
    <definedName name="外部資料_310" localSheetId="16">PKA!#REF!</definedName>
    <definedName name="外部資料_310" localSheetId="17">PKB!#REF!</definedName>
    <definedName name="外部資料_310" localSheetId="18">PKC!#REF!</definedName>
    <definedName name="外部資料_310" localSheetId="4">公司債!#REF!</definedName>
    <definedName name="外部資料_310" localSheetId="14">評比系統!$T$1:$T$3</definedName>
    <definedName name="外部資料_3100" localSheetId="1">紅綠燈!#REF!</definedName>
    <definedName name="外部資料_3101" localSheetId="1">紅綠燈!#REF!</definedName>
    <definedName name="外部資料_3102" localSheetId="1">紅綠燈!#REF!</definedName>
    <definedName name="外部資料_3104" localSheetId="1">紅綠燈!#REF!</definedName>
    <definedName name="外部資料_3105" localSheetId="1">紅綠燈!#REF!</definedName>
    <definedName name="外部資料_3106" localSheetId="1">紅綠燈!#REF!</definedName>
    <definedName name="外部資料_3108" localSheetId="1">紅綠燈!#REF!</definedName>
    <definedName name="外部資料_3109" localSheetId="1">紅綠燈!#REF!</definedName>
    <definedName name="外部資料_311" localSheetId="16">PKA!#REF!</definedName>
    <definedName name="外部資料_311" localSheetId="17">PKB!#REF!</definedName>
    <definedName name="外部資料_311" localSheetId="18">PKC!#REF!</definedName>
    <definedName name="外部資料_311" localSheetId="4">公司債!#REF!</definedName>
    <definedName name="外部資料_311" localSheetId="14">評比系統!$T$1:$T$3</definedName>
    <definedName name="外部資料_3110" localSheetId="1">紅綠燈!#REF!</definedName>
    <definedName name="外部資料_3112" localSheetId="1">紅綠燈!#REF!</definedName>
    <definedName name="外部資料_3113" localSheetId="1">紅綠燈!#REF!</definedName>
    <definedName name="外部資料_3114" localSheetId="1">紅綠燈!#REF!</definedName>
    <definedName name="外部資料_3116" localSheetId="1">紅綠燈!#REF!</definedName>
    <definedName name="外部資料_3117" localSheetId="1">紅綠燈!#REF!</definedName>
    <definedName name="外部資料_3119" localSheetId="1">紅綠燈!#REF!</definedName>
    <definedName name="外部資料_312" localSheetId="16">PKA!#REF!</definedName>
    <definedName name="外部資料_312" localSheetId="17">PKB!#REF!</definedName>
    <definedName name="外部資料_312" localSheetId="18">PKC!#REF!</definedName>
    <definedName name="外部資料_312" localSheetId="4">公司債!#REF!</definedName>
    <definedName name="外部資料_312" localSheetId="14">評比系統!$T$1:$T$3</definedName>
    <definedName name="外部資料_3120" localSheetId="1">紅綠燈!#REF!</definedName>
    <definedName name="外部資料_3121" localSheetId="1">紅綠燈!#REF!</definedName>
    <definedName name="外部資料_3123" localSheetId="1">紅綠燈!#REF!</definedName>
    <definedName name="外部資料_3124" localSheetId="1">紅綠燈!#REF!</definedName>
    <definedName name="外部資料_3125" localSheetId="1">紅綠燈!#REF!</definedName>
    <definedName name="外部資料_3127" localSheetId="1">紅綠燈!#REF!</definedName>
    <definedName name="外部資料_3128" localSheetId="1">紅綠燈!#REF!</definedName>
    <definedName name="外部資料_3129" localSheetId="1">紅綠燈!#REF!</definedName>
    <definedName name="外部資料_313" localSheetId="16">PKA!#REF!</definedName>
    <definedName name="外部資料_313" localSheetId="17">PKB!#REF!</definedName>
    <definedName name="外部資料_313" localSheetId="18">PKC!#REF!</definedName>
    <definedName name="外部資料_313" localSheetId="4">公司債!#REF!</definedName>
    <definedName name="外部資料_313" localSheetId="14">評比系統!$T$1:$T$3</definedName>
    <definedName name="外部資料_3131" localSheetId="1">紅綠燈!#REF!</definedName>
    <definedName name="外部資料_3132" localSheetId="1">紅綠燈!#REF!</definedName>
    <definedName name="外部資料_3133" localSheetId="1">紅綠燈!#REF!</definedName>
    <definedName name="外部資料_3135" localSheetId="1">紅綠燈!#REF!</definedName>
    <definedName name="外部資料_3136" localSheetId="1">紅綠燈!#REF!</definedName>
    <definedName name="外部資料_3137" localSheetId="1">紅綠燈!#REF!</definedName>
    <definedName name="外部資料_3139" localSheetId="1">紅綠燈!#REF!</definedName>
    <definedName name="外部資料_314" localSheetId="16">PKA!#REF!</definedName>
    <definedName name="外部資料_314" localSheetId="17">PKB!#REF!</definedName>
    <definedName name="外部資料_314" localSheetId="18">PKC!#REF!</definedName>
    <definedName name="外部資料_314" localSheetId="4">公司債!#REF!</definedName>
    <definedName name="外部資料_314" localSheetId="14">評比系統!$T$1:$T$3</definedName>
    <definedName name="外部資料_3140" localSheetId="1">紅綠燈!#REF!</definedName>
    <definedName name="外部資料_3141" localSheetId="1">紅綠燈!#REF!</definedName>
    <definedName name="外部資料_3143" localSheetId="1">紅綠燈!#REF!</definedName>
    <definedName name="外部資料_3144" localSheetId="1">紅綠燈!#REF!</definedName>
    <definedName name="外部資料_3145" localSheetId="1">紅綠燈!#REF!</definedName>
    <definedName name="外部資料_3147" localSheetId="1">紅綠燈!#REF!</definedName>
    <definedName name="外部資料_3148" localSheetId="1">紅綠燈!#REF!</definedName>
    <definedName name="外部資料_3149" localSheetId="1">紅綠燈!#REF!</definedName>
    <definedName name="外部資料_315" localSheetId="16">PKA!#REF!</definedName>
    <definedName name="外部資料_315" localSheetId="17">PKB!#REF!</definedName>
    <definedName name="外部資料_315" localSheetId="18">PKC!#REF!</definedName>
    <definedName name="外部資料_315" localSheetId="4">公司債!#REF!</definedName>
    <definedName name="外部資料_315" localSheetId="14">評比系統!$T$1:$T$3</definedName>
    <definedName name="外部資料_3151" localSheetId="1">紅綠燈!#REF!</definedName>
    <definedName name="外部資料_3152" localSheetId="1">紅綠燈!#REF!</definedName>
    <definedName name="外部資料_3153" localSheetId="1">紅綠燈!#REF!</definedName>
    <definedName name="外部資料_3155" localSheetId="1">紅綠燈!#REF!</definedName>
    <definedName name="外部資料_3156" localSheetId="1">紅綠燈!#REF!</definedName>
    <definedName name="外部資料_3157" localSheetId="1">紅綠燈!#REF!</definedName>
    <definedName name="外部資料_3159" localSheetId="1">紅綠燈!#REF!</definedName>
    <definedName name="外部資料_316" localSheetId="16">PKA!#REF!</definedName>
    <definedName name="外部資料_316" localSheetId="17">PKB!#REF!</definedName>
    <definedName name="外部資料_316" localSheetId="18">PKC!#REF!</definedName>
    <definedName name="外部資料_316" localSheetId="4">公司債!#REF!</definedName>
    <definedName name="外部資料_316" localSheetId="14">評比系統!$T$1:$T$3</definedName>
    <definedName name="外部資料_3160" localSheetId="1">紅綠燈!#REF!</definedName>
    <definedName name="外部資料_3161" localSheetId="1">紅綠燈!#REF!</definedName>
    <definedName name="外部資料_3163" localSheetId="1">紅綠燈!#REF!</definedName>
    <definedName name="外部資料_3164" localSheetId="1">紅綠燈!#REF!</definedName>
    <definedName name="外部資料_3165" localSheetId="1">紅綠燈!#REF!</definedName>
    <definedName name="外部資料_3167" localSheetId="1">紅綠燈!#REF!</definedName>
    <definedName name="外部資料_3168" localSheetId="1">紅綠燈!#REF!</definedName>
    <definedName name="外部資料_3169" localSheetId="1">紅綠燈!#REF!</definedName>
    <definedName name="外部資料_317" localSheetId="16">PKA!#REF!</definedName>
    <definedName name="外部資料_317" localSheetId="17">PKB!#REF!</definedName>
    <definedName name="外部資料_317" localSheetId="18">PKC!#REF!</definedName>
    <definedName name="外部資料_317" localSheetId="4">公司債!#REF!</definedName>
    <definedName name="外部資料_317" localSheetId="14">評比系統!$T$1:$T$3</definedName>
    <definedName name="外部資料_3171" localSheetId="1">紅綠燈!#REF!</definedName>
    <definedName name="外部資料_3172" localSheetId="1">紅綠燈!#REF!</definedName>
    <definedName name="外部資料_3173" localSheetId="1">紅綠燈!#REF!</definedName>
    <definedName name="外部資料_3175" localSheetId="1">紅綠燈!#REF!</definedName>
    <definedName name="外部資料_3176" localSheetId="1">紅綠燈!#REF!</definedName>
    <definedName name="外部資料_3177" localSheetId="1">紅綠燈!#REF!</definedName>
    <definedName name="外部資料_3179" localSheetId="1">紅綠燈!#REF!</definedName>
    <definedName name="外部資料_318" localSheetId="16">PKA!#REF!</definedName>
    <definedName name="外部資料_318" localSheetId="17">PKB!#REF!</definedName>
    <definedName name="外部資料_318" localSheetId="18">PKC!#REF!</definedName>
    <definedName name="外部資料_318" localSheetId="4">公司債!#REF!</definedName>
    <definedName name="外部資料_318" localSheetId="14">評比系統!$T$1:$T$3</definedName>
    <definedName name="外部資料_3180" localSheetId="1">紅綠燈!#REF!</definedName>
    <definedName name="外部資料_3181" localSheetId="1">紅綠燈!#REF!</definedName>
    <definedName name="外部資料_3183" localSheetId="1">紅綠燈!#REF!</definedName>
    <definedName name="外部資料_3184" localSheetId="1">紅綠燈!#REF!</definedName>
    <definedName name="外部資料_3185" localSheetId="1">紅綠燈!#REF!</definedName>
    <definedName name="外部資料_3187" localSheetId="1">紅綠燈!#REF!</definedName>
    <definedName name="外部資料_3188" localSheetId="1">紅綠燈!#REF!</definedName>
    <definedName name="外部資料_3189" localSheetId="1">紅綠燈!#REF!</definedName>
    <definedName name="外部資料_319" localSheetId="16">PKA!#REF!</definedName>
    <definedName name="外部資料_319" localSheetId="17">PKB!#REF!</definedName>
    <definedName name="外部資料_319" localSheetId="18">PKC!#REF!</definedName>
    <definedName name="外部資料_319" localSheetId="4">公司債!#REF!</definedName>
    <definedName name="外部資料_319" localSheetId="14">評比系統!$T$1:$T$3</definedName>
    <definedName name="外部資料_3191" localSheetId="1">紅綠燈!#REF!</definedName>
    <definedName name="外部資料_3192" localSheetId="1">紅綠燈!#REF!</definedName>
    <definedName name="外部資料_3193" localSheetId="1">紅綠燈!#REF!</definedName>
    <definedName name="外部資料_3195" localSheetId="1">紅綠燈!#REF!</definedName>
    <definedName name="外部資料_3196" localSheetId="1">紅綠燈!#REF!</definedName>
    <definedName name="外部資料_3197" localSheetId="1">紅綠燈!#REF!</definedName>
    <definedName name="外部資料_3199" localSheetId="1">紅綠燈!#REF!</definedName>
    <definedName name="外部資料_32" localSheetId="16">PKA!#REF!</definedName>
    <definedName name="外部資料_32" localSheetId="17">PKB!#REF!</definedName>
    <definedName name="外部資料_32" localSheetId="18">PKC!#REF!</definedName>
    <definedName name="外部資料_32" localSheetId="9">PSR!#REF!</definedName>
    <definedName name="外部資料_32" localSheetId="4">公司債!#REF!</definedName>
    <definedName name="外部資料_32" localSheetId="1">紅綠燈!#REF!</definedName>
    <definedName name="外部資料_32" localSheetId="14">評比系統!#REF!</definedName>
    <definedName name="外部資料_32" localSheetId="5">篩股系統!#REF!</definedName>
    <definedName name="外部資料_32" localSheetId="7">營收搶先報!#REF!</definedName>
    <definedName name="外部資料_320" localSheetId="16">PKA!#REF!</definedName>
    <definedName name="外部資料_320" localSheetId="17">PKB!#REF!</definedName>
    <definedName name="外部資料_320" localSheetId="18">PKC!#REF!</definedName>
    <definedName name="外部資料_320" localSheetId="4">公司債!#REF!</definedName>
    <definedName name="外部資料_320" localSheetId="14">評比系統!$T$1:$T$3</definedName>
    <definedName name="外部資料_3200" localSheetId="1">紅綠燈!#REF!</definedName>
    <definedName name="外部資料_3201" localSheetId="1">紅綠燈!#REF!</definedName>
    <definedName name="外部資料_3203" localSheetId="1">紅綠燈!#REF!</definedName>
    <definedName name="外部資料_3204" localSheetId="1">紅綠燈!#REF!</definedName>
    <definedName name="外部資料_3205" localSheetId="1">紅綠燈!#REF!</definedName>
    <definedName name="外部資料_3207" localSheetId="1">紅綠燈!#REF!</definedName>
    <definedName name="外部資料_3208" localSheetId="1">紅綠燈!#REF!</definedName>
    <definedName name="外部資料_3209" localSheetId="1">紅綠燈!#REF!</definedName>
    <definedName name="外部資料_321" localSheetId="16">PKA!#REF!</definedName>
    <definedName name="外部資料_321" localSheetId="17">PKB!#REF!</definedName>
    <definedName name="外部資料_321" localSheetId="18">PKC!#REF!</definedName>
    <definedName name="外部資料_321" localSheetId="4">公司債!#REF!</definedName>
    <definedName name="外部資料_321" localSheetId="14">評比系統!$T$1:$T$3</definedName>
    <definedName name="外部資料_3211" localSheetId="1">紅綠燈!#REF!</definedName>
    <definedName name="外部資料_3212" localSheetId="1">紅綠燈!#REF!</definedName>
    <definedName name="外部資料_3213" localSheetId="1">紅綠燈!#REF!</definedName>
    <definedName name="外部資料_3215" localSheetId="1">紅綠燈!#REF!</definedName>
    <definedName name="外部資料_3216" localSheetId="1">紅綠燈!#REF!</definedName>
    <definedName name="外部資料_3217" localSheetId="1">紅綠燈!#REF!</definedName>
    <definedName name="外部資料_3219" localSheetId="1">紅綠燈!#REF!</definedName>
    <definedName name="外部資料_322" localSheetId="16">PKA!#REF!</definedName>
    <definedName name="外部資料_322" localSheetId="17">PKB!#REF!</definedName>
    <definedName name="外部資料_322" localSheetId="18">PKC!#REF!</definedName>
    <definedName name="外部資料_322" localSheetId="4">公司債!#REF!</definedName>
    <definedName name="外部資料_322" localSheetId="14">評比系統!$T$1:$T$3</definedName>
    <definedName name="外部資料_3220" localSheetId="1">紅綠燈!#REF!</definedName>
    <definedName name="外部資料_3221" localSheetId="1">紅綠燈!#REF!</definedName>
    <definedName name="外部資料_3223" localSheetId="1">紅綠燈!#REF!</definedName>
    <definedName name="外部資料_3224" localSheetId="1">紅綠燈!#REF!</definedName>
    <definedName name="外部資料_3225" localSheetId="1">紅綠燈!#REF!</definedName>
    <definedName name="外部資料_3227" localSheetId="1">紅綠燈!#REF!</definedName>
    <definedName name="外部資料_3228" localSheetId="1">紅綠燈!#REF!</definedName>
    <definedName name="外部資料_3229" localSheetId="1">紅綠燈!#REF!</definedName>
    <definedName name="外部資料_323" localSheetId="16">PKA!#REF!</definedName>
    <definedName name="外部資料_323" localSheetId="17">PKB!#REF!</definedName>
    <definedName name="外部資料_323" localSheetId="18">PKC!#REF!</definedName>
    <definedName name="外部資料_323" localSheetId="4">公司債!#REF!</definedName>
    <definedName name="外部資料_323" localSheetId="14">評比系統!$T$1:$T$3</definedName>
    <definedName name="外部資料_3231" localSheetId="1">紅綠燈!#REF!</definedName>
    <definedName name="外部資料_3232" localSheetId="1">紅綠燈!#REF!</definedName>
    <definedName name="外部資料_3233" localSheetId="1">紅綠燈!#REF!</definedName>
    <definedName name="外部資料_3235" localSheetId="1">紅綠燈!#REF!</definedName>
    <definedName name="外部資料_3236" localSheetId="1">紅綠燈!#REF!</definedName>
    <definedName name="外部資料_3237" localSheetId="1">紅綠燈!#REF!</definedName>
    <definedName name="外部資料_3239" localSheetId="1">紅綠燈!#REF!</definedName>
    <definedName name="外部資料_324" localSheetId="16">PKA!#REF!</definedName>
    <definedName name="外部資料_324" localSheetId="17">PKB!#REF!</definedName>
    <definedName name="外部資料_324" localSheetId="18">PKC!#REF!</definedName>
    <definedName name="外部資料_324" localSheetId="4">公司債!#REF!</definedName>
    <definedName name="外部資料_324" localSheetId="14">評比系統!$T$1:$T$3</definedName>
    <definedName name="外部資料_3240" localSheetId="1">紅綠燈!#REF!</definedName>
    <definedName name="外部資料_3241" localSheetId="1">紅綠燈!#REF!</definedName>
    <definedName name="外部資料_3243" localSheetId="1">紅綠燈!#REF!</definedName>
    <definedName name="外部資料_3244" localSheetId="1">紅綠燈!#REF!</definedName>
    <definedName name="外部資料_3245" localSheetId="1">紅綠燈!#REF!</definedName>
    <definedName name="外部資料_3247" localSheetId="1">紅綠燈!#REF!</definedName>
    <definedName name="外部資料_3248" localSheetId="1">紅綠燈!#REF!</definedName>
    <definedName name="外部資料_3249" localSheetId="1">紅綠燈!#REF!</definedName>
    <definedName name="外部資料_325" localSheetId="16">PKA!#REF!</definedName>
    <definedName name="外部資料_325" localSheetId="17">PKB!#REF!</definedName>
    <definedName name="外部資料_325" localSheetId="18">PKC!#REF!</definedName>
    <definedName name="外部資料_325" localSheetId="4">公司債!#REF!</definedName>
    <definedName name="外部資料_325" localSheetId="14">評比系統!$T$1:$T$3</definedName>
    <definedName name="外部資料_3251" localSheetId="1">紅綠燈!#REF!</definedName>
    <definedName name="外部資料_3252" localSheetId="1">紅綠燈!#REF!</definedName>
    <definedName name="外部資料_3253" localSheetId="1">紅綠燈!#REF!</definedName>
    <definedName name="外部資料_3255" localSheetId="1">紅綠燈!#REF!</definedName>
    <definedName name="外部資料_3256" localSheetId="1">紅綠燈!#REF!</definedName>
    <definedName name="外部資料_3257" localSheetId="1">紅綠燈!#REF!</definedName>
    <definedName name="外部資料_3259" localSheetId="1">紅綠燈!#REF!</definedName>
    <definedName name="外部資料_326" localSheetId="16">PKA!#REF!</definedName>
    <definedName name="外部資料_326" localSheetId="17">PKB!#REF!</definedName>
    <definedName name="外部資料_326" localSheetId="18">PKC!#REF!</definedName>
    <definedName name="外部資料_326" localSheetId="4">公司債!#REF!</definedName>
    <definedName name="外部資料_326" localSheetId="14">評比系統!$T$1:$T$3</definedName>
    <definedName name="外部資料_3260" localSheetId="1">紅綠燈!#REF!</definedName>
    <definedName name="外部資料_3261" localSheetId="1">紅綠燈!#REF!</definedName>
    <definedName name="外部資料_3263" localSheetId="1">紅綠燈!#REF!</definedName>
    <definedName name="外部資料_3264" localSheetId="1">紅綠燈!#REF!</definedName>
    <definedName name="外部資料_3265" localSheetId="1">紅綠燈!#REF!</definedName>
    <definedName name="外部資料_3267" localSheetId="1">紅綠燈!#REF!</definedName>
    <definedName name="外部資料_3268" localSheetId="1">紅綠燈!#REF!</definedName>
    <definedName name="外部資料_3269" localSheetId="1">紅綠燈!#REF!</definedName>
    <definedName name="外部資料_327" localSheetId="16">PKA!#REF!</definedName>
    <definedName name="外部資料_327" localSheetId="17">PKB!#REF!</definedName>
    <definedName name="外部資料_327" localSheetId="18">PKC!#REF!</definedName>
    <definedName name="外部資料_327" localSheetId="4">公司債!#REF!</definedName>
    <definedName name="外部資料_327" localSheetId="14">評比系統!$T$1:$T$3</definedName>
    <definedName name="外部資料_3271" localSheetId="1">紅綠燈!#REF!</definedName>
    <definedName name="外部資料_3272" localSheetId="1">紅綠燈!#REF!</definedName>
    <definedName name="外部資料_3273" localSheetId="1">紅綠燈!#REF!</definedName>
    <definedName name="外部資料_3275" localSheetId="1">紅綠燈!#REF!</definedName>
    <definedName name="外部資料_3276" localSheetId="1">紅綠燈!#REF!</definedName>
    <definedName name="外部資料_3277" localSheetId="1">紅綠燈!#REF!</definedName>
    <definedName name="外部資料_3279" localSheetId="1">紅綠燈!#REF!</definedName>
    <definedName name="外部資料_328" localSheetId="16">PKA!#REF!</definedName>
    <definedName name="外部資料_328" localSheetId="17">PKB!#REF!</definedName>
    <definedName name="外部資料_328" localSheetId="18">PKC!#REF!</definedName>
    <definedName name="外部資料_328" localSheetId="4">公司債!#REF!</definedName>
    <definedName name="外部資料_328" localSheetId="14">評比系統!$T$1:$T$3</definedName>
    <definedName name="外部資料_3280" localSheetId="1">紅綠燈!#REF!</definedName>
    <definedName name="外部資料_3281" localSheetId="1">紅綠燈!#REF!</definedName>
    <definedName name="外部資料_3283" localSheetId="1">紅綠燈!#REF!</definedName>
    <definedName name="外部資料_3284" localSheetId="1">紅綠燈!#REF!</definedName>
    <definedName name="外部資料_3285" localSheetId="1">紅綠燈!#REF!</definedName>
    <definedName name="外部資料_3287" localSheetId="1">紅綠燈!#REF!</definedName>
    <definedName name="外部資料_3288" localSheetId="1">紅綠燈!#REF!</definedName>
    <definedName name="外部資料_3289" localSheetId="1">紅綠燈!#REF!</definedName>
    <definedName name="外部資料_329" localSheetId="16">PKA!#REF!</definedName>
    <definedName name="外部資料_329" localSheetId="17">PKB!#REF!</definedName>
    <definedName name="外部資料_329" localSheetId="18">PKC!#REF!</definedName>
    <definedName name="外部資料_329" localSheetId="4">公司債!#REF!</definedName>
    <definedName name="外部資料_329" localSheetId="14">評比系統!$T$1:$T$3</definedName>
    <definedName name="外部資料_3291" localSheetId="1">紅綠燈!#REF!</definedName>
    <definedName name="外部資料_3292" localSheetId="1">紅綠燈!#REF!</definedName>
    <definedName name="外部資料_3293" localSheetId="1">紅綠燈!#REF!</definedName>
    <definedName name="外部資料_3295" localSheetId="1">紅綠燈!#REF!</definedName>
    <definedName name="外部資料_3296" localSheetId="1">紅綠燈!#REF!</definedName>
    <definedName name="外部資料_3297" localSheetId="1">紅綠燈!#REF!</definedName>
    <definedName name="外部資料_3299" localSheetId="1">紅綠燈!#REF!</definedName>
    <definedName name="外部資料_33" localSheetId="16">PKA!#REF!</definedName>
    <definedName name="外部資料_33" localSheetId="17">PKB!#REF!</definedName>
    <definedName name="外部資料_33" localSheetId="18">PKC!#REF!</definedName>
    <definedName name="外部資料_33" localSheetId="9">PSR!#REF!</definedName>
    <definedName name="外部資料_33" localSheetId="4">公司債!#REF!</definedName>
    <definedName name="外部資料_33" localSheetId="1">紅綠燈!#REF!</definedName>
    <definedName name="外部資料_33" localSheetId="14">評比系統!#REF!</definedName>
    <definedName name="外部資料_33" localSheetId="5">篩股系統!#REF!</definedName>
    <definedName name="外部資料_33" localSheetId="7">營收搶先報!#REF!</definedName>
    <definedName name="外部資料_330" localSheetId="16">PKA!#REF!</definedName>
    <definedName name="外部資料_330" localSheetId="17">PKB!#REF!</definedName>
    <definedName name="外部資料_330" localSheetId="18">PKC!#REF!</definedName>
    <definedName name="外部資料_330" localSheetId="4">公司債!#REF!</definedName>
    <definedName name="外部資料_330" localSheetId="14">評比系統!$T$1:$T$3</definedName>
    <definedName name="外部資料_3300" localSheetId="1">紅綠燈!#REF!</definedName>
    <definedName name="外部資料_3301" localSheetId="1">紅綠燈!#REF!</definedName>
    <definedName name="外部資料_3303" localSheetId="1">紅綠燈!#REF!</definedName>
    <definedName name="外部資料_3304" localSheetId="1">紅綠燈!#REF!</definedName>
    <definedName name="外部資料_3305" localSheetId="1">紅綠燈!#REF!</definedName>
    <definedName name="外部資料_3307" localSheetId="1">紅綠燈!#REF!</definedName>
    <definedName name="外部資料_3308" localSheetId="1">紅綠燈!#REF!</definedName>
    <definedName name="外部資料_3309" localSheetId="1">紅綠燈!#REF!</definedName>
    <definedName name="外部資料_331" localSheetId="16">PKA!#REF!</definedName>
    <definedName name="外部資料_331" localSheetId="17">PKB!#REF!</definedName>
    <definedName name="外部資料_331" localSheetId="18">PKC!#REF!</definedName>
    <definedName name="外部資料_331" localSheetId="4">公司債!#REF!</definedName>
    <definedName name="外部資料_331" localSheetId="14">評比系統!$T$1:$T$3</definedName>
    <definedName name="外部資料_3311" localSheetId="1">紅綠燈!#REF!</definedName>
    <definedName name="外部資料_3312" localSheetId="1">紅綠燈!#REF!</definedName>
    <definedName name="外部資料_3313" localSheetId="1">紅綠燈!#REF!</definedName>
    <definedName name="外部資料_3315" localSheetId="1">紅綠燈!#REF!</definedName>
    <definedName name="外部資料_3316" localSheetId="1">紅綠燈!#REF!</definedName>
    <definedName name="外部資料_3317" localSheetId="1">紅綠燈!#REF!</definedName>
    <definedName name="外部資料_3319" localSheetId="1">紅綠燈!#REF!</definedName>
    <definedName name="外部資料_332" localSheetId="16">PKA!#REF!</definedName>
    <definedName name="外部資料_332" localSheetId="17">PKB!#REF!</definedName>
    <definedName name="外部資料_332" localSheetId="18">PKC!#REF!</definedName>
    <definedName name="外部資料_332" localSheetId="4">公司債!#REF!</definedName>
    <definedName name="外部資料_332" localSheetId="14">評比系統!$T$1:$T$3</definedName>
    <definedName name="外部資料_3320" localSheetId="1">紅綠燈!#REF!</definedName>
    <definedName name="外部資料_3321" localSheetId="1">紅綠燈!#REF!</definedName>
    <definedName name="外部資料_3323" localSheetId="1">紅綠燈!#REF!</definedName>
    <definedName name="外部資料_3324" localSheetId="1">紅綠燈!#REF!</definedName>
    <definedName name="外部資料_3325" localSheetId="1">紅綠燈!#REF!</definedName>
    <definedName name="外部資料_3327" localSheetId="1">紅綠燈!#REF!</definedName>
    <definedName name="外部資料_3328" localSheetId="1">紅綠燈!#REF!</definedName>
    <definedName name="外部資料_3329" localSheetId="1">紅綠燈!#REF!</definedName>
    <definedName name="外部資料_333" localSheetId="16">PKA!#REF!</definedName>
    <definedName name="外部資料_333" localSheetId="17">PKB!#REF!</definedName>
    <definedName name="外部資料_333" localSheetId="18">PKC!#REF!</definedName>
    <definedName name="外部資料_333" localSheetId="4">公司債!#REF!</definedName>
    <definedName name="外部資料_333" localSheetId="14">評比系統!$T$1:$T$3</definedName>
    <definedName name="外部資料_3331" localSheetId="1">紅綠燈!#REF!</definedName>
    <definedName name="外部資料_3332" localSheetId="1">紅綠燈!#REF!</definedName>
    <definedName name="外部資料_3333" localSheetId="1">紅綠燈!#REF!</definedName>
    <definedName name="外部資料_3335" localSheetId="1">紅綠燈!#REF!</definedName>
    <definedName name="外部資料_3336" localSheetId="1">紅綠燈!#REF!</definedName>
    <definedName name="外部資料_3337" localSheetId="1">紅綠燈!#REF!</definedName>
    <definedName name="外部資料_3339" localSheetId="1">紅綠燈!#REF!</definedName>
    <definedName name="外部資料_334" localSheetId="16">PKA!#REF!</definedName>
    <definedName name="外部資料_334" localSheetId="17">PKB!#REF!</definedName>
    <definedName name="外部資料_334" localSheetId="18">PKC!#REF!</definedName>
    <definedName name="外部資料_334" localSheetId="4">公司債!#REF!</definedName>
    <definedName name="外部資料_334" localSheetId="14">評比系統!$T$1:$T$3</definedName>
    <definedName name="外部資料_3340" localSheetId="1">紅綠燈!#REF!</definedName>
    <definedName name="外部資料_3341" localSheetId="1">紅綠燈!#REF!</definedName>
    <definedName name="外部資料_3343" localSheetId="1">紅綠燈!#REF!</definedName>
    <definedName name="外部資料_3344" localSheetId="1">紅綠燈!#REF!</definedName>
    <definedName name="外部資料_3345" localSheetId="1">紅綠燈!#REF!</definedName>
    <definedName name="外部資料_3347" localSheetId="1">紅綠燈!#REF!</definedName>
    <definedName name="外部資料_3348" localSheetId="1">紅綠燈!#REF!</definedName>
    <definedName name="外部資料_3349" localSheetId="1">紅綠燈!#REF!</definedName>
    <definedName name="外部資料_335" localSheetId="16">PKA!#REF!</definedName>
    <definedName name="外部資料_335" localSheetId="17">PKB!#REF!</definedName>
    <definedName name="外部資料_335" localSheetId="18">PKC!#REF!</definedName>
    <definedName name="外部資料_335" localSheetId="4">公司債!#REF!</definedName>
    <definedName name="外部資料_335" localSheetId="14">評比系統!$T$1:$T$3</definedName>
    <definedName name="外部資料_3351" localSheetId="1">紅綠燈!#REF!</definedName>
    <definedName name="外部資料_3352" localSheetId="1">紅綠燈!#REF!</definedName>
    <definedName name="外部資料_3353" localSheetId="1">紅綠燈!#REF!</definedName>
    <definedName name="外部資料_3355" localSheetId="1">紅綠燈!#REF!</definedName>
    <definedName name="外部資料_3356" localSheetId="1">紅綠燈!#REF!</definedName>
    <definedName name="外部資料_3357" localSheetId="1">紅綠燈!#REF!</definedName>
    <definedName name="外部資料_3359" localSheetId="1">紅綠燈!#REF!</definedName>
    <definedName name="外部資料_336" localSheetId="16">PKA!#REF!</definedName>
    <definedName name="外部資料_336" localSheetId="17">PKB!#REF!</definedName>
    <definedName name="外部資料_336" localSheetId="18">PKC!#REF!</definedName>
    <definedName name="外部資料_336" localSheetId="4">公司債!#REF!</definedName>
    <definedName name="外部資料_336" localSheetId="14">評比系統!$T$1:$T$3</definedName>
    <definedName name="外部資料_3360" localSheetId="1">紅綠燈!#REF!</definedName>
    <definedName name="外部資料_3361" localSheetId="1">紅綠燈!#REF!</definedName>
    <definedName name="外部資料_3363" localSheetId="1">紅綠燈!#REF!</definedName>
    <definedName name="外部資料_3364" localSheetId="1">紅綠燈!#REF!</definedName>
    <definedName name="外部資料_3365" localSheetId="1">紅綠燈!#REF!</definedName>
    <definedName name="外部資料_3367" localSheetId="1">紅綠燈!#REF!</definedName>
    <definedName name="外部資料_3368" localSheetId="1">紅綠燈!#REF!</definedName>
    <definedName name="外部資料_3369" localSheetId="1">紅綠燈!#REF!</definedName>
    <definedName name="外部資料_337" localSheetId="16">PKA!#REF!</definedName>
    <definedName name="外部資料_337" localSheetId="17">PKB!#REF!</definedName>
    <definedName name="外部資料_337" localSheetId="18">PKC!#REF!</definedName>
    <definedName name="外部資料_337" localSheetId="4">公司債!#REF!</definedName>
    <definedName name="外部資料_337" localSheetId="14">評比系統!$T$1:$T$3</definedName>
    <definedName name="外部資料_3371" localSheetId="1">紅綠燈!#REF!</definedName>
    <definedName name="外部資料_3372" localSheetId="1">紅綠燈!#REF!</definedName>
    <definedName name="外部資料_3373" localSheetId="1">紅綠燈!#REF!</definedName>
    <definedName name="外部資料_3375" localSheetId="1">紅綠燈!#REF!</definedName>
    <definedName name="外部資料_3376" localSheetId="1">紅綠燈!#REF!</definedName>
    <definedName name="外部資料_3377" localSheetId="1">紅綠燈!#REF!</definedName>
    <definedName name="外部資料_3379" localSheetId="1">紅綠燈!#REF!</definedName>
    <definedName name="外部資料_338" localSheetId="16">PKA!#REF!</definedName>
    <definedName name="外部資料_338" localSheetId="17">PKB!#REF!</definedName>
    <definedName name="外部資料_338" localSheetId="18">PKC!#REF!</definedName>
    <definedName name="外部資料_338" localSheetId="4">公司債!#REF!</definedName>
    <definedName name="外部資料_338" localSheetId="14">評比系統!$T$1:$T$3</definedName>
    <definedName name="外部資料_3380" localSheetId="1">紅綠燈!#REF!</definedName>
    <definedName name="外部資料_3381" localSheetId="1">紅綠燈!#REF!</definedName>
    <definedName name="外部資料_3383" localSheetId="1">紅綠燈!#REF!</definedName>
    <definedName name="外部資料_3384" localSheetId="1">紅綠燈!#REF!</definedName>
    <definedName name="外部資料_3385" localSheetId="1">紅綠燈!#REF!</definedName>
    <definedName name="外部資料_3387" localSheetId="1">紅綠燈!#REF!</definedName>
    <definedName name="外部資料_3388" localSheetId="1">紅綠燈!#REF!</definedName>
    <definedName name="外部資料_3389" localSheetId="1">紅綠燈!#REF!</definedName>
    <definedName name="外部資料_339" localSheetId="16">PKA!#REF!</definedName>
    <definedName name="外部資料_339" localSheetId="17">PKB!#REF!</definedName>
    <definedName name="外部資料_339" localSheetId="18">PKC!#REF!</definedName>
    <definedName name="外部資料_339" localSheetId="4">公司債!#REF!</definedName>
    <definedName name="外部資料_339" localSheetId="14">評比系統!$T$1:$T$3</definedName>
    <definedName name="外部資料_3391" localSheetId="1">紅綠燈!#REF!</definedName>
    <definedName name="外部資料_3392" localSheetId="1">紅綠燈!#REF!</definedName>
    <definedName name="外部資料_3393" localSheetId="1">紅綠燈!#REF!</definedName>
    <definedName name="外部資料_3395" localSheetId="1">紅綠燈!#REF!</definedName>
    <definedName name="外部資料_3396" localSheetId="1">紅綠燈!#REF!</definedName>
    <definedName name="外部資料_3397" localSheetId="1">紅綠燈!#REF!</definedName>
    <definedName name="外部資料_3399" localSheetId="1">紅綠燈!#REF!</definedName>
    <definedName name="外部資料_34" localSheetId="16">PKA!#REF!</definedName>
    <definedName name="外部資料_34" localSheetId="17">PKB!#REF!</definedName>
    <definedName name="外部資料_34" localSheetId="18">PKC!#REF!</definedName>
    <definedName name="外部資料_34" localSheetId="9">PSR!#REF!</definedName>
    <definedName name="外部資料_34" localSheetId="4">公司債!#REF!</definedName>
    <definedName name="外部資料_34" localSheetId="1">紅綠燈!#REF!</definedName>
    <definedName name="外部資料_34" localSheetId="14">評比系統!#REF!</definedName>
    <definedName name="外部資料_34" localSheetId="5">篩股系統!#REF!</definedName>
    <definedName name="外部資料_34" localSheetId="7">營收搶先報!#REF!</definedName>
    <definedName name="外部資料_340" localSheetId="16">PKA!#REF!</definedName>
    <definedName name="外部資料_340" localSheetId="17">PKB!#REF!</definedName>
    <definedName name="外部資料_340" localSheetId="18">PKC!#REF!</definedName>
    <definedName name="外部資料_340" localSheetId="4">公司債!#REF!</definedName>
    <definedName name="外部資料_340" localSheetId="14">評比系統!$T$1:$T$3</definedName>
    <definedName name="外部資料_3400" localSheetId="1">紅綠燈!#REF!</definedName>
    <definedName name="外部資料_3401" localSheetId="1">紅綠燈!#REF!</definedName>
    <definedName name="外部資料_3403" localSheetId="1">紅綠燈!#REF!</definedName>
    <definedName name="外部資料_3404" localSheetId="1">紅綠燈!#REF!</definedName>
    <definedName name="外部資料_3405" localSheetId="1">紅綠燈!#REF!</definedName>
    <definedName name="外部資料_3407" localSheetId="1">紅綠燈!#REF!</definedName>
    <definedName name="外部資料_3408" localSheetId="1">紅綠燈!#REF!</definedName>
    <definedName name="外部資料_3409" localSheetId="1">紅綠燈!#REF!</definedName>
    <definedName name="外部資料_341" localSheetId="16">PKA!#REF!</definedName>
    <definedName name="外部資料_341" localSheetId="17">PKB!#REF!</definedName>
    <definedName name="外部資料_341" localSheetId="18">PKC!#REF!</definedName>
    <definedName name="外部資料_341" localSheetId="4">公司債!#REF!</definedName>
    <definedName name="外部資料_341" localSheetId="14">評比系統!$T$1:$T$3</definedName>
    <definedName name="外部資料_3411" localSheetId="1">紅綠燈!#REF!</definedName>
    <definedName name="外部資料_3412" localSheetId="1">紅綠燈!#REF!</definedName>
    <definedName name="外部資料_3413" localSheetId="1">紅綠燈!#REF!</definedName>
    <definedName name="外部資料_3415" localSheetId="1">紅綠燈!#REF!</definedName>
    <definedName name="外部資料_3416" localSheetId="1">紅綠燈!#REF!</definedName>
    <definedName name="外部資料_3417" localSheetId="1">紅綠燈!#REF!</definedName>
    <definedName name="外部資料_3419" localSheetId="1">紅綠燈!#REF!</definedName>
    <definedName name="外部資料_342" localSheetId="16">PKA!#REF!</definedName>
    <definedName name="外部資料_342" localSheetId="17">PKB!#REF!</definedName>
    <definedName name="外部資料_342" localSheetId="18">PKC!#REF!</definedName>
    <definedName name="外部資料_342" localSheetId="4">公司債!#REF!</definedName>
    <definedName name="外部資料_342" localSheetId="14">評比系統!$T$1:$T$3</definedName>
    <definedName name="外部資料_3420" localSheetId="1">紅綠燈!#REF!</definedName>
    <definedName name="外部資料_3421" localSheetId="1">紅綠燈!#REF!</definedName>
    <definedName name="外部資料_3423" localSheetId="1">紅綠燈!#REF!</definedName>
    <definedName name="外部資料_3424" localSheetId="1">紅綠燈!#REF!</definedName>
    <definedName name="外部資料_3425" localSheetId="1">紅綠燈!#REF!</definedName>
    <definedName name="外部資料_3427" localSheetId="1">紅綠燈!#REF!</definedName>
    <definedName name="外部資料_3428" localSheetId="1">紅綠燈!#REF!</definedName>
    <definedName name="外部資料_3429" localSheetId="1">紅綠燈!#REF!</definedName>
    <definedName name="外部資料_343" localSheetId="16">PKA!#REF!</definedName>
    <definedName name="外部資料_343" localSheetId="17">PKB!#REF!</definedName>
    <definedName name="外部資料_343" localSheetId="18">PKC!#REF!</definedName>
    <definedName name="外部資料_343" localSheetId="4">公司債!#REF!</definedName>
    <definedName name="外部資料_343" localSheetId="14">評比系統!$T$1:$T$3</definedName>
    <definedName name="外部資料_3431" localSheetId="1">紅綠燈!#REF!</definedName>
    <definedName name="外部資料_3432" localSheetId="1">紅綠燈!#REF!</definedName>
    <definedName name="外部資料_3433" localSheetId="1">紅綠燈!#REF!</definedName>
    <definedName name="外部資料_3435" localSheetId="1">紅綠燈!#REF!</definedName>
    <definedName name="外部資料_3436" localSheetId="1">紅綠燈!#REF!</definedName>
    <definedName name="外部資料_3437" localSheetId="1">紅綠燈!#REF!</definedName>
    <definedName name="外部資料_3439" localSheetId="1">紅綠燈!#REF!</definedName>
    <definedName name="外部資料_344" localSheetId="16">PKA!#REF!</definedName>
    <definedName name="外部資料_344" localSheetId="17">PKB!#REF!</definedName>
    <definedName name="外部資料_344" localSheetId="18">PKC!#REF!</definedName>
    <definedName name="外部資料_344" localSheetId="4">公司債!#REF!</definedName>
    <definedName name="外部資料_344" localSheetId="14">評比系統!$T$1:$T$3</definedName>
    <definedName name="外部資料_3440" localSheetId="1">紅綠燈!#REF!</definedName>
    <definedName name="外部資料_3441" localSheetId="1">紅綠燈!#REF!</definedName>
    <definedName name="外部資料_3443" localSheetId="1">紅綠燈!#REF!</definedName>
    <definedName name="外部資料_3444" localSheetId="1">紅綠燈!#REF!</definedName>
    <definedName name="外部資料_3445" localSheetId="1">紅綠燈!#REF!</definedName>
    <definedName name="外部資料_3447" localSheetId="1">紅綠燈!#REF!</definedName>
    <definedName name="外部資料_3448" localSheetId="1">紅綠燈!#REF!</definedName>
    <definedName name="外部資料_3449" localSheetId="1">紅綠燈!#REF!</definedName>
    <definedName name="外部資料_345" localSheetId="16">PKA!#REF!</definedName>
    <definedName name="外部資料_345" localSheetId="17">PKB!#REF!</definedName>
    <definedName name="外部資料_345" localSheetId="18">PKC!#REF!</definedName>
    <definedName name="外部資料_345" localSheetId="4">公司債!#REF!</definedName>
    <definedName name="外部資料_345" localSheetId="14">評比系統!$T$1:$T$3</definedName>
    <definedName name="外部資料_3451" localSheetId="1">紅綠燈!#REF!</definedName>
    <definedName name="外部資料_3452" localSheetId="1">紅綠燈!#REF!</definedName>
    <definedName name="外部資料_3453" localSheetId="1">紅綠燈!#REF!</definedName>
    <definedName name="外部資料_3455" localSheetId="1">紅綠燈!#REF!</definedName>
    <definedName name="外部資料_3456" localSheetId="1">紅綠燈!#REF!</definedName>
    <definedName name="外部資料_3457" localSheetId="1">紅綠燈!#REF!</definedName>
    <definedName name="外部資料_3459" localSheetId="1">紅綠燈!#REF!</definedName>
    <definedName name="外部資料_346" localSheetId="16">PKA!#REF!</definedName>
    <definedName name="外部資料_346" localSheetId="17">PKB!#REF!</definedName>
    <definedName name="外部資料_346" localSheetId="18">PKC!#REF!</definedName>
    <definedName name="外部資料_346" localSheetId="4">公司債!#REF!</definedName>
    <definedName name="外部資料_346" localSheetId="14">評比系統!$T$1:$T$3</definedName>
    <definedName name="外部資料_346" localSheetId="5">篩股系統!$H$2</definedName>
    <definedName name="外部資料_3460" localSheetId="1">紅綠燈!#REF!</definedName>
    <definedName name="外部資料_3461" localSheetId="1">紅綠燈!#REF!</definedName>
    <definedName name="外部資料_3463" localSheetId="1">紅綠燈!#REF!</definedName>
    <definedName name="外部資料_3464" localSheetId="1">紅綠燈!#REF!</definedName>
    <definedName name="外部資料_3465" localSheetId="1">紅綠燈!#REF!</definedName>
    <definedName name="外部資料_3467" localSheetId="1">紅綠燈!#REF!</definedName>
    <definedName name="外部資料_3468" localSheetId="1">紅綠燈!#REF!</definedName>
    <definedName name="外部資料_3469" localSheetId="1">紅綠燈!#REF!</definedName>
    <definedName name="外部資料_347" localSheetId="16">PKA!#REF!</definedName>
    <definedName name="外部資料_347" localSheetId="17">PKB!#REF!</definedName>
    <definedName name="外部資料_347" localSheetId="18">PKC!#REF!</definedName>
    <definedName name="外部資料_347" localSheetId="4">公司債!#REF!</definedName>
    <definedName name="外部資料_347" localSheetId="14">評比系統!$T$1:$T$3</definedName>
    <definedName name="外部資料_3471" localSheetId="1">紅綠燈!#REF!</definedName>
    <definedName name="外部資料_3472" localSheetId="1">紅綠燈!#REF!</definedName>
    <definedName name="外部資料_3473" localSheetId="1">紅綠燈!#REF!</definedName>
    <definedName name="外部資料_3475" localSheetId="1">紅綠燈!#REF!</definedName>
    <definedName name="外部資料_3476" localSheetId="1">紅綠燈!#REF!</definedName>
    <definedName name="外部資料_3477" localSheetId="1">紅綠燈!#REF!</definedName>
    <definedName name="外部資料_3479" localSheetId="1">紅綠燈!#REF!</definedName>
    <definedName name="外部資料_348" localSheetId="16">PKA!#REF!</definedName>
    <definedName name="外部資料_348" localSheetId="17">PKB!#REF!</definedName>
    <definedName name="外部資料_348" localSheetId="18">PKC!#REF!</definedName>
    <definedName name="外部資料_348" localSheetId="4">公司債!#REF!</definedName>
    <definedName name="外部資料_348" localSheetId="14">評比系統!$T$1:$T$3</definedName>
    <definedName name="外部資料_3480" localSheetId="1">紅綠燈!#REF!</definedName>
    <definedName name="外部資料_3481" localSheetId="1">紅綠燈!#REF!</definedName>
    <definedName name="外部資料_3483" localSheetId="1">紅綠燈!#REF!</definedName>
    <definedName name="外部資料_3484" localSheetId="1">紅綠燈!#REF!</definedName>
    <definedName name="外部資料_3485" localSheetId="1">紅綠燈!#REF!</definedName>
    <definedName name="外部資料_3487" localSheetId="1">紅綠燈!#REF!</definedName>
    <definedName name="外部資料_3488" localSheetId="1">紅綠燈!#REF!</definedName>
    <definedName name="外部資料_3489" localSheetId="1">紅綠燈!#REF!</definedName>
    <definedName name="外部資料_349" localSheetId="16">PKA!#REF!</definedName>
    <definedName name="外部資料_349" localSheetId="17">PKB!#REF!</definedName>
    <definedName name="外部資料_349" localSheetId="18">PKC!#REF!</definedName>
    <definedName name="外部資料_349" localSheetId="4">公司債!#REF!</definedName>
    <definedName name="外部資料_349" localSheetId="14">評比系統!$T$1:$T$3</definedName>
    <definedName name="外部資料_3491" localSheetId="1">紅綠燈!#REF!</definedName>
    <definedName name="外部資料_3492" localSheetId="1">紅綠燈!#REF!</definedName>
    <definedName name="外部資料_3493" localSheetId="1">紅綠燈!#REF!</definedName>
    <definedName name="外部資料_3495" localSheetId="1">紅綠燈!#REF!</definedName>
    <definedName name="外部資料_3496" localSheetId="1">紅綠燈!#REF!</definedName>
    <definedName name="外部資料_3497" localSheetId="1">紅綠燈!#REF!</definedName>
    <definedName name="外部資料_3499" localSheetId="1">紅綠燈!#REF!</definedName>
    <definedName name="外部資料_35" localSheetId="16">PKA!#REF!</definedName>
    <definedName name="外部資料_35" localSheetId="17">PKB!#REF!</definedName>
    <definedName name="外部資料_35" localSheetId="18">PKC!#REF!</definedName>
    <definedName name="外部資料_35" localSheetId="9">PSR!#REF!</definedName>
    <definedName name="外部資料_35" localSheetId="4">公司債!#REF!</definedName>
    <definedName name="外部資料_35" localSheetId="1">紅綠燈!#REF!</definedName>
    <definedName name="外部資料_35" localSheetId="14">評比系統!#REF!</definedName>
    <definedName name="外部資料_35" localSheetId="5">篩股系統!#REF!</definedName>
    <definedName name="外部資料_35" localSheetId="7">營收搶先報!#REF!</definedName>
    <definedName name="外部資料_350" localSheetId="16">PKA!#REF!</definedName>
    <definedName name="外部資料_350" localSheetId="17">PKB!#REF!</definedName>
    <definedName name="外部資料_350" localSheetId="18">PKC!#REF!</definedName>
    <definedName name="外部資料_350" localSheetId="4">公司債!#REF!</definedName>
    <definedName name="外部資料_350" localSheetId="14">評比系統!$T$1:$T$3</definedName>
    <definedName name="外部資料_3500" localSheetId="1">紅綠燈!#REF!</definedName>
    <definedName name="外部資料_3501" localSheetId="1">紅綠燈!#REF!</definedName>
    <definedName name="外部資料_3503" localSheetId="1">紅綠燈!#REF!</definedName>
    <definedName name="外部資料_3504" localSheetId="1">紅綠燈!#REF!</definedName>
    <definedName name="外部資料_3505" localSheetId="1">紅綠燈!#REF!</definedName>
    <definedName name="外部資料_3507" localSheetId="1">紅綠燈!#REF!</definedName>
    <definedName name="外部資料_3508" localSheetId="1">紅綠燈!#REF!</definedName>
    <definedName name="外部資料_3509" localSheetId="1">紅綠燈!#REF!</definedName>
    <definedName name="外部資料_351" localSheetId="16">PKA!#REF!</definedName>
    <definedName name="外部資料_351" localSheetId="17">PKB!#REF!</definedName>
    <definedName name="外部資料_351" localSheetId="18">PKC!#REF!</definedName>
    <definedName name="外部資料_351" localSheetId="4">公司債!#REF!</definedName>
    <definedName name="外部資料_351" localSheetId="14">評比系統!$T$1:$T$3</definedName>
    <definedName name="外部資料_3511" localSheetId="1">紅綠燈!#REF!</definedName>
    <definedName name="外部資料_3512" localSheetId="1">紅綠燈!#REF!</definedName>
    <definedName name="外部資料_3513" localSheetId="1">紅綠燈!#REF!</definedName>
    <definedName name="外部資料_3515" localSheetId="1">紅綠燈!#REF!</definedName>
    <definedName name="外部資料_3516" localSheetId="1">紅綠燈!#REF!</definedName>
    <definedName name="外部資料_3517" localSheetId="1">紅綠燈!#REF!</definedName>
    <definedName name="外部資料_3519" localSheetId="1">紅綠燈!#REF!</definedName>
    <definedName name="外部資料_352" localSheetId="16">PKA!#REF!</definedName>
    <definedName name="外部資料_352" localSheetId="17">PKB!#REF!</definedName>
    <definedName name="外部資料_352" localSheetId="18">PKC!#REF!</definedName>
    <definedName name="外部資料_352" localSheetId="4">公司債!#REF!</definedName>
    <definedName name="外部資料_352" localSheetId="14">評比系統!$T$1:$T$3</definedName>
    <definedName name="外部資料_3520" localSheetId="1">紅綠燈!#REF!</definedName>
    <definedName name="外部資料_3521" localSheetId="1">紅綠燈!#REF!</definedName>
    <definedName name="外部資料_3523" localSheetId="1">紅綠燈!#REF!</definedName>
    <definedName name="外部資料_3524" localSheetId="1">紅綠燈!#REF!</definedName>
    <definedName name="外部資料_3525" localSheetId="1">紅綠燈!#REF!</definedName>
    <definedName name="外部資料_3527" localSheetId="1">紅綠燈!#REF!</definedName>
    <definedName name="外部資料_3528" localSheetId="1">紅綠燈!#REF!</definedName>
    <definedName name="外部資料_3529" localSheetId="1">紅綠燈!#REF!</definedName>
    <definedName name="外部資料_353" localSheetId="16">PKA!#REF!</definedName>
    <definedName name="外部資料_353" localSheetId="17">PKB!#REF!</definedName>
    <definedName name="外部資料_353" localSheetId="18">PKC!#REF!</definedName>
    <definedName name="外部資料_353" localSheetId="4">公司債!#REF!</definedName>
    <definedName name="外部資料_353" localSheetId="14">評比系統!$T$1:$T$3</definedName>
    <definedName name="外部資料_3531" localSheetId="1">紅綠燈!#REF!</definedName>
    <definedName name="外部資料_3532" localSheetId="1">紅綠燈!#REF!</definedName>
    <definedName name="外部資料_3533" localSheetId="1">紅綠燈!#REF!</definedName>
    <definedName name="外部資料_3535" localSheetId="1">紅綠燈!#REF!</definedName>
    <definedName name="外部資料_3536" localSheetId="1">紅綠燈!#REF!</definedName>
    <definedName name="外部資料_3537" localSheetId="1">紅綠燈!#REF!</definedName>
    <definedName name="外部資料_3539" localSheetId="1">紅綠燈!#REF!</definedName>
    <definedName name="外部資料_354" localSheetId="16">PKA!#REF!</definedName>
    <definedName name="外部資料_354" localSheetId="17">PKB!#REF!</definedName>
    <definedName name="外部資料_354" localSheetId="18">PKC!#REF!</definedName>
    <definedName name="外部資料_354" localSheetId="4">公司債!#REF!</definedName>
    <definedName name="外部資料_354" localSheetId="14">評比系統!$T$1:$T$3</definedName>
    <definedName name="外部資料_3540" localSheetId="1">紅綠燈!#REF!</definedName>
    <definedName name="外部資料_3541" localSheetId="1">紅綠燈!#REF!</definedName>
    <definedName name="外部資料_3543" localSheetId="1">紅綠燈!#REF!</definedName>
    <definedName name="外部資料_3544" localSheetId="1">紅綠燈!#REF!</definedName>
    <definedName name="外部資料_3545" localSheetId="1">紅綠燈!#REF!</definedName>
    <definedName name="外部資料_3547" localSheetId="1">紅綠燈!#REF!</definedName>
    <definedName name="外部資料_3548" localSheetId="1">紅綠燈!#REF!</definedName>
    <definedName name="外部資料_3549" localSheetId="1">紅綠燈!#REF!</definedName>
    <definedName name="外部資料_355" localSheetId="16">PKA!#REF!</definedName>
    <definedName name="外部資料_355" localSheetId="17">PKB!#REF!</definedName>
    <definedName name="外部資料_355" localSheetId="18">PKC!#REF!</definedName>
    <definedName name="外部資料_355" localSheetId="4">公司債!#REF!</definedName>
    <definedName name="外部資料_355" localSheetId="14">評比系統!$T$1:$T$3</definedName>
    <definedName name="外部資料_3551" localSheetId="1">紅綠燈!#REF!</definedName>
    <definedName name="外部資料_3552" localSheetId="1">紅綠燈!#REF!</definedName>
    <definedName name="外部資料_3553" localSheetId="1">紅綠燈!#REF!</definedName>
    <definedName name="外部資料_3555" localSheetId="1">紅綠燈!#REF!</definedName>
    <definedName name="外部資料_3556" localSheetId="1">紅綠燈!#REF!</definedName>
    <definedName name="外部資料_3557" localSheetId="1">紅綠燈!#REF!</definedName>
    <definedName name="外部資料_3559" localSheetId="1">紅綠燈!#REF!</definedName>
    <definedName name="外部資料_356" localSheetId="16">PKA!#REF!</definedName>
    <definedName name="外部資料_356" localSheetId="17">PKB!#REF!</definedName>
    <definedName name="外部資料_356" localSheetId="18">PKC!#REF!</definedName>
    <definedName name="外部資料_356" localSheetId="4">公司債!#REF!</definedName>
    <definedName name="外部資料_356" localSheetId="14">評比系統!$T$1:$T$3</definedName>
    <definedName name="外部資料_3560" localSheetId="1">紅綠燈!#REF!</definedName>
    <definedName name="外部資料_3561" localSheetId="1">紅綠燈!#REF!</definedName>
    <definedName name="外部資料_3563" localSheetId="1">紅綠燈!#REF!</definedName>
    <definedName name="外部資料_3564" localSheetId="1">紅綠燈!#REF!</definedName>
    <definedName name="外部資料_3565" localSheetId="1">紅綠燈!#REF!</definedName>
    <definedName name="外部資料_3567" localSheetId="1">紅綠燈!#REF!</definedName>
    <definedName name="外部資料_3568" localSheetId="1">紅綠燈!#REF!</definedName>
    <definedName name="外部資料_3569" localSheetId="1">紅綠燈!#REF!</definedName>
    <definedName name="外部資料_357" localSheetId="16">PKA!#REF!</definedName>
    <definedName name="外部資料_357" localSheetId="17">PKB!#REF!</definedName>
    <definedName name="外部資料_357" localSheetId="18">PKC!#REF!</definedName>
    <definedName name="外部資料_357" localSheetId="4">公司債!#REF!</definedName>
    <definedName name="外部資料_357" localSheetId="14">評比系統!$T$1:$T$3</definedName>
    <definedName name="外部資料_3571" localSheetId="1">紅綠燈!#REF!</definedName>
    <definedName name="外部資料_3572" localSheetId="1">紅綠燈!#REF!</definedName>
    <definedName name="外部資料_3573" localSheetId="1">紅綠燈!#REF!</definedName>
    <definedName name="外部資料_3575" localSheetId="1">紅綠燈!#REF!</definedName>
    <definedName name="外部資料_3576" localSheetId="1">紅綠燈!#REF!</definedName>
    <definedName name="外部資料_3577" localSheetId="1">紅綠燈!#REF!</definedName>
    <definedName name="外部資料_3579" localSheetId="1">紅綠燈!#REF!</definedName>
    <definedName name="外部資料_358" localSheetId="16">PKA!#REF!</definedName>
    <definedName name="外部資料_358" localSheetId="17">PKB!#REF!</definedName>
    <definedName name="外部資料_358" localSheetId="18">PKC!#REF!</definedName>
    <definedName name="外部資料_358" localSheetId="4">公司債!#REF!</definedName>
    <definedName name="外部資料_358" localSheetId="14">評比系統!$T$1:$T$3</definedName>
    <definedName name="外部資料_3580" localSheetId="1">紅綠燈!#REF!</definedName>
    <definedName name="外部資料_3581" localSheetId="1">紅綠燈!#REF!</definedName>
    <definedName name="外部資料_3583" localSheetId="1">紅綠燈!#REF!</definedName>
    <definedName name="外部資料_3584" localSheetId="1">紅綠燈!#REF!</definedName>
    <definedName name="外部資料_3585" localSheetId="1">紅綠燈!#REF!</definedName>
    <definedName name="外部資料_3587" localSheetId="1">紅綠燈!#REF!</definedName>
    <definedName name="外部資料_3588" localSheetId="1">紅綠燈!#REF!</definedName>
    <definedName name="外部資料_3589" localSheetId="1">紅綠燈!#REF!</definedName>
    <definedName name="外部資料_359" localSheetId="16">PKA!#REF!</definedName>
    <definedName name="外部資料_359" localSheetId="17">PKB!#REF!</definedName>
    <definedName name="外部資料_359" localSheetId="18">PKC!#REF!</definedName>
    <definedName name="外部資料_359" localSheetId="4">公司債!#REF!</definedName>
    <definedName name="外部資料_359" localSheetId="14">評比系統!$T$1:$T$3</definedName>
    <definedName name="外部資料_3591" localSheetId="1">紅綠燈!#REF!</definedName>
    <definedName name="外部資料_3592" localSheetId="1">紅綠燈!#REF!</definedName>
    <definedName name="外部資料_3593" localSheetId="1">紅綠燈!#REF!</definedName>
    <definedName name="外部資料_3595" localSheetId="1">紅綠燈!#REF!</definedName>
    <definedName name="外部資料_3596" localSheetId="1">紅綠燈!#REF!</definedName>
    <definedName name="外部資料_3597" localSheetId="1">紅綠燈!#REF!</definedName>
    <definedName name="外部資料_3599" localSheetId="1">紅綠燈!#REF!</definedName>
    <definedName name="外部資料_36" localSheetId="16">PKA!#REF!</definedName>
    <definedName name="外部資料_36" localSheetId="17">PKB!#REF!</definedName>
    <definedName name="外部資料_36" localSheetId="18">PKC!#REF!</definedName>
    <definedName name="外部資料_36" localSheetId="9">PSR!#REF!</definedName>
    <definedName name="外部資料_36" localSheetId="4">公司債!#REF!</definedName>
    <definedName name="外部資料_36" localSheetId="1">紅綠燈!#REF!</definedName>
    <definedName name="外部資料_36" localSheetId="14">評比系統!#REF!</definedName>
    <definedName name="外部資料_36" localSheetId="5">篩股系統!#REF!</definedName>
    <definedName name="外部資料_36" localSheetId="7">營收搶先報!#REF!</definedName>
    <definedName name="外部資料_360" localSheetId="16">PKA!#REF!</definedName>
    <definedName name="外部資料_360" localSheetId="17">PKB!#REF!</definedName>
    <definedName name="外部資料_360" localSheetId="18">PKC!#REF!</definedName>
    <definedName name="外部資料_360" localSheetId="4">公司債!#REF!</definedName>
    <definedName name="外部資料_360" localSheetId="14">評比系統!$T$1:$T$3</definedName>
    <definedName name="外部資料_3600" localSheetId="1">紅綠燈!#REF!</definedName>
    <definedName name="外部資料_3601" localSheetId="1">紅綠燈!#REF!</definedName>
    <definedName name="外部資料_3603" localSheetId="1">紅綠燈!#REF!</definedName>
    <definedName name="外部資料_3604" localSheetId="1">紅綠燈!#REF!</definedName>
    <definedName name="外部資料_3605" localSheetId="1">紅綠燈!#REF!</definedName>
    <definedName name="外部資料_3607" localSheetId="1">紅綠燈!#REF!</definedName>
    <definedName name="外部資料_3608" localSheetId="1">紅綠燈!#REF!</definedName>
    <definedName name="外部資料_3609" localSheetId="1">紅綠燈!#REF!</definedName>
    <definedName name="外部資料_361" localSheetId="16">PKA!#REF!</definedName>
    <definedName name="外部資料_361" localSheetId="17">PKB!#REF!</definedName>
    <definedName name="外部資料_361" localSheetId="18">PKC!#REF!</definedName>
    <definedName name="外部資料_361" localSheetId="4">公司債!#REF!</definedName>
    <definedName name="外部資料_361" localSheetId="14">評比系統!$T$1:$T$3</definedName>
    <definedName name="外部資料_3611" localSheetId="1">紅綠燈!#REF!</definedName>
    <definedName name="外部資料_3612" localSheetId="1">紅綠燈!#REF!</definedName>
    <definedName name="外部資料_3613" localSheetId="1">紅綠燈!#REF!</definedName>
    <definedName name="外部資料_3615" localSheetId="1">紅綠燈!#REF!</definedName>
    <definedName name="外部資料_3616" localSheetId="1">紅綠燈!#REF!</definedName>
    <definedName name="外部資料_3617" localSheetId="1">紅綠燈!#REF!</definedName>
    <definedName name="外部資料_3619" localSheetId="1">紅綠燈!#REF!</definedName>
    <definedName name="外部資料_362" localSheetId="16">PKA!#REF!</definedName>
    <definedName name="外部資料_362" localSheetId="17">PKB!#REF!</definedName>
    <definedName name="外部資料_362" localSheetId="18">PKC!#REF!</definedName>
    <definedName name="外部資料_362" localSheetId="4">公司債!#REF!</definedName>
    <definedName name="外部資料_362" localSheetId="14">評比系統!$T$1:$T$3</definedName>
    <definedName name="外部資料_3620" localSheetId="1">紅綠燈!#REF!</definedName>
    <definedName name="外部資料_3621" localSheetId="1">紅綠燈!#REF!</definedName>
    <definedName name="外部資料_3623" localSheetId="1">紅綠燈!#REF!</definedName>
    <definedName name="外部資料_3624" localSheetId="1">紅綠燈!#REF!</definedName>
    <definedName name="外部資料_3625" localSheetId="1">紅綠燈!#REF!</definedName>
    <definedName name="外部資料_3627" localSheetId="1">紅綠燈!#REF!</definedName>
    <definedName name="外部資料_3628" localSheetId="1">紅綠燈!#REF!</definedName>
    <definedName name="外部資料_3629" localSheetId="1">紅綠燈!#REF!</definedName>
    <definedName name="外部資料_363" localSheetId="16">PKA!#REF!</definedName>
    <definedName name="外部資料_363" localSheetId="17">PKB!#REF!</definedName>
    <definedName name="外部資料_363" localSheetId="18">PKC!#REF!</definedName>
    <definedName name="外部資料_363" localSheetId="4">公司債!#REF!</definedName>
    <definedName name="外部資料_363" localSheetId="14">評比系統!$T$1:$T$3</definedName>
    <definedName name="外部資料_3631" localSheetId="1">紅綠燈!#REF!</definedName>
    <definedName name="外部資料_3632" localSheetId="1">紅綠燈!#REF!</definedName>
    <definedName name="外部資料_3633" localSheetId="1">紅綠燈!#REF!</definedName>
    <definedName name="外部資料_3635" localSheetId="1">紅綠燈!#REF!</definedName>
    <definedName name="外部資料_3636" localSheetId="1">紅綠燈!#REF!</definedName>
    <definedName name="外部資料_3638" localSheetId="1">紅綠燈!#REF!</definedName>
    <definedName name="外部資料_3639" localSheetId="1">紅綠燈!#REF!</definedName>
    <definedName name="外部資料_364" localSheetId="16">PKA!#REF!</definedName>
    <definedName name="外部資料_364" localSheetId="17">PKB!#REF!</definedName>
    <definedName name="外部資料_364" localSheetId="18">PKC!#REF!</definedName>
    <definedName name="外部資料_364" localSheetId="4">公司債!#REF!</definedName>
    <definedName name="外部資料_364" localSheetId="14">評比系統!$T$1:$T$3</definedName>
    <definedName name="外部資料_3640" localSheetId="1">紅綠燈!#REF!</definedName>
    <definedName name="外部資料_3642" localSheetId="1">紅綠燈!#REF!</definedName>
    <definedName name="外部資料_3643" localSheetId="1">紅綠燈!#REF!</definedName>
    <definedName name="外部資料_3644" localSheetId="1">紅綠燈!#REF!</definedName>
    <definedName name="外部資料_3646" localSheetId="1">紅綠燈!#REF!</definedName>
    <definedName name="外部資料_3647" localSheetId="1">紅綠燈!#REF!</definedName>
    <definedName name="外部資料_3648" localSheetId="1">紅綠燈!#REF!</definedName>
    <definedName name="外部資料_365" localSheetId="16">PKA!#REF!</definedName>
    <definedName name="外部資料_365" localSheetId="17">PKB!#REF!</definedName>
    <definedName name="外部資料_365" localSheetId="18">PKC!#REF!</definedName>
    <definedName name="外部資料_365" localSheetId="4">公司債!#REF!</definedName>
    <definedName name="外部資料_365" localSheetId="14">評比系統!$T$1:$T$3</definedName>
    <definedName name="外部資料_3650" localSheetId="1">紅綠燈!#REF!</definedName>
    <definedName name="外部資料_3651" localSheetId="1">紅綠燈!#REF!</definedName>
    <definedName name="外部資料_3652" localSheetId="1">紅綠燈!#REF!</definedName>
    <definedName name="外部資料_3654" localSheetId="1">紅綠燈!#REF!</definedName>
    <definedName name="外部資料_3655" localSheetId="1">紅綠燈!#REF!</definedName>
    <definedName name="外部資料_3656" localSheetId="1">紅綠燈!#REF!</definedName>
    <definedName name="外部資料_3658" localSheetId="1">紅綠燈!#REF!</definedName>
    <definedName name="外部資料_3659" localSheetId="1">紅綠燈!#REF!</definedName>
    <definedName name="外部資料_366" localSheetId="16">PKA!#REF!</definedName>
    <definedName name="外部資料_366" localSheetId="17">PKB!#REF!</definedName>
    <definedName name="外部資料_366" localSheetId="18">PKC!#REF!</definedName>
    <definedName name="外部資料_366" localSheetId="4">公司債!#REF!</definedName>
    <definedName name="外部資料_366" localSheetId="14">評比系統!$T$1:$T$3</definedName>
    <definedName name="外部資料_3660" localSheetId="1">紅綠燈!#REF!</definedName>
    <definedName name="外部資料_3662" localSheetId="1">紅綠燈!#REF!</definedName>
    <definedName name="外部資料_3663" localSheetId="1">紅綠燈!#REF!</definedName>
    <definedName name="外部資料_3664" localSheetId="1">紅綠燈!#REF!</definedName>
    <definedName name="外部資料_3666" localSheetId="1">紅綠燈!#REF!</definedName>
    <definedName name="外部資料_3667" localSheetId="1">紅綠燈!#REF!</definedName>
    <definedName name="外部資料_3668" localSheetId="1">紅綠燈!#REF!</definedName>
    <definedName name="外部資料_367" localSheetId="16">PKA!#REF!</definedName>
    <definedName name="外部資料_367" localSheetId="17">PKB!#REF!</definedName>
    <definedName name="外部資料_367" localSheetId="18">PKC!#REF!</definedName>
    <definedName name="外部資料_367" localSheetId="4">公司債!#REF!</definedName>
    <definedName name="外部資料_367" localSheetId="14">評比系統!$T$1:$T$3</definedName>
    <definedName name="外部資料_3670" localSheetId="1">紅綠燈!#REF!</definedName>
    <definedName name="外部資料_3671" localSheetId="1">紅綠燈!#REF!</definedName>
    <definedName name="外部資料_3673" localSheetId="1">紅綠燈!#REF!</definedName>
    <definedName name="外部資料_3674" localSheetId="1">紅綠燈!#REF!</definedName>
    <definedName name="外部資料_3675" localSheetId="1">紅綠燈!#REF!</definedName>
    <definedName name="外部資料_3677" localSheetId="1">紅綠燈!#REF!</definedName>
    <definedName name="外部資料_3678" localSheetId="1">紅綠燈!#REF!</definedName>
    <definedName name="外部資料_3679" localSheetId="1">紅綠燈!#REF!</definedName>
    <definedName name="外部資料_368" localSheetId="16">PKA!#REF!</definedName>
    <definedName name="外部資料_368" localSheetId="17">PKB!#REF!</definedName>
    <definedName name="外部資料_368" localSheetId="18">PKC!#REF!</definedName>
    <definedName name="外部資料_368" localSheetId="4">公司債!#REF!</definedName>
    <definedName name="外部資料_368" localSheetId="14">評比系統!$T$1:$T$3</definedName>
    <definedName name="外部資料_3681" localSheetId="1">紅綠燈!#REF!</definedName>
    <definedName name="外部資料_3682" localSheetId="1">紅綠燈!#REF!</definedName>
    <definedName name="外部資料_3685" localSheetId="1">紅綠燈!#REF!</definedName>
    <definedName name="外部資料_3686" localSheetId="1">紅綠燈!#REF!</definedName>
    <definedName name="外部資料_3689" localSheetId="1">紅綠燈!#REF!</definedName>
    <definedName name="外部資料_369" localSheetId="16">PKA!#REF!</definedName>
    <definedName name="外部資料_369" localSheetId="17">PKB!#REF!</definedName>
    <definedName name="外部資料_369" localSheetId="18">PKC!#REF!</definedName>
    <definedName name="外部資料_369" localSheetId="4">公司債!#REF!</definedName>
    <definedName name="外部資料_369" localSheetId="14">評比系統!$T$1:$T$3</definedName>
    <definedName name="外部資料_3690" localSheetId="1">紅綠燈!#REF!</definedName>
    <definedName name="外部資料_3693" localSheetId="1">紅綠燈!#REF!</definedName>
    <definedName name="外部資料_3694" localSheetId="1">紅綠燈!#REF!</definedName>
    <definedName name="外部資料_3695" localSheetId="1">紅綠燈!#REF!</definedName>
    <definedName name="外部資料_3697" localSheetId="1">紅綠燈!#REF!</definedName>
    <definedName name="外部資料_3698" localSheetId="1">紅綠燈!#REF!</definedName>
    <definedName name="外部資料_3699" localSheetId="1">紅綠燈!#REF!</definedName>
    <definedName name="外部資料_37" localSheetId="16">PKA!#REF!</definedName>
    <definedName name="外部資料_37" localSheetId="17">PKB!#REF!</definedName>
    <definedName name="外部資料_37" localSheetId="18">PKC!#REF!</definedName>
    <definedName name="外部資料_37" localSheetId="9">PSR!#REF!</definedName>
    <definedName name="外部資料_37" localSheetId="4">公司債!#REF!</definedName>
    <definedName name="外部資料_37" localSheetId="1">紅綠燈!#REF!</definedName>
    <definedName name="外部資料_37" localSheetId="14">評比系統!#REF!</definedName>
    <definedName name="外部資料_37" localSheetId="5">篩股系統!#REF!</definedName>
    <definedName name="外部資料_37" localSheetId="7">營收搶先報!#REF!</definedName>
    <definedName name="外部資料_370" localSheetId="16">PKA!#REF!</definedName>
    <definedName name="外部資料_370" localSheetId="17">PKB!#REF!</definedName>
    <definedName name="外部資料_370" localSheetId="18">PKC!#REF!</definedName>
    <definedName name="外部資料_370" localSheetId="4">公司債!#REF!</definedName>
    <definedName name="外部資料_370" localSheetId="14">評比系統!$T$1:$T$3</definedName>
    <definedName name="外部資料_3701" localSheetId="1">紅綠燈!#REF!</definedName>
    <definedName name="外部資料_3702" localSheetId="1">紅綠燈!#REF!</definedName>
    <definedName name="外部資料_3703" localSheetId="1">紅綠燈!#REF!</definedName>
    <definedName name="外部資料_3705" localSheetId="1">紅綠燈!#REF!</definedName>
    <definedName name="外部資料_3706" localSheetId="1">紅綠燈!#REF!</definedName>
    <definedName name="外部資料_3707" localSheetId="1">紅綠燈!#REF!</definedName>
    <definedName name="外部資料_3709" localSheetId="1">紅綠燈!#REF!</definedName>
    <definedName name="外部資料_371" localSheetId="16">PKA!#REF!</definedName>
    <definedName name="外部資料_371" localSheetId="17">PKB!#REF!</definedName>
    <definedName name="外部資料_371" localSheetId="18">PKC!#REF!</definedName>
    <definedName name="外部資料_371" localSheetId="4">公司債!#REF!</definedName>
    <definedName name="外部資料_371" localSheetId="14">評比系統!$T$1:$T$3</definedName>
    <definedName name="外部資料_3710" localSheetId="1">紅綠燈!#REF!</definedName>
    <definedName name="外部資料_3711" localSheetId="1">紅綠燈!#REF!</definedName>
    <definedName name="外部資料_3713" localSheetId="1">紅綠燈!#REF!</definedName>
    <definedName name="外部資料_3714" localSheetId="1">紅綠燈!#REF!</definedName>
    <definedName name="外部資料_3715" localSheetId="1">紅綠燈!#REF!</definedName>
    <definedName name="外部資料_3717" localSheetId="1">紅綠燈!#REF!</definedName>
    <definedName name="外部資料_3718" localSheetId="1">紅綠燈!#REF!</definedName>
    <definedName name="外部資料_3719" localSheetId="1">紅綠燈!#REF!</definedName>
    <definedName name="外部資料_372" localSheetId="16">PKA!#REF!</definedName>
    <definedName name="外部資料_372" localSheetId="17">PKB!#REF!</definedName>
    <definedName name="外部資料_372" localSheetId="18">PKC!#REF!</definedName>
    <definedName name="外部資料_372" localSheetId="4">公司債!#REF!</definedName>
    <definedName name="外部資料_372" localSheetId="14">評比系統!$T$1:$T$3</definedName>
    <definedName name="外部資料_3721" localSheetId="1">紅綠燈!#REF!</definedName>
    <definedName name="外部資料_3722" localSheetId="1">紅綠燈!#REF!</definedName>
    <definedName name="外部資料_3723" localSheetId="1">紅綠燈!#REF!</definedName>
    <definedName name="外部資料_3725" localSheetId="1">紅綠燈!#REF!</definedName>
    <definedName name="外部資料_3726" localSheetId="1">紅綠燈!#REF!</definedName>
    <definedName name="外部資料_3727" localSheetId="1">紅綠燈!#REF!</definedName>
    <definedName name="外部資料_3729" localSheetId="1">紅綠燈!#REF!</definedName>
    <definedName name="外部資料_373" localSheetId="16">PKA!#REF!</definedName>
    <definedName name="外部資料_373" localSheetId="17">PKB!#REF!</definedName>
    <definedName name="外部資料_373" localSheetId="18">PKC!#REF!</definedName>
    <definedName name="外部資料_373" localSheetId="4">公司債!#REF!</definedName>
    <definedName name="外部資料_373" localSheetId="14">評比系統!$T$1:$T$3</definedName>
    <definedName name="外部資料_3730" localSheetId="1">紅綠燈!#REF!</definedName>
    <definedName name="外部資料_3731" localSheetId="1">紅綠燈!#REF!</definedName>
    <definedName name="外部資料_3733" localSheetId="1">紅綠燈!#REF!</definedName>
    <definedName name="外部資料_3734" localSheetId="1">紅綠燈!#REF!</definedName>
    <definedName name="外部資料_3735" localSheetId="1">紅綠燈!#REF!</definedName>
    <definedName name="外部資料_3737" localSheetId="1">紅綠燈!#REF!</definedName>
    <definedName name="外部資料_3738" localSheetId="1">紅綠燈!#REF!</definedName>
    <definedName name="外部資料_3739" localSheetId="1">紅綠燈!#REF!</definedName>
    <definedName name="外部資料_374" localSheetId="16">PKA!#REF!</definedName>
    <definedName name="外部資料_374" localSheetId="17">PKB!#REF!</definedName>
    <definedName name="外部資料_374" localSheetId="18">PKC!#REF!</definedName>
    <definedName name="外部資料_374" localSheetId="4">公司債!#REF!</definedName>
    <definedName name="外部資料_374" localSheetId="14">評比系統!$T$1:$T$3</definedName>
    <definedName name="外部資料_3741" localSheetId="1">紅綠燈!#REF!</definedName>
    <definedName name="外部資料_3742" localSheetId="1">紅綠燈!#REF!</definedName>
    <definedName name="外部資料_3743" localSheetId="1">紅綠燈!#REF!</definedName>
    <definedName name="外部資料_3745" localSheetId="1">紅綠燈!#REF!</definedName>
    <definedName name="外部資料_3746" localSheetId="1">紅綠燈!#REF!</definedName>
    <definedName name="外部資料_3747" localSheetId="1">紅綠燈!#REF!</definedName>
    <definedName name="外部資料_3749" localSheetId="1">紅綠燈!#REF!</definedName>
    <definedName name="外部資料_375" localSheetId="16">PKA!#REF!</definedName>
    <definedName name="外部資料_375" localSheetId="17">PKB!#REF!</definedName>
    <definedName name="外部資料_375" localSheetId="18">PKC!#REF!</definedName>
    <definedName name="外部資料_375" localSheetId="4">公司債!#REF!</definedName>
    <definedName name="外部資料_375" localSheetId="14">評比系統!$T$1:$T$3</definedName>
    <definedName name="外部資料_3750" localSheetId="1">紅綠燈!#REF!</definedName>
    <definedName name="外部資料_3751" localSheetId="1">紅綠燈!#REF!</definedName>
    <definedName name="外部資料_3753" localSheetId="1">紅綠燈!#REF!</definedName>
    <definedName name="外部資料_3754" localSheetId="1">紅綠燈!#REF!</definedName>
    <definedName name="外部資料_3755" localSheetId="1">紅綠燈!#REF!</definedName>
    <definedName name="外部資料_3757" localSheetId="1">紅綠燈!#REF!</definedName>
    <definedName name="外部資料_3758" localSheetId="1">紅綠燈!#REF!</definedName>
    <definedName name="外部資料_3759" localSheetId="1">紅綠燈!#REF!</definedName>
    <definedName name="外部資料_376" localSheetId="16">PKA!#REF!</definedName>
    <definedName name="外部資料_376" localSheetId="17">PKB!#REF!</definedName>
    <definedName name="外部資料_376" localSheetId="18">PKC!#REF!</definedName>
    <definedName name="外部資料_376" localSheetId="4">公司債!#REF!</definedName>
    <definedName name="外部資料_376" localSheetId="14">評比系統!$T$1:$T$3</definedName>
    <definedName name="外部資料_3761" localSheetId="1">紅綠燈!#REF!</definedName>
    <definedName name="外部資料_3762" localSheetId="1">紅綠燈!#REF!</definedName>
    <definedName name="外部資料_3763" localSheetId="1">紅綠燈!#REF!</definedName>
    <definedName name="外部資料_3765" localSheetId="1">紅綠燈!#REF!</definedName>
    <definedName name="外部資料_3766" localSheetId="1">紅綠燈!#REF!</definedName>
    <definedName name="外部資料_3767" localSheetId="1">紅綠燈!#REF!</definedName>
    <definedName name="外部資料_3769" localSheetId="1">紅綠燈!#REF!</definedName>
    <definedName name="外部資料_377" localSheetId="16">PKA!#REF!</definedName>
    <definedName name="外部資料_377" localSheetId="17">PKB!#REF!</definedName>
    <definedName name="外部資料_377" localSheetId="18">PKC!#REF!</definedName>
    <definedName name="外部資料_377" localSheetId="4">公司債!#REF!</definedName>
    <definedName name="外部資料_377" localSheetId="14">評比系統!$T$1:$T$3</definedName>
    <definedName name="外部資料_3770" localSheetId="1">紅綠燈!#REF!</definedName>
    <definedName name="外部資料_3771" localSheetId="1">紅綠燈!#REF!</definedName>
    <definedName name="外部資料_3773" localSheetId="1">紅綠燈!#REF!</definedName>
    <definedName name="外部資料_3774" localSheetId="1">紅綠燈!#REF!</definedName>
    <definedName name="外部資料_3775" localSheetId="1">紅綠燈!#REF!</definedName>
    <definedName name="外部資料_3777" localSheetId="1">紅綠燈!#REF!</definedName>
    <definedName name="外部資料_3778" localSheetId="1">紅綠燈!#REF!</definedName>
    <definedName name="外部資料_3779" localSheetId="1">紅綠燈!#REF!</definedName>
    <definedName name="外部資料_378" localSheetId="16">PKA!#REF!</definedName>
    <definedName name="外部資料_378" localSheetId="17">PKB!#REF!</definedName>
    <definedName name="外部資料_378" localSheetId="18">PKC!#REF!</definedName>
    <definedName name="外部資料_378" localSheetId="4">公司債!#REF!</definedName>
    <definedName name="外部資料_378" localSheetId="14">評比系統!$T$1:$T$3</definedName>
    <definedName name="外部資料_3781" localSheetId="1">紅綠燈!#REF!</definedName>
    <definedName name="外部資料_3782" localSheetId="1">紅綠燈!#REF!</definedName>
    <definedName name="外部資料_3783" localSheetId="1">紅綠燈!#REF!</definedName>
    <definedName name="外部資料_3785" localSheetId="1">紅綠燈!#REF!</definedName>
    <definedName name="外部資料_3786" localSheetId="1">紅綠燈!#REF!</definedName>
    <definedName name="外部資料_3787" localSheetId="1">紅綠燈!#REF!</definedName>
    <definedName name="外部資料_3789" localSheetId="1">紅綠燈!#REF!</definedName>
    <definedName name="外部資料_379" localSheetId="16">PKA!#REF!</definedName>
    <definedName name="外部資料_379" localSheetId="17">PKB!#REF!</definedName>
    <definedName name="外部資料_379" localSheetId="18">PKC!#REF!</definedName>
    <definedName name="外部資料_379" localSheetId="4">公司債!#REF!</definedName>
    <definedName name="外部資料_379" localSheetId="14">評比系統!$T$1:$T$3</definedName>
    <definedName name="外部資料_3790" localSheetId="1">紅綠燈!#REF!</definedName>
    <definedName name="外部資料_3791" localSheetId="1">紅綠燈!#REF!</definedName>
    <definedName name="外部資料_3793" localSheetId="1">紅綠燈!#REF!</definedName>
    <definedName name="外部資料_3794" localSheetId="1">紅綠燈!#REF!</definedName>
    <definedName name="外部資料_3795" localSheetId="1">紅綠燈!#REF!</definedName>
    <definedName name="外部資料_3797" localSheetId="1">紅綠燈!#REF!</definedName>
    <definedName name="外部資料_3798" localSheetId="1">紅綠燈!#REF!</definedName>
    <definedName name="外部資料_3799" localSheetId="1">紅綠燈!#REF!</definedName>
    <definedName name="外部資料_38" localSheetId="16">PKA!#REF!</definedName>
    <definedName name="外部資料_38" localSheetId="17">PKB!#REF!</definedName>
    <definedName name="外部資料_38" localSheetId="18">PKC!#REF!</definedName>
    <definedName name="外部資料_38" localSheetId="9">PSR!#REF!</definedName>
    <definedName name="外部資料_38" localSheetId="4">公司債!#REF!</definedName>
    <definedName name="外部資料_38" localSheetId="1">紅綠燈!#REF!</definedName>
    <definedName name="外部資料_38" localSheetId="14">評比系統!#REF!</definedName>
    <definedName name="外部資料_38" localSheetId="5">篩股系統!#REF!</definedName>
    <definedName name="外部資料_38" localSheetId="7">營收搶先報!#REF!</definedName>
    <definedName name="外部資料_380" localSheetId="16">PKA!#REF!</definedName>
    <definedName name="外部資料_380" localSheetId="17">PKB!#REF!</definedName>
    <definedName name="外部資料_380" localSheetId="18">PKC!#REF!</definedName>
    <definedName name="外部資料_380" localSheetId="4">公司債!#REF!</definedName>
    <definedName name="外部資料_380" localSheetId="14">評比系統!$T$1:$T$3</definedName>
    <definedName name="外部資料_3801" localSheetId="1">紅綠燈!#REF!</definedName>
    <definedName name="外部資料_3802" localSheetId="1">紅綠燈!#REF!</definedName>
    <definedName name="外部資料_3803" localSheetId="1">紅綠燈!#REF!</definedName>
    <definedName name="外部資料_3805" localSheetId="1">紅綠燈!#REF!</definedName>
    <definedName name="外部資料_3806" localSheetId="1">紅綠燈!#REF!</definedName>
    <definedName name="外部資料_3807" localSheetId="1">紅綠燈!#REF!</definedName>
    <definedName name="外部資料_3809" localSheetId="1">紅綠燈!#REF!</definedName>
    <definedName name="外部資料_381" localSheetId="16">PKA!#REF!</definedName>
    <definedName name="外部資料_381" localSheetId="17">PKB!#REF!</definedName>
    <definedName name="外部資料_381" localSheetId="18">PKC!#REF!</definedName>
    <definedName name="外部資料_381" localSheetId="4">公司債!#REF!</definedName>
    <definedName name="外部資料_381" localSheetId="14">評比系統!$T$1:$T$3</definedName>
    <definedName name="外部資料_3810" localSheetId="1">紅綠燈!#REF!</definedName>
    <definedName name="外部資料_3811" localSheetId="1">紅綠燈!#REF!</definedName>
    <definedName name="外部資料_3813" localSheetId="1">紅綠燈!#REF!</definedName>
    <definedName name="外部資料_3814" localSheetId="1">紅綠燈!#REF!</definedName>
    <definedName name="外部資料_3815" localSheetId="1">紅綠燈!#REF!</definedName>
    <definedName name="外部資料_3817" localSheetId="1">紅綠燈!#REF!</definedName>
    <definedName name="外部資料_3818" localSheetId="1">紅綠燈!#REF!</definedName>
    <definedName name="外部資料_3819" localSheetId="1">紅綠燈!#REF!</definedName>
    <definedName name="外部資料_382" localSheetId="16">PKA!#REF!</definedName>
    <definedName name="外部資料_382" localSheetId="17">PKB!#REF!</definedName>
    <definedName name="外部資料_382" localSheetId="18">PKC!#REF!</definedName>
    <definedName name="外部資料_382" localSheetId="4">公司債!#REF!</definedName>
    <definedName name="外部資料_382" localSheetId="14">評比系統!$T$1:$T$3</definedName>
    <definedName name="外部資料_3821" localSheetId="1">紅綠燈!#REF!</definedName>
    <definedName name="外部資料_3822" localSheetId="1">紅綠燈!#REF!</definedName>
    <definedName name="外部資料_3823" localSheetId="1">紅綠燈!#REF!</definedName>
    <definedName name="外部資料_3825" localSheetId="1">紅綠燈!#REF!</definedName>
    <definedName name="外部資料_3826" localSheetId="1">紅綠燈!#REF!</definedName>
    <definedName name="外部資料_3827" localSheetId="1">紅綠燈!#REF!</definedName>
    <definedName name="外部資料_3829" localSheetId="1">紅綠燈!#REF!</definedName>
    <definedName name="外部資料_383" localSheetId="16">PKA!#REF!</definedName>
    <definedName name="外部資料_383" localSheetId="17">PKB!#REF!</definedName>
    <definedName name="外部資料_383" localSheetId="18">PKC!#REF!</definedName>
    <definedName name="外部資料_383" localSheetId="4">公司債!#REF!</definedName>
    <definedName name="外部資料_383" localSheetId="14">評比系統!$T$1:$T$3</definedName>
    <definedName name="外部資料_3830" localSheetId="1">紅綠燈!#REF!</definedName>
    <definedName name="外部資料_3831" localSheetId="1">紅綠燈!#REF!</definedName>
    <definedName name="外部資料_3833" localSheetId="1">紅綠燈!#REF!</definedName>
    <definedName name="外部資料_3834" localSheetId="1">紅綠燈!#REF!</definedName>
    <definedName name="外部資料_3836" localSheetId="1">紅綠燈!#REF!</definedName>
    <definedName name="外部資料_3837" localSheetId="1">紅綠燈!#REF!</definedName>
    <definedName name="外部資料_3838" localSheetId="1">紅綠燈!#REF!</definedName>
    <definedName name="外部資料_384" localSheetId="16">PKA!#REF!</definedName>
    <definedName name="外部資料_384" localSheetId="17">PKB!#REF!</definedName>
    <definedName name="外部資料_384" localSheetId="18">PKC!#REF!</definedName>
    <definedName name="外部資料_384" localSheetId="4">公司債!#REF!</definedName>
    <definedName name="外部資料_384" localSheetId="14">評比系統!$T$1:$T$3</definedName>
    <definedName name="外部資料_3840" localSheetId="1">紅綠燈!#REF!</definedName>
    <definedName name="外部資料_3841" localSheetId="1">紅綠燈!#REF!</definedName>
    <definedName name="外部資料_3842" localSheetId="1">紅綠燈!#REF!</definedName>
    <definedName name="外部資料_3844" localSheetId="1">紅綠燈!#REF!</definedName>
    <definedName name="外部資料_3845" localSheetId="1">紅綠燈!#REF!</definedName>
    <definedName name="外部資料_3846" localSheetId="1">紅綠燈!#REF!</definedName>
    <definedName name="外部資料_3848" localSheetId="1">紅綠燈!#REF!</definedName>
    <definedName name="外部資料_3849" localSheetId="1">紅綠燈!#REF!</definedName>
    <definedName name="外部資料_385" localSheetId="16">PKA!#REF!</definedName>
    <definedName name="外部資料_385" localSheetId="17">PKB!#REF!</definedName>
    <definedName name="外部資料_385" localSheetId="18">PKC!#REF!</definedName>
    <definedName name="外部資料_385" localSheetId="4">公司債!#REF!</definedName>
    <definedName name="外部資料_385" localSheetId="14">評比系統!$T$1:$T$3</definedName>
    <definedName name="外部資料_3850" localSheetId="1">紅綠燈!#REF!</definedName>
    <definedName name="外部資料_3852" localSheetId="1">紅綠燈!#REF!</definedName>
    <definedName name="外部資料_3853" localSheetId="1">紅綠燈!#REF!</definedName>
    <definedName name="外部資料_3854" localSheetId="1">紅綠燈!#REF!</definedName>
    <definedName name="外部資料_3856" localSheetId="1">紅綠燈!#REF!</definedName>
    <definedName name="外部資料_3857" localSheetId="1">紅綠燈!#REF!</definedName>
    <definedName name="外部資料_3858" localSheetId="1">紅綠燈!#REF!</definedName>
    <definedName name="外部資料_386" localSheetId="16">PKA!#REF!</definedName>
    <definedName name="外部資料_386" localSheetId="17">PKB!#REF!</definedName>
    <definedName name="外部資料_386" localSheetId="18">PKC!#REF!</definedName>
    <definedName name="外部資料_386" localSheetId="4">公司債!#REF!</definedName>
    <definedName name="外部資料_386" localSheetId="14">評比系統!$T$1:$T$3</definedName>
    <definedName name="外部資料_3860" localSheetId="1">紅綠燈!#REF!</definedName>
    <definedName name="外部資料_3861" localSheetId="1">紅綠燈!#REF!</definedName>
    <definedName name="外部資料_3862" localSheetId="1">紅綠燈!#REF!</definedName>
    <definedName name="外部資料_3864" localSheetId="1">紅綠燈!#REF!</definedName>
    <definedName name="外部資料_3865" localSheetId="1">紅綠燈!#REF!</definedName>
    <definedName name="外部資料_3866" localSheetId="1">紅綠燈!#REF!</definedName>
    <definedName name="外部資料_3868" localSheetId="1">紅綠燈!#REF!</definedName>
    <definedName name="外部資料_3869" localSheetId="1">紅綠燈!#REF!</definedName>
    <definedName name="外部資料_387" localSheetId="16">PKA!#REF!</definedName>
    <definedName name="外部資料_387" localSheetId="17">PKB!#REF!</definedName>
    <definedName name="外部資料_387" localSheetId="18">PKC!#REF!</definedName>
    <definedName name="外部資料_387" localSheetId="4">公司債!#REF!</definedName>
    <definedName name="外部資料_387" localSheetId="14">評比系統!$T$1:$T$3</definedName>
    <definedName name="外部資料_3870" localSheetId="1">紅綠燈!#REF!</definedName>
    <definedName name="外部資料_3872" localSheetId="1">紅綠燈!#REF!</definedName>
    <definedName name="外部資料_3873" localSheetId="1">紅綠燈!#REF!</definedName>
    <definedName name="外部資料_3874" localSheetId="1">紅綠燈!#REF!</definedName>
    <definedName name="外部資料_3876" localSheetId="1">紅綠燈!#REF!</definedName>
    <definedName name="外部資料_3877" localSheetId="1">紅綠燈!#REF!</definedName>
    <definedName name="外部資料_3878" localSheetId="1">紅綠燈!#REF!</definedName>
    <definedName name="外部資料_388" localSheetId="16">PKA!#REF!</definedName>
    <definedName name="外部資料_388" localSheetId="17">PKB!#REF!</definedName>
    <definedName name="外部資料_388" localSheetId="18">PKC!#REF!</definedName>
    <definedName name="外部資料_388" localSheetId="4">公司債!#REF!</definedName>
    <definedName name="外部資料_388" localSheetId="14">評比系統!$T$1:$T$3</definedName>
    <definedName name="外部資料_3880" localSheetId="1">紅綠燈!#REF!</definedName>
    <definedName name="外部資料_3881" localSheetId="1">紅綠燈!#REF!</definedName>
    <definedName name="外部資料_3882" localSheetId="1">紅綠燈!#REF!</definedName>
    <definedName name="外部資料_3884" localSheetId="1">紅綠燈!#REF!</definedName>
    <definedName name="外部資料_3885" localSheetId="1">紅綠燈!#REF!</definedName>
    <definedName name="外部資料_3886" localSheetId="1">紅綠燈!#REF!</definedName>
    <definedName name="外部資料_3888" localSheetId="1">紅綠燈!#REF!</definedName>
    <definedName name="外部資料_3889" localSheetId="1">紅綠燈!#REF!</definedName>
    <definedName name="外部資料_389" localSheetId="16">PKA!#REF!</definedName>
    <definedName name="外部資料_389" localSheetId="17">PKB!#REF!</definedName>
    <definedName name="外部資料_389" localSheetId="18">PKC!#REF!</definedName>
    <definedName name="外部資料_389" localSheetId="4">公司債!#REF!</definedName>
    <definedName name="外部資料_389" localSheetId="14">評比系統!$T$1:$T$3</definedName>
    <definedName name="外部資料_3890" localSheetId="1">紅綠燈!#REF!</definedName>
    <definedName name="外部資料_3892" localSheetId="1">紅綠燈!#REF!</definedName>
    <definedName name="外部資料_3893" localSheetId="1">紅綠燈!#REF!</definedName>
    <definedName name="外部資料_3894" localSheetId="1">紅綠燈!#REF!</definedName>
    <definedName name="外部資料_3896" localSheetId="1">紅綠燈!#REF!</definedName>
    <definedName name="外部資料_3897" localSheetId="1">紅綠燈!#REF!</definedName>
    <definedName name="外部資料_3898" localSheetId="1">紅綠燈!#REF!</definedName>
    <definedName name="外部資料_39" localSheetId="16">PKA!#REF!</definedName>
    <definedName name="外部資料_39" localSheetId="17">PKB!#REF!</definedName>
    <definedName name="外部資料_39" localSheetId="18">PKC!#REF!</definedName>
    <definedName name="外部資料_39" localSheetId="9">PSR!#REF!</definedName>
    <definedName name="外部資料_39" localSheetId="1">紅綠燈!#REF!</definedName>
    <definedName name="外部資料_39" localSheetId="14">評比系統!#REF!</definedName>
    <definedName name="外部資料_39" localSheetId="5">篩股系統!#REF!</definedName>
    <definedName name="外部資料_39" localSheetId="7">營收搶先報!#REF!</definedName>
    <definedName name="外部資料_390" localSheetId="16">PKA!#REF!</definedName>
    <definedName name="外部資料_390" localSheetId="17">PKB!#REF!</definedName>
    <definedName name="外部資料_390" localSheetId="18">PKC!#REF!</definedName>
    <definedName name="外部資料_390" localSheetId="4">公司債!#REF!</definedName>
    <definedName name="外部資料_390" localSheetId="14">評比系統!$T$1:$T$3</definedName>
    <definedName name="外部資料_3900" localSheetId="1">紅綠燈!#REF!</definedName>
    <definedName name="外部資料_3901" localSheetId="1">紅綠燈!#REF!</definedName>
    <definedName name="外部資料_3902" localSheetId="1">紅綠燈!#REF!</definedName>
    <definedName name="外部資料_3904" localSheetId="1">紅綠燈!#REF!</definedName>
    <definedName name="外部資料_3905" localSheetId="1">紅綠燈!#REF!</definedName>
    <definedName name="外部資料_3906" localSheetId="1">紅綠燈!#REF!</definedName>
    <definedName name="外部資料_3908" localSheetId="1">紅綠燈!#REF!</definedName>
    <definedName name="外部資料_3909" localSheetId="1">紅綠燈!#REF!</definedName>
    <definedName name="外部資料_391" localSheetId="16">PKA!#REF!</definedName>
    <definedName name="外部資料_391" localSheetId="17">PKB!#REF!</definedName>
    <definedName name="外部資料_391" localSheetId="18">PKC!#REF!</definedName>
    <definedName name="外部資料_391" localSheetId="4">公司債!#REF!</definedName>
    <definedName name="外部資料_391" localSheetId="14">評比系統!$T$1:$T$3</definedName>
    <definedName name="外部資料_3910" localSheetId="1">紅綠燈!#REF!</definedName>
    <definedName name="外部資料_3912" localSheetId="1">紅綠燈!#REF!</definedName>
    <definedName name="外部資料_3913" localSheetId="1">紅綠燈!#REF!</definedName>
    <definedName name="外部資料_3914" localSheetId="1">紅綠燈!#REF!</definedName>
    <definedName name="外部資料_3916" localSheetId="1">紅綠燈!#REF!</definedName>
    <definedName name="外部資料_3917" localSheetId="1">紅綠燈!#REF!</definedName>
    <definedName name="外部資料_3918" localSheetId="1">紅綠燈!#REF!</definedName>
    <definedName name="外部資料_392" localSheetId="16">PKA!#REF!</definedName>
    <definedName name="外部資料_392" localSheetId="17">PKB!#REF!</definedName>
    <definedName name="外部資料_392" localSheetId="18">PKC!#REF!</definedName>
    <definedName name="外部資料_392" localSheetId="4">公司債!#REF!</definedName>
    <definedName name="外部資料_392" localSheetId="14">評比系統!$T$1:$T$3</definedName>
    <definedName name="外部資料_3920" localSheetId="1">紅綠燈!#REF!</definedName>
    <definedName name="外部資料_3921" localSheetId="1">紅綠燈!#REF!</definedName>
    <definedName name="外部資料_3922" localSheetId="1">紅綠燈!#REF!</definedName>
    <definedName name="外部資料_3924" localSheetId="1">紅綠燈!#REF!</definedName>
    <definedName name="外部資料_3925" localSheetId="1">紅綠燈!#REF!</definedName>
    <definedName name="外部資料_3926" localSheetId="1">紅綠燈!#REF!</definedName>
    <definedName name="外部資料_3928" localSheetId="1">紅綠燈!#REF!</definedName>
    <definedName name="外部資料_3929" localSheetId="1">紅綠燈!#REF!</definedName>
    <definedName name="外部資料_393" localSheetId="16">PKA!#REF!</definedName>
    <definedName name="外部資料_393" localSheetId="17">PKB!#REF!</definedName>
    <definedName name="外部資料_393" localSheetId="18">PKC!#REF!</definedName>
    <definedName name="外部資料_393" localSheetId="4">公司債!#REF!</definedName>
    <definedName name="外部資料_393" localSheetId="14">評比系統!$T$1:$T$3</definedName>
    <definedName name="外部資料_3930" localSheetId="1">紅綠燈!#REF!</definedName>
    <definedName name="外部資料_3932" localSheetId="1">紅綠燈!#REF!</definedName>
    <definedName name="外部資料_3933" localSheetId="1">紅綠燈!#REF!</definedName>
    <definedName name="外部資料_3934" localSheetId="1">紅綠燈!#REF!</definedName>
    <definedName name="外部資料_3936" localSheetId="1">紅綠燈!#REF!</definedName>
    <definedName name="外部資料_3937" localSheetId="1">紅綠燈!#REF!</definedName>
    <definedName name="外部資料_3938" localSheetId="1">紅綠燈!#REF!</definedName>
    <definedName name="外部資料_394" localSheetId="16">PKA!#REF!</definedName>
    <definedName name="外部資料_394" localSheetId="17">PKB!#REF!</definedName>
    <definedName name="外部資料_394" localSheetId="18">PKC!#REF!</definedName>
    <definedName name="外部資料_394" localSheetId="4">公司債!#REF!</definedName>
    <definedName name="外部資料_394" localSheetId="14">評比系統!$T$1:$T$3</definedName>
    <definedName name="外部資料_3940" localSheetId="1">紅綠燈!#REF!</definedName>
    <definedName name="外部資料_3941" localSheetId="1">紅綠燈!#REF!</definedName>
    <definedName name="外部資料_3942" localSheetId="1">紅綠燈!#REF!</definedName>
    <definedName name="外部資料_3944" localSheetId="1">紅綠燈!#REF!</definedName>
    <definedName name="外部資料_3945" localSheetId="1">紅綠燈!#REF!</definedName>
    <definedName name="外部資料_3946" localSheetId="1">紅綠燈!#REF!</definedName>
    <definedName name="外部資料_3948" localSheetId="1">紅綠燈!#REF!</definedName>
    <definedName name="外部資料_3949" localSheetId="1">紅綠燈!#REF!</definedName>
    <definedName name="外部資料_395" localSheetId="16">PKA!#REF!</definedName>
    <definedName name="外部資料_395" localSheetId="17">PKB!#REF!</definedName>
    <definedName name="外部資料_395" localSheetId="18">PKC!#REF!</definedName>
    <definedName name="外部資料_395" localSheetId="4">公司債!#REF!</definedName>
    <definedName name="外部資料_395" localSheetId="14">評比系統!$T$1:$T$3</definedName>
    <definedName name="外部資料_3950" localSheetId="1">紅綠燈!#REF!</definedName>
    <definedName name="外部資料_3952" localSheetId="1">紅綠燈!#REF!</definedName>
    <definedName name="外部資料_3953" localSheetId="1">紅綠燈!#REF!</definedName>
    <definedName name="外部資料_3954" localSheetId="1">紅綠燈!#REF!</definedName>
    <definedName name="外部資料_3956" localSheetId="1">紅綠燈!#REF!</definedName>
    <definedName name="外部資料_3957" localSheetId="1">紅綠燈!#REF!</definedName>
    <definedName name="外部資料_3958" localSheetId="1">紅綠燈!#REF!</definedName>
    <definedName name="外部資料_396" localSheetId="16">PKA!#REF!</definedName>
    <definedName name="外部資料_396" localSheetId="17">PKB!#REF!</definedName>
    <definedName name="外部資料_396" localSheetId="18">PKC!#REF!</definedName>
    <definedName name="外部資料_396" localSheetId="4">公司債!#REF!</definedName>
    <definedName name="外部資料_396" localSheetId="14">評比系統!$T$1:$T$3</definedName>
    <definedName name="外部資料_3960" localSheetId="1">紅綠燈!#REF!</definedName>
    <definedName name="外部資料_3961" localSheetId="1">紅綠燈!#REF!</definedName>
    <definedName name="外部資料_3962" localSheetId="1">紅綠燈!#REF!</definedName>
    <definedName name="外部資料_3964" localSheetId="1">紅綠燈!#REF!</definedName>
    <definedName name="外部資料_3965" localSheetId="1">紅綠燈!#REF!</definedName>
    <definedName name="外部資料_3966" localSheetId="1">紅綠燈!#REF!</definedName>
    <definedName name="外部資料_3968" localSheetId="1">紅綠燈!#REF!</definedName>
    <definedName name="外部資料_3969" localSheetId="1">紅綠燈!#REF!</definedName>
    <definedName name="外部資料_397" localSheetId="16">PKA!#REF!</definedName>
    <definedName name="外部資料_397" localSheetId="17">PKB!#REF!</definedName>
    <definedName name="外部資料_397" localSheetId="18">PKC!#REF!</definedName>
    <definedName name="外部資料_397" localSheetId="4">公司債!#REF!</definedName>
    <definedName name="外部資料_397" localSheetId="14">評比系統!$T$1:$T$3</definedName>
    <definedName name="外部資料_3970" localSheetId="1">紅綠燈!#REF!</definedName>
    <definedName name="外部資料_3972" localSheetId="1">紅綠燈!#REF!</definedName>
    <definedName name="外部資料_3973" localSheetId="1">紅綠燈!#REF!</definedName>
    <definedName name="外部資料_3974" localSheetId="1">紅綠燈!#REF!</definedName>
    <definedName name="外部資料_3976" localSheetId="1">紅綠燈!#REF!</definedName>
    <definedName name="外部資料_3977" localSheetId="1">紅綠燈!#REF!</definedName>
    <definedName name="外部資料_3978" localSheetId="1">紅綠燈!#REF!</definedName>
    <definedName name="外部資料_398" localSheetId="16">PKA!#REF!</definedName>
    <definedName name="外部資料_398" localSheetId="17">PKB!#REF!</definedName>
    <definedName name="外部資料_398" localSheetId="18">PKC!#REF!</definedName>
    <definedName name="外部資料_398" localSheetId="4">公司債!#REF!</definedName>
    <definedName name="外部資料_398" localSheetId="14">評比系統!$T$1:$T$3</definedName>
    <definedName name="外部資料_3980" localSheetId="1">紅綠燈!#REF!</definedName>
    <definedName name="外部資料_3981" localSheetId="1">紅綠燈!#REF!</definedName>
    <definedName name="外部資料_3982" localSheetId="1">紅綠燈!#REF!</definedName>
    <definedName name="外部資料_3984" localSheetId="1">紅綠燈!#REF!</definedName>
    <definedName name="外部資料_3985" localSheetId="1">紅綠燈!#REF!</definedName>
    <definedName name="外部資料_3986" localSheetId="1">紅綠燈!#REF!</definedName>
    <definedName name="外部資料_3988" localSheetId="1">紅綠燈!#REF!</definedName>
    <definedName name="外部資料_3989" localSheetId="1">紅綠燈!#REF!</definedName>
    <definedName name="外部資料_399" localSheetId="16">PKA!#REF!</definedName>
    <definedName name="外部資料_399" localSheetId="17">PKB!#REF!</definedName>
    <definedName name="外部資料_399" localSheetId="18">PKC!#REF!</definedName>
    <definedName name="外部資料_399" localSheetId="4">公司債!#REF!</definedName>
    <definedName name="外部資料_399" localSheetId="14">評比系統!$T$1:$T$3</definedName>
    <definedName name="外部資料_3990" localSheetId="1">紅綠燈!#REF!</definedName>
    <definedName name="外部資料_3992" localSheetId="1">紅綠燈!#REF!</definedName>
    <definedName name="外部資料_3993" localSheetId="1">紅綠燈!#REF!</definedName>
    <definedName name="外部資料_3994" localSheetId="1">紅綠燈!#REF!</definedName>
    <definedName name="外部資料_3996" localSheetId="1">紅綠燈!#REF!</definedName>
    <definedName name="外部資料_3997" localSheetId="1">紅綠燈!#REF!</definedName>
    <definedName name="外部資料_3998" localSheetId="1">紅綠燈!#REF!</definedName>
    <definedName name="外部資料_4" localSheetId="16">PKA!#REF!</definedName>
    <definedName name="外部資料_4" localSheetId="17">PKB!#REF!</definedName>
    <definedName name="外部資料_4" localSheetId="18">PKC!#REF!</definedName>
    <definedName name="外部資料_4" localSheetId="9">PSR!#REF!</definedName>
    <definedName name="外部資料_4" localSheetId="4">公司債!#REF!</definedName>
    <definedName name="外部資料_4" localSheetId="1">紅綠燈!#REF!</definedName>
    <definedName name="外部資料_4" localSheetId="14">評比系統!#REF!</definedName>
    <definedName name="外部資料_4" localSheetId="5">篩股系統!#REF!</definedName>
    <definedName name="外部資料_4" localSheetId="7">營收搶先報!#REF!</definedName>
    <definedName name="外部資料_40" localSheetId="16">PKA!#REF!</definedName>
    <definedName name="外部資料_40" localSheetId="17">PKB!#REF!</definedName>
    <definedName name="外部資料_40" localSheetId="18">PKC!#REF!</definedName>
    <definedName name="外部資料_40" localSheetId="9">PSR!#REF!</definedName>
    <definedName name="外部資料_40" localSheetId="4">公司債!#REF!</definedName>
    <definedName name="外部資料_40" localSheetId="1">紅綠燈!#REF!</definedName>
    <definedName name="外部資料_40" localSheetId="14">評比系統!#REF!</definedName>
    <definedName name="外部資料_40" localSheetId="7">營收搶先報!#REF!</definedName>
    <definedName name="外部資料_400" localSheetId="16">PKA!#REF!</definedName>
    <definedName name="外部資料_400" localSheetId="17">PKB!#REF!</definedName>
    <definedName name="外部資料_400" localSheetId="18">PKC!#REF!</definedName>
    <definedName name="外部資料_400" localSheetId="4">公司債!#REF!</definedName>
    <definedName name="外部資料_400" localSheetId="14">評比系統!$T$1:$T$3</definedName>
    <definedName name="外部資料_4000" localSheetId="1">紅綠燈!#REF!</definedName>
    <definedName name="外部資料_4001" localSheetId="1">紅綠燈!#REF!</definedName>
    <definedName name="外部資料_4003" localSheetId="1">紅綠燈!#REF!</definedName>
    <definedName name="外部資料_4004" localSheetId="1">紅綠燈!#REF!</definedName>
    <definedName name="外部資料_4005" localSheetId="1">紅綠燈!#REF!</definedName>
    <definedName name="外部資料_4007" localSheetId="1">紅綠燈!#REF!</definedName>
    <definedName name="外部資料_4008" localSheetId="1">紅綠燈!#REF!</definedName>
    <definedName name="外部資料_4009" localSheetId="1">紅綠燈!#REF!</definedName>
    <definedName name="外部資料_401" localSheetId="16">PKA!#REF!</definedName>
    <definedName name="外部資料_401" localSheetId="17">PKB!#REF!</definedName>
    <definedName name="外部資料_401" localSheetId="18">PKC!#REF!</definedName>
    <definedName name="外部資料_401" localSheetId="4">公司債!#REF!</definedName>
    <definedName name="外部資料_401" localSheetId="14">評比系統!$T$1:$T$3</definedName>
    <definedName name="外部資料_4011" localSheetId="1">紅綠燈!#REF!</definedName>
    <definedName name="外部資料_4012" localSheetId="1">紅綠燈!#REF!</definedName>
    <definedName name="外部資料_4013" localSheetId="1">紅綠燈!#REF!</definedName>
    <definedName name="外部資料_4015" localSheetId="1">紅綠燈!#REF!</definedName>
    <definedName name="外部資料_4016" localSheetId="1">紅綠燈!#REF!</definedName>
    <definedName name="外部資料_4017" localSheetId="1">紅綠燈!#REF!</definedName>
    <definedName name="外部資料_4019" localSheetId="1">紅綠燈!#REF!</definedName>
    <definedName name="外部資料_402" localSheetId="16">PKA!#REF!</definedName>
    <definedName name="外部資料_402" localSheetId="17">PKB!#REF!</definedName>
    <definedName name="外部資料_402" localSheetId="18">PKC!#REF!</definedName>
    <definedName name="外部資料_402" localSheetId="4">公司債!#REF!</definedName>
    <definedName name="外部資料_402" localSheetId="14">評比系統!$T$1:$T$3</definedName>
    <definedName name="外部資料_4020" localSheetId="1">紅綠燈!#REF!</definedName>
    <definedName name="外部資料_4021" localSheetId="1">紅綠燈!#REF!</definedName>
    <definedName name="外部資料_4023" localSheetId="1">紅綠燈!#REF!</definedName>
    <definedName name="外部資料_4024" localSheetId="1">紅綠燈!#REF!</definedName>
    <definedName name="外部資料_4025" localSheetId="1">紅綠燈!#REF!</definedName>
    <definedName name="外部資料_4027" localSheetId="1">紅綠燈!#REF!</definedName>
    <definedName name="外部資料_4028" localSheetId="1">紅綠燈!#REF!</definedName>
    <definedName name="外部資料_4029" localSheetId="1">紅綠燈!#REF!</definedName>
    <definedName name="外部資料_403" localSheetId="16">PKA!#REF!</definedName>
    <definedName name="外部資料_403" localSheetId="17">PKB!#REF!</definedName>
    <definedName name="外部資料_403" localSheetId="18">PKC!#REF!</definedName>
    <definedName name="外部資料_403" localSheetId="4">公司債!#REF!</definedName>
    <definedName name="外部資料_403" localSheetId="14">評比系統!$T$1:$T$3</definedName>
    <definedName name="外部資料_4031" localSheetId="1">紅綠燈!#REF!</definedName>
    <definedName name="外部資料_4032" localSheetId="1">紅綠燈!#REF!</definedName>
    <definedName name="外部資料_4033" localSheetId="1">紅綠燈!#REF!</definedName>
    <definedName name="外部資料_4035" localSheetId="1">紅綠燈!#REF!</definedName>
    <definedName name="外部資料_4036" localSheetId="1">紅綠燈!#REF!</definedName>
    <definedName name="外部資料_4037" localSheetId="1">紅綠燈!#REF!</definedName>
    <definedName name="外部資料_4039" localSheetId="1">紅綠燈!#REF!</definedName>
    <definedName name="外部資料_404" localSheetId="16">PKA!#REF!</definedName>
    <definedName name="外部資料_404" localSheetId="17">PKB!#REF!</definedName>
    <definedName name="外部資料_404" localSheetId="18">PKC!#REF!</definedName>
    <definedName name="外部資料_404" localSheetId="4">公司債!#REF!</definedName>
    <definedName name="外部資料_404" localSheetId="14">評比系統!$T$1:$T$3</definedName>
    <definedName name="外部資料_4040" localSheetId="1">紅綠燈!#REF!</definedName>
    <definedName name="外部資料_4041" localSheetId="1">紅綠燈!#REF!</definedName>
    <definedName name="外部資料_4043" localSheetId="1">紅綠燈!#REF!</definedName>
    <definedName name="外部資料_4044" localSheetId="1">紅綠燈!#REF!</definedName>
    <definedName name="外部資料_4045" localSheetId="1">紅綠燈!#REF!</definedName>
    <definedName name="外部資料_4047" localSheetId="1">紅綠燈!#REF!</definedName>
    <definedName name="外部資料_4048" localSheetId="1">紅綠燈!#REF!</definedName>
    <definedName name="外部資料_4049" localSheetId="1">紅綠燈!#REF!</definedName>
    <definedName name="外部資料_405" localSheetId="16">PKA!#REF!</definedName>
    <definedName name="外部資料_405" localSheetId="17">PKB!#REF!</definedName>
    <definedName name="外部資料_405" localSheetId="18">PKC!#REF!</definedName>
    <definedName name="外部資料_405" localSheetId="4">公司債!#REF!</definedName>
    <definedName name="外部資料_405" localSheetId="14">評比系統!$T$1:$T$3</definedName>
    <definedName name="外部資料_4051" localSheetId="1">紅綠燈!#REF!</definedName>
    <definedName name="外部資料_4052" localSheetId="1">紅綠燈!#REF!</definedName>
    <definedName name="外部資料_4053" localSheetId="1">紅綠燈!#REF!</definedName>
    <definedName name="外部資料_4055" localSheetId="1">紅綠燈!#REF!</definedName>
    <definedName name="外部資料_4056" localSheetId="1">紅綠燈!#REF!</definedName>
    <definedName name="外部資料_4057" localSheetId="1">紅綠燈!#REF!</definedName>
    <definedName name="外部資料_4059" localSheetId="1">紅綠燈!#REF!</definedName>
    <definedName name="外部資料_406" localSheetId="16">PKA!#REF!</definedName>
    <definedName name="外部資料_406" localSheetId="17">PKB!#REF!</definedName>
    <definedName name="外部資料_406" localSheetId="18">PKC!#REF!</definedName>
    <definedName name="外部資料_406" localSheetId="4">公司債!#REF!</definedName>
    <definedName name="外部資料_406" localSheetId="14">評比系統!$T$1:$T$3</definedName>
    <definedName name="外部資料_4060" localSheetId="1">紅綠燈!#REF!</definedName>
    <definedName name="外部資料_4061" localSheetId="1">紅綠燈!#REF!</definedName>
    <definedName name="外部資料_4063" localSheetId="1">紅綠燈!#REF!</definedName>
    <definedName name="外部資料_4064" localSheetId="1">紅綠燈!#REF!</definedName>
    <definedName name="外部資料_4065" localSheetId="1">紅綠燈!#REF!</definedName>
    <definedName name="外部資料_4067" localSheetId="1">紅綠燈!#REF!</definedName>
    <definedName name="外部資料_4068" localSheetId="1">紅綠燈!#REF!</definedName>
    <definedName name="外部資料_4069" localSheetId="1">紅綠燈!#REF!</definedName>
    <definedName name="外部資料_407" localSheetId="16">PKA!#REF!</definedName>
    <definedName name="外部資料_407" localSheetId="17">PKB!#REF!</definedName>
    <definedName name="外部資料_407" localSheetId="18">PKC!#REF!</definedName>
    <definedName name="外部資料_407" localSheetId="4">公司債!#REF!</definedName>
    <definedName name="外部資料_407" localSheetId="14">評比系統!$T$1:$T$3</definedName>
    <definedName name="外部資料_4071" localSheetId="1">紅綠燈!#REF!</definedName>
    <definedName name="外部資料_4072" localSheetId="1">紅綠燈!#REF!</definedName>
    <definedName name="外部資料_4073" localSheetId="1">紅綠燈!#REF!</definedName>
    <definedName name="外部資料_4075" localSheetId="1">紅綠燈!#REF!</definedName>
    <definedName name="外部資料_4076" localSheetId="1">紅綠燈!#REF!</definedName>
    <definedName name="外部資料_4077" localSheetId="1">紅綠燈!#REF!</definedName>
    <definedName name="外部資料_4079" localSheetId="1">紅綠燈!#REF!</definedName>
    <definedName name="外部資料_408" localSheetId="16">PKA!#REF!</definedName>
    <definedName name="外部資料_408" localSheetId="17">PKB!#REF!</definedName>
    <definedName name="外部資料_408" localSheetId="18">PKC!#REF!</definedName>
    <definedName name="外部資料_408" localSheetId="4">公司債!#REF!</definedName>
    <definedName name="外部資料_408" localSheetId="14">評比系統!$T$1:$T$3</definedName>
    <definedName name="外部資料_4080" localSheetId="1">紅綠燈!#REF!</definedName>
    <definedName name="外部資料_4081" localSheetId="1">紅綠燈!#REF!</definedName>
    <definedName name="外部資料_4083" localSheetId="1">紅綠燈!#REF!</definedName>
    <definedName name="外部資料_4084" localSheetId="1">紅綠燈!#REF!</definedName>
    <definedName name="外部資料_4085" localSheetId="1">紅綠燈!#REF!</definedName>
    <definedName name="外部資料_4087" localSheetId="1">紅綠燈!#REF!</definedName>
    <definedName name="外部資料_4088" localSheetId="1">紅綠燈!#REF!</definedName>
    <definedName name="外部資料_4089" localSheetId="1">紅綠燈!#REF!</definedName>
    <definedName name="外部資料_409" localSheetId="16">PKA!#REF!</definedName>
    <definedName name="外部資料_409" localSheetId="17">PKB!#REF!</definedName>
    <definedName name="外部資料_409" localSheetId="18">PKC!#REF!</definedName>
    <definedName name="外部資料_409" localSheetId="4">公司債!#REF!</definedName>
    <definedName name="外部資料_409" localSheetId="14">評比系統!$T$1:$T$3</definedName>
    <definedName name="外部資料_4091" localSheetId="1">紅綠燈!#REF!</definedName>
    <definedName name="外部資料_4092" localSheetId="1">紅綠燈!#REF!</definedName>
    <definedName name="外部資料_4093" localSheetId="1">紅綠燈!#REF!</definedName>
    <definedName name="外部資料_4095" localSheetId="1">紅綠燈!#REF!</definedName>
    <definedName name="外部資料_4096" localSheetId="1">紅綠燈!#REF!</definedName>
    <definedName name="外部資料_4097" localSheetId="1">紅綠燈!#REF!</definedName>
    <definedName name="外部資料_4099" localSheetId="1">紅綠燈!#REF!</definedName>
    <definedName name="外部資料_41" localSheetId="16">PKA!#REF!</definedName>
    <definedName name="外部資料_41" localSheetId="17">PKB!#REF!</definedName>
    <definedName name="外部資料_41" localSheetId="18">PKC!#REF!</definedName>
    <definedName name="外部資料_41" localSheetId="9">PSR!#REF!</definedName>
    <definedName name="外部資料_41" localSheetId="4">公司債!#REF!</definedName>
    <definedName name="外部資料_41" localSheetId="1">紅綠燈!#REF!</definedName>
    <definedName name="外部資料_41" localSheetId="14">評比系統!#REF!</definedName>
    <definedName name="外部資料_41" localSheetId="5">篩股系統!#REF!</definedName>
    <definedName name="外部資料_41" localSheetId="7">營收搶先報!#REF!</definedName>
    <definedName name="外部資料_410" localSheetId="16">PKA!#REF!</definedName>
    <definedName name="外部資料_410" localSheetId="17">PKB!#REF!</definedName>
    <definedName name="外部資料_410" localSheetId="18">PKC!#REF!</definedName>
    <definedName name="外部資料_410" localSheetId="4">公司債!#REF!</definedName>
    <definedName name="外部資料_410" localSheetId="14">評比系統!$T$1:$T$3</definedName>
    <definedName name="外部資料_4100" localSheetId="1">紅綠燈!#REF!</definedName>
    <definedName name="外部資料_4101" localSheetId="1">紅綠燈!#REF!</definedName>
    <definedName name="外部資料_4103" localSheetId="1">紅綠燈!#REF!</definedName>
    <definedName name="外部資料_4104" localSheetId="1">紅綠燈!#REF!</definedName>
    <definedName name="外部資料_4105" localSheetId="1">紅綠燈!#REF!</definedName>
    <definedName name="外部資料_4107" localSheetId="1">紅綠燈!#REF!</definedName>
    <definedName name="外部資料_4108" localSheetId="1">紅綠燈!#REF!</definedName>
    <definedName name="外部資料_4109" localSheetId="1">紅綠燈!#REF!</definedName>
    <definedName name="外部資料_411" localSheetId="16">PKA!#REF!</definedName>
    <definedName name="外部資料_411" localSheetId="17">PKB!#REF!</definedName>
    <definedName name="外部資料_411" localSheetId="18">PKC!#REF!</definedName>
    <definedName name="外部資料_411" localSheetId="4">公司債!#REF!</definedName>
    <definedName name="外部資料_411" localSheetId="14">評比系統!$T$1:$T$3</definedName>
    <definedName name="外部資料_4111" localSheetId="1">紅綠燈!#REF!</definedName>
    <definedName name="外部資料_4112" localSheetId="1">紅綠燈!#REF!</definedName>
    <definedName name="外部資料_4114" localSheetId="1">紅綠燈!#REF!</definedName>
    <definedName name="外部資料_4115" localSheetId="1">紅綠燈!#REF!</definedName>
    <definedName name="外部資料_4117" localSheetId="1">紅綠燈!#REF!</definedName>
    <definedName name="外部資料_4118" localSheetId="1">紅綠燈!#REF!</definedName>
    <definedName name="外部資料_4119" localSheetId="1">紅綠燈!#REF!</definedName>
    <definedName name="外部資料_412" localSheetId="16">PKA!#REF!</definedName>
    <definedName name="外部資料_412" localSheetId="17">PKB!#REF!</definedName>
    <definedName name="外部資料_412" localSheetId="18">PKC!#REF!</definedName>
    <definedName name="外部資料_412" localSheetId="4">公司債!#REF!</definedName>
    <definedName name="外部資料_412" localSheetId="14">評比系統!$T$1:$T$3</definedName>
    <definedName name="外部資料_4121" localSheetId="1">紅綠燈!#REF!</definedName>
    <definedName name="外部資料_4122" localSheetId="1">紅綠燈!#REF!</definedName>
    <definedName name="外部資料_4123" localSheetId="1">紅綠燈!#REF!</definedName>
    <definedName name="外部資料_4125" localSheetId="1">紅綠燈!#REF!</definedName>
    <definedName name="外部資料_4126" localSheetId="1">紅綠燈!#REF!</definedName>
    <definedName name="外部資料_4127" localSheetId="1">紅綠燈!#REF!</definedName>
    <definedName name="外部資料_4129" localSheetId="1">紅綠燈!#REF!</definedName>
    <definedName name="外部資料_413" localSheetId="16">PKA!#REF!</definedName>
    <definedName name="外部資料_413" localSheetId="17">PKB!#REF!</definedName>
    <definedName name="外部資料_413" localSheetId="18">PKC!#REF!</definedName>
    <definedName name="外部資料_413" localSheetId="4">公司債!#REF!</definedName>
    <definedName name="外部資料_413" localSheetId="14">評比系統!$T$1:$T$3</definedName>
    <definedName name="外部資料_4130" localSheetId="1">紅綠燈!#REF!</definedName>
    <definedName name="外部資料_4131" localSheetId="1">紅綠燈!#REF!</definedName>
    <definedName name="外部資料_4133" localSheetId="1">紅綠燈!#REF!</definedName>
    <definedName name="外部資料_4134" localSheetId="1">紅綠燈!#REF!</definedName>
    <definedName name="外部資料_4135" localSheetId="1">紅綠燈!#REF!</definedName>
    <definedName name="外部資料_4137" localSheetId="1">紅綠燈!#REF!</definedName>
    <definedName name="外部資料_4138" localSheetId="1">紅綠燈!#REF!</definedName>
    <definedName name="外部資料_4139" localSheetId="1">紅綠燈!#REF!</definedName>
    <definedName name="外部資料_414" localSheetId="16">PKA!#REF!</definedName>
    <definedName name="外部資料_414" localSheetId="17">PKB!#REF!</definedName>
    <definedName name="外部資料_414" localSheetId="18">PKC!#REF!</definedName>
    <definedName name="外部資料_414" localSheetId="4">公司債!#REF!</definedName>
    <definedName name="外部資料_414" localSheetId="14">評比系統!$T$1:$T$3</definedName>
    <definedName name="外部資料_4141" localSheetId="1">紅綠燈!#REF!</definedName>
    <definedName name="外部資料_4142" localSheetId="1">紅綠燈!#REF!</definedName>
    <definedName name="外部資料_4143" localSheetId="1">紅綠燈!#REF!</definedName>
    <definedName name="外部資料_4145" localSheetId="1">紅綠燈!#REF!</definedName>
    <definedName name="外部資料_4146" localSheetId="1">紅綠燈!#REF!</definedName>
    <definedName name="外部資料_4147" localSheetId="1">紅綠燈!#REF!</definedName>
    <definedName name="外部資料_4149" localSheetId="1">紅綠燈!#REF!</definedName>
    <definedName name="外部資料_415" localSheetId="16">PKA!#REF!</definedName>
    <definedName name="外部資料_415" localSheetId="17">PKB!#REF!</definedName>
    <definedName name="外部資料_415" localSheetId="18">PKC!#REF!</definedName>
    <definedName name="外部資料_415" localSheetId="4">公司債!#REF!</definedName>
    <definedName name="外部資料_415" localSheetId="14">評比系統!$T$1:$T$3</definedName>
    <definedName name="外部資料_4150" localSheetId="1">紅綠燈!#REF!</definedName>
    <definedName name="外部資料_4151" localSheetId="1">紅綠燈!#REF!</definedName>
    <definedName name="外部資料_4153" localSheetId="1">紅綠燈!#REF!</definedName>
    <definedName name="外部資料_4154" localSheetId="1">紅綠燈!#REF!</definedName>
    <definedName name="外部資料_4155" localSheetId="1">紅綠燈!#REF!</definedName>
    <definedName name="外部資料_4157" localSheetId="1">紅綠燈!#REF!</definedName>
    <definedName name="外部資料_4158" localSheetId="1">紅綠燈!#REF!</definedName>
    <definedName name="外部資料_4159" localSheetId="1">紅綠燈!#REF!</definedName>
    <definedName name="外部資料_416" localSheetId="16">PKA!#REF!</definedName>
    <definedName name="外部資料_416" localSheetId="17">PKB!#REF!</definedName>
    <definedName name="外部資料_416" localSheetId="18">PKC!#REF!</definedName>
    <definedName name="外部資料_416" localSheetId="4">公司債!#REF!</definedName>
    <definedName name="外部資料_416" localSheetId="14">評比系統!$T$1:$T$3</definedName>
    <definedName name="外部資料_4161" localSheetId="1">紅綠燈!#REF!</definedName>
    <definedName name="外部資料_4162" localSheetId="1">紅綠燈!#REF!</definedName>
    <definedName name="外部資料_4163" localSheetId="1">紅綠燈!#REF!</definedName>
    <definedName name="外部資料_4165" localSheetId="1">紅綠燈!#REF!</definedName>
    <definedName name="外部資料_4166" localSheetId="1">紅綠燈!#REF!</definedName>
    <definedName name="外部資料_4167" localSheetId="1">紅綠燈!#REF!</definedName>
    <definedName name="外部資料_4169" localSheetId="1">紅綠燈!#REF!</definedName>
    <definedName name="外部資料_417" localSheetId="16">PKA!#REF!</definedName>
    <definedName name="外部資料_417" localSheetId="17">PKB!#REF!</definedName>
    <definedName name="外部資料_417" localSheetId="18">PKC!#REF!</definedName>
    <definedName name="外部資料_417" localSheetId="4">公司債!#REF!</definedName>
    <definedName name="外部資料_417" localSheetId="14">評比系統!$T$1:$T$3</definedName>
    <definedName name="外部資料_4170" localSheetId="1">紅綠燈!#REF!</definedName>
    <definedName name="外部資料_4171" localSheetId="1">紅綠燈!#REF!</definedName>
    <definedName name="外部資料_4173" localSheetId="1">紅綠燈!#REF!</definedName>
    <definedName name="外部資料_4174" localSheetId="1">紅綠燈!#REF!</definedName>
    <definedName name="外部資料_4175" localSheetId="1">紅綠燈!#REF!</definedName>
    <definedName name="外部資料_4177" localSheetId="1">紅綠燈!#REF!</definedName>
    <definedName name="外部資料_4178" localSheetId="1">紅綠燈!#REF!</definedName>
    <definedName name="外部資料_4179" localSheetId="1">紅綠燈!#REF!</definedName>
    <definedName name="外部資料_418" localSheetId="16">PKA!#REF!</definedName>
    <definedName name="外部資料_418" localSheetId="17">PKB!#REF!</definedName>
    <definedName name="外部資料_418" localSheetId="18">PKC!#REF!</definedName>
    <definedName name="外部資料_418" localSheetId="4">公司債!#REF!</definedName>
    <definedName name="外部資料_418" localSheetId="14">評比系統!$T$1:$T$3</definedName>
    <definedName name="外部資料_4181" localSheetId="1">紅綠燈!#REF!</definedName>
    <definedName name="外部資料_4182" localSheetId="1">紅綠燈!#REF!</definedName>
    <definedName name="外部資料_4183" localSheetId="1">紅綠燈!#REF!</definedName>
    <definedName name="外部資料_4185" localSheetId="1">紅綠燈!#REF!</definedName>
    <definedName name="外部資料_4186" localSheetId="1">紅綠燈!#REF!</definedName>
    <definedName name="外部資料_4187" localSheetId="1">紅綠燈!#REF!</definedName>
    <definedName name="外部資料_4189" localSheetId="1">紅綠燈!#REF!</definedName>
    <definedName name="外部資料_419" localSheetId="16">PKA!#REF!</definedName>
    <definedName name="外部資料_419" localSheetId="17">PKB!#REF!</definedName>
    <definedName name="外部資料_419" localSheetId="18">PKC!#REF!</definedName>
    <definedName name="外部資料_419" localSheetId="4">公司債!#REF!</definedName>
    <definedName name="外部資料_419" localSheetId="14">評比系統!$T$1:$T$3</definedName>
    <definedName name="外部資料_4190" localSheetId="1">紅綠燈!#REF!</definedName>
    <definedName name="外部資料_4191" localSheetId="1">紅綠燈!#REF!</definedName>
    <definedName name="外部資料_4193" localSheetId="1">紅綠燈!#REF!</definedName>
    <definedName name="外部資料_4194" localSheetId="1">紅綠燈!#REF!</definedName>
    <definedName name="外部資料_4195" localSheetId="1">紅綠燈!#REF!</definedName>
    <definedName name="外部資料_4197" localSheetId="1">紅綠燈!#REF!</definedName>
    <definedName name="外部資料_4198" localSheetId="1">紅綠燈!#REF!</definedName>
    <definedName name="外部資料_4199" localSheetId="1">紅綠燈!#REF!</definedName>
    <definedName name="外部資料_42" localSheetId="16">PKA!#REF!</definedName>
    <definedName name="外部資料_42" localSheetId="17">PKB!#REF!</definedName>
    <definedName name="外部資料_42" localSheetId="18">PKC!#REF!</definedName>
    <definedName name="外部資料_42" localSheetId="9">PSR!#REF!</definedName>
    <definedName name="外部資料_42" localSheetId="4">公司債!#REF!</definedName>
    <definedName name="外部資料_42" localSheetId="1">紅綠燈!#REF!</definedName>
    <definedName name="外部資料_42" localSheetId="14">評比系統!#REF!</definedName>
    <definedName name="外部資料_42" localSheetId="5">篩股系統!#REF!</definedName>
    <definedName name="外部資料_42" localSheetId="7">營收搶先報!#REF!</definedName>
    <definedName name="外部資料_420" localSheetId="16">PKA!#REF!</definedName>
    <definedName name="外部資料_420" localSheetId="17">PKB!#REF!</definedName>
    <definedName name="外部資料_420" localSheetId="18">PKC!#REF!</definedName>
    <definedName name="外部資料_420" localSheetId="4">公司債!#REF!</definedName>
    <definedName name="外部資料_420" localSheetId="14">評比系統!$T$1:$T$3</definedName>
    <definedName name="外部資料_4201" localSheetId="1">紅綠燈!#REF!</definedName>
    <definedName name="外部資料_4202" localSheetId="1">紅綠燈!#REF!</definedName>
    <definedName name="外部資料_4203" localSheetId="1">紅綠燈!#REF!</definedName>
    <definedName name="外部資料_4205" localSheetId="1">紅綠燈!#REF!</definedName>
    <definedName name="外部資料_4206" localSheetId="1">紅綠燈!#REF!</definedName>
    <definedName name="外部資料_4207" localSheetId="1">紅綠燈!#REF!</definedName>
    <definedName name="外部資料_4209" localSheetId="1">紅綠燈!#REF!</definedName>
    <definedName name="外部資料_421" localSheetId="16">PKA!#REF!</definedName>
    <definedName name="外部資料_421" localSheetId="17">PKB!#REF!</definedName>
    <definedName name="外部資料_421" localSheetId="18">PKC!#REF!</definedName>
    <definedName name="外部資料_421" localSheetId="4">公司債!#REF!</definedName>
    <definedName name="外部資料_421" localSheetId="14">評比系統!$T$1:$T$3</definedName>
    <definedName name="外部資料_4210" localSheetId="1">紅綠燈!#REF!</definedName>
    <definedName name="外部資料_4211" localSheetId="1">紅綠燈!#REF!</definedName>
    <definedName name="外部資料_4213" localSheetId="1">紅綠燈!#REF!</definedName>
    <definedName name="外部資料_4214" localSheetId="1">紅綠燈!#REF!</definedName>
    <definedName name="外部資料_4215" localSheetId="1">紅綠燈!#REF!</definedName>
    <definedName name="外部資料_4217" localSheetId="1">紅綠燈!#REF!</definedName>
    <definedName name="外部資料_4218" localSheetId="1">紅綠燈!#REF!</definedName>
    <definedName name="外部資料_4219" localSheetId="1">紅綠燈!#REF!</definedName>
    <definedName name="外部資料_422" localSheetId="16">PKA!#REF!</definedName>
    <definedName name="外部資料_422" localSheetId="17">PKB!#REF!</definedName>
    <definedName name="外部資料_422" localSheetId="18">PKC!#REF!</definedName>
    <definedName name="外部資料_422" localSheetId="4">公司債!#REF!</definedName>
    <definedName name="外部資料_422" localSheetId="14">評比系統!$T$1:$T$3</definedName>
    <definedName name="外部資料_4221" localSheetId="1">紅綠燈!#REF!</definedName>
    <definedName name="外部資料_4222" localSheetId="1">紅綠燈!#REF!</definedName>
    <definedName name="外部資料_4223" localSheetId="1">紅綠燈!#REF!</definedName>
    <definedName name="外部資料_4225" localSheetId="1">紅綠燈!#REF!</definedName>
    <definedName name="外部資料_4226" localSheetId="1">紅綠燈!#REF!</definedName>
    <definedName name="外部資料_4227" localSheetId="1">紅綠燈!#REF!</definedName>
    <definedName name="外部資料_4229" localSheetId="1">紅綠燈!#REF!</definedName>
    <definedName name="外部資料_423" localSheetId="16">PKA!#REF!</definedName>
    <definedName name="外部資料_423" localSheetId="17">PKB!#REF!</definedName>
    <definedName name="外部資料_423" localSheetId="18">PKC!#REF!</definedName>
    <definedName name="外部資料_423" localSheetId="4">公司債!#REF!</definedName>
    <definedName name="外部資料_423" localSheetId="14">評比系統!$T$1:$T$3</definedName>
    <definedName name="外部資料_4230" localSheetId="1">紅綠燈!#REF!</definedName>
    <definedName name="外部資料_4231" localSheetId="1">紅綠燈!#REF!</definedName>
    <definedName name="外部資料_4233" localSheetId="1">紅綠燈!#REF!</definedName>
    <definedName name="外部資料_4234" localSheetId="1">紅綠燈!#REF!</definedName>
    <definedName name="外部資料_4235" localSheetId="1">紅綠燈!#REF!</definedName>
    <definedName name="外部資料_4237" localSheetId="1">紅綠燈!#REF!</definedName>
    <definedName name="外部資料_4238" localSheetId="1">紅綠燈!#REF!</definedName>
    <definedName name="外部資料_4239" localSheetId="1">紅綠燈!#REF!</definedName>
    <definedName name="外部資料_424" localSheetId="16">PKA!#REF!</definedName>
    <definedName name="外部資料_424" localSheetId="17">PKB!#REF!</definedName>
    <definedName name="外部資料_424" localSheetId="18">PKC!#REF!</definedName>
    <definedName name="外部資料_424" localSheetId="4">公司債!#REF!</definedName>
    <definedName name="外部資料_424" localSheetId="14">評比系統!$T$1:$T$3</definedName>
    <definedName name="外部資料_4241" localSheetId="1">紅綠燈!#REF!</definedName>
    <definedName name="外部資料_4242" localSheetId="1">紅綠燈!#REF!</definedName>
    <definedName name="外部資料_4243" localSheetId="1">紅綠燈!#REF!</definedName>
    <definedName name="外部資料_4245" localSheetId="1">紅綠燈!#REF!</definedName>
    <definedName name="外部資料_4246" localSheetId="1">紅綠燈!#REF!</definedName>
    <definedName name="外部資料_4247" localSheetId="1">紅綠燈!#REF!</definedName>
    <definedName name="外部資料_4249" localSheetId="1">紅綠燈!#REF!</definedName>
    <definedName name="外部資料_425" localSheetId="16">PKA!#REF!</definedName>
    <definedName name="外部資料_425" localSheetId="17">PKB!#REF!</definedName>
    <definedName name="外部資料_425" localSheetId="18">PKC!#REF!</definedName>
    <definedName name="外部資料_425" localSheetId="4">公司債!#REF!</definedName>
    <definedName name="外部資料_425" localSheetId="14">評比系統!$T$1:$T$3</definedName>
    <definedName name="外部資料_4250" localSheetId="1">紅綠燈!#REF!</definedName>
    <definedName name="外部資料_4251" localSheetId="1">紅綠燈!#REF!</definedName>
    <definedName name="外部資料_4253" localSheetId="1">紅綠燈!#REF!</definedName>
    <definedName name="外部資料_4254" localSheetId="1">紅綠燈!#REF!</definedName>
    <definedName name="外部資料_4255" localSheetId="1">紅綠燈!#REF!</definedName>
    <definedName name="外部資料_4257" localSheetId="1">紅綠燈!#REF!</definedName>
    <definedName name="外部資料_4258" localSheetId="1">紅綠燈!#REF!</definedName>
    <definedName name="外部資料_4259" localSheetId="1">紅綠燈!#REF!</definedName>
    <definedName name="外部資料_426" localSheetId="16">PKA!#REF!</definedName>
    <definedName name="外部資料_426" localSheetId="17">PKB!#REF!</definedName>
    <definedName name="外部資料_426" localSheetId="18">PKC!#REF!</definedName>
    <definedName name="外部資料_426" localSheetId="4">公司債!#REF!</definedName>
    <definedName name="外部資料_426" localSheetId="14">評比系統!$T$1:$T$3</definedName>
    <definedName name="外部資料_4261" localSheetId="1">紅綠燈!#REF!</definedName>
    <definedName name="外部資料_4262" localSheetId="1">紅綠燈!#REF!</definedName>
    <definedName name="外部資料_4263" localSheetId="1">紅綠燈!#REF!</definedName>
    <definedName name="外部資料_4265" localSheetId="1">紅綠燈!#REF!</definedName>
    <definedName name="外部資料_4266" localSheetId="1">紅綠燈!#REF!</definedName>
    <definedName name="外部資料_4267" localSheetId="1">紅綠燈!#REF!</definedName>
    <definedName name="外部資料_4269" localSheetId="1">紅綠燈!#REF!</definedName>
    <definedName name="外部資料_427" localSheetId="16">PKA!#REF!</definedName>
    <definedName name="外部資料_427" localSheetId="17">PKB!#REF!</definedName>
    <definedName name="外部資料_427" localSheetId="18">PKC!#REF!</definedName>
    <definedName name="外部資料_427" localSheetId="4">公司債!#REF!</definedName>
    <definedName name="外部資料_427" localSheetId="14">評比系統!$T$1:$T$3</definedName>
    <definedName name="外部資料_4270" localSheetId="1">紅綠燈!#REF!</definedName>
    <definedName name="外部資料_4271" localSheetId="1">紅綠燈!#REF!</definedName>
    <definedName name="外部資料_4273" localSheetId="1">紅綠燈!#REF!</definedName>
    <definedName name="外部資料_4274" localSheetId="1">紅綠燈!#REF!</definedName>
    <definedName name="外部資料_4275" localSheetId="1">紅綠燈!#REF!</definedName>
    <definedName name="外部資料_4277" localSheetId="1">紅綠燈!#REF!</definedName>
    <definedName name="外部資料_4278" localSheetId="1">紅綠燈!#REF!</definedName>
    <definedName name="外部資料_4279" localSheetId="1">紅綠燈!#REF!</definedName>
    <definedName name="外部資料_428" localSheetId="16">PKA!#REF!</definedName>
    <definedName name="外部資料_428" localSheetId="17">PKB!#REF!</definedName>
    <definedName name="外部資料_428" localSheetId="18">PKC!#REF!</definedName>
    <definedName name="外部資料_428" localSheetId="4">公司債!#REF!</definedName>
    <definedName name="外部資料_428" localSheetId="14">評比系統!$T$1:$T$3</definedName>
    <definedName name="外部資料_4281" localSheetId="1">紅綠燈!#REF!</definedName>
    <definedName name="外部資料_4282" localSheetId="1">紅綠燈!#REF!</definedName>
    <definedName name="外部資料_4283" localSheetId="1">紅綠燈!#REF!</definedName>
    <definedName name="外部資料_4285" localSheetId="1">紅綠燈!#REF!</definedName>
    <definedName name="外部資料_4286" localSheetId="1">紅綠燈!#REF!</definedName>
    <definedName name="外部資料_4287" localSheetId="1">紅綠燈!#REF!</definedName>
    <definedName name="外部資料_4289" localSheetId="1">紅綠燈!#REF!</definedName>
    <definedName name="外部資料_429" localSheetId="16">PKA!#REF!</definedName>
    <definedName name="外部資料_429" localSheetId="17">PKB!#REF!</definedName>
    <definedName name="外部資料_429" localSheetId="18">PKC!#REF!</definedName>
    <definedName name="外部資料_429" localSheetId="4">公司債!#REF!</definedName>
    <definedName name="外部資料_429" localSheetId="14">評比系統!$T$1:$T$3</definedName>
    <definedName name="外部資料_4290" localSheetId="1">紅綠燈!#REF!</definedName>
    <definedName name="外部資料_4291" localSheetId="1">紅綠燈!#REF!</definedName>
    <definedName name="外部資料_4293" localSheetId="1">紅綠燈!#REF!</definedName>
    <definedName name="外部資料_4294" localSheetId="1">紅綠燈!#REF!</definedName>
    <definedName name="外部資料_4296" localSheetId="1">紅綠燈!#REF!</definedName>
    <definedName name="外部資料_4297" localSheetId="1">紅綠燈!#REF!</definedName>
    <definedName name="外部資料_4298" localSheetId="1">紅綠燈!#REF!</definedName>
    <definedName name="外部資料_43" localSheetId="16">PKA!#REF!</definedName>
    <definedName name="外部資料_43" localSheetId="17">PKB!#REF!</definedName>
    <definedName name="外部資料_43" localSheetId="18">PKC!#REF!</definedName>
    <definedName name="外部資料_43" localSheetId="9">PSR!#REF!</definedName>
    <definedName name="外部資料_43" localSheetId="4">公司債!#REF!</definedName>
    <definedName name="外部資料_43" localSheetId="14">評比系統!#REF!</definedName>
    <definedName name="外部資料_43" localSheetId="7">營收搶先報!#REF!</definedName>
    <definedName name="外部資料_430" localSheetId="16">PKA!#REF!</definedName>
    <definedName name="外部資料_430" localSheetId="17">PKB!#REF!</definedName>
    <definedName name="外部資料_430" localSheetId="18">PKC!#REF!</definedName>
    <definedName name="外部資料_430" localSheetId="4">公司債!#REF!</definedName>
    <definedName name="外部資料_430" localSheetId="14">評比系統!$T$1:$T$3</definedName>
    <definedName name="外部資料_4300" localSheetId="1">紅綠燈!#REF!</definedName>
    <definedName name="外部資料_4301" localSheetId="1">紅綠燈!#REF!</definedName>
    <definedName name="外部資料_4302" localSheetId="1">紅綠燈!#REF!</definedName>
    <definedName name="外部資料_4304" localSheetId="1">紅綠燈!#REF!</definedName>
    <definedName name="外部資料_4305" localSheetId="1">紅綠燈!#REF!</definedName>
    <definedName name="外部資料_4306" localSheetId="1">紅綠燈!#REF!</definedName>
    <definedName name="外部資料_4308" localSheetId="1">紅綠燈!#REF!</definedName>
    <definedName name="外部資料_4309" localSheetId="1">紅綠燈!#REF!</definedName>
    <definedName name="外部資料_431" localSheetId="16">PKA!#REF!</definedName>
    <definedName name="外部資料_431" localSheetId="17">PKB!#REF!</definedName>
    <definedName name="外部資料_431" localSheetId="18">PKC!#REF!</definedName>
    <definedName name="外部資料_431" localSheetId="4">公司債!#REF!</definedName>
    <definedName name="外部資料_431" localSheetId="14">評比系統!$T$1:$T$3</definedName>
    <definedName name="外部資料_4310" localSheetId="1">紅綠燈!#REF!</definedName>
    <definedName name="外部資料_4312" localSheetId="1">紅綠燈!#REF!</definedName>
    <definedName name="外部資料_4313" localSheetId="1">紅綠燈!#REF!</definedName>
    <definedName name="外部資料_4314" localSheetId="1">紅綠燈!#REF!</definedName>
    <definedName name="外部資料_4316" localSheetId="1">紅綠燈!#REF!</definedName>
    <definedName name="外部資料_4317" localSheetId="1">紅綠燈!#REF!</definedName>
    <definedName name="外部資料_4318" localSheetId="1">紅綠燈!#REF!</definedName>
    <definedName name="外部資料_432" localSheetId="16">PKA!#REF!</definedName>
    <definedName name="外部資料_432" localSheetId="17">PKB!#REF!</definedName>
    <definedName name="外部資料_432" localSheetId="18">PKC!#REF!</definedName>
    <definedName name="外部資料_432" localSheetId="4">公司債!#REF!</definedName>
    <definedName name="外部資料_432" localSheetId="14">評比系統!$T$1:$T$3</definedName>
    <definedName name="外部資料_4320" localSheetId="1">紅綠燈!#REF!</definedName>
    <definedName name="外部資料_4321" localSheetId="1">紅綠燈!#REF!</definedName>
    <definedName name="外部資料_4322" localSheetId="1">紅綠燈!#REF!</definedName>
    <definedName name="外部資料_4324" localSheetId="1">紅綠燈!#REF!</definedName>
    <definedName name="外部資料_4325" localSheetId="1">紅綠燈!#REF!</definedName>
    <definedName name="外部資料_4326" localSheetId="1">紅綠燈!#REF!</definedName>
    <definedName name="外部資料_4328" localSheetId="1">紅綠燈!#REF!</definedName>
    <definedName name="外部資料_4329" localSheetId="1">紅綠燈!#REF!</definedName>
    <definedName name="外部資料_433" localSheetId="16">PKA!#REF!</definedName>
    <definedName name="外部資料_433" localSheetId="17">PKB!#REF!</definedName>
    <definedName name="外部資料_433" localSheetId="18">PKC!#REF!</definedName>
    <definedName name="外部資料_433" localSheetId="4">公司債!#REF!</definedName>
    <definedName name="外部資料_433" localSheetId="14">評比系統!$T$1:$T$3</definedName>
    <definedName name="外部資料_4330" localSheetId="1">紅綠燈!#REF!</definedName>
    <definedName name="外部資料_4332" localSheetId="1">紅綠燈!#REF!</definedName>
    <definedName name="外部資料_4333" localSheetId="1">紅綠燈!#REF!</definedName>
    <definedName name="外部資料_4334" localSheetId="1">紅綠燈!#REF!</definedName>
    <definedName name="外部資料_4336" localSheetId="1">紅綠燈!#REF!</definedName>
    <definedName name="外部資料_4337" localSheetId="1">紅綠燈!#REF!</definedName>
    <definedName name="外部資料_4338" localSheetId="1">紅綠燈!#REF!</definedName>
    <definedName name="外部資料_434" localSheetId="16">PKA!#REF!</definedName>
    <definedName name="外部資料_434" localSheetId="17">PKB!#REF!</definedName>
    <definedName name="外部資料_434" localSheetId="18">PKC!#REF!</definedName>
    <definedName name="外部資料_434" localSheetId="4">公司債!#REF!</definedName>
    <definedName name="外部資料_434" localSheetId="14">評比系統!$T$1:$T$3</definedName>
    <definedName name="外部資料_4340" localSheetId="1">紅綠燈!#REF!</definedName>
    <definedName name="外部資料_4341" localSheetId="1">紅綠燈!#REF!</definedName>
    <definedName name="外部資料_4342" localSheetId="1">紅綠燈!#REF!</definedName>
    <definedName name="外部資料_4344" localSheetId="1">紅綠燈!#REF!</definedName>
    <definedName name="外部資料_4345" localSheetId="1">紅綠燈!#REF!</definedName>
    <definedName name="外部資料_4346" localSheetId="1">紅綠燈!#REF!</definedName>
    <definedName name="外部資料_4348" localSheetId="1">紅綠燈!#REF!</definedName>
    <definedName name="外部資料_4349" localSheetId="1">紅綠燈!#REF!</definedName>
    <definedName name="外部資料_435" localSheetId="16">PKA!#REF!</definedName>
    <definedName name="外部資料_435" localSheetId="17">PKB!#REF!</definedName>
    <definedName name="外部資料_435" localSheetId="18">PKC!#REF!</definedName>
    <definedName name="外部資料_435" localSheetId="4">公司債!#REF!</definedName>
    <definedName name="外部資料_435" localSheetId="14">評比系統!$T$1:$T$3</definedName>
    <definedName name="外部資料_4350" localSheetId="1">紅綠燈!#REF!</definedName>
    <definedName name="外部資料_4352" localSheetId="1">紅綠燈!#REF!</definedName>
    <definedName name="外部資料_4353" localSheetId="1">紅綠燈!#REF!</definedName>
    <definedName name="外部資料_4354" localSheetId="1">紅綠燈!#REF!</definedName>
    <definedName name="外部資料_4356" localSheetId="1">紅綠燈!#REF!</definedName>
    <definedName name="外部資料_4357" localSheetId="1">紅綠燈!#REF!</definedName>
    <definedName name="外部資料_4358" localSheetId="1">紅綠燈!#REF!</definedName>
    <definedName name="外部資料_436" localSheetId="16">PKA!#REF!</definedName>
    <definedName name="外部資料_436" localSheetId="17">PKB!#REF!</definedName>
    <definedName name="外部資料_436" localSheetId="18">PKC!#REF!</definedName>
    <definedName name="外部資料_436" localSheetId="4">公司債!#REF!</definedName>
    <definedName name="外部資料_436" localSheetId="14">評比系統!$T$1:$T$3</definedName>
    <definedName name="外部資料_4360" localSheetId="1">紅綠燈!#REF!</definedName>
    <definedName name="外部資料_4361" localSheetId="1">紅綠燈!#REF!</definedName>
    <definedName name="外部資料_4362" localSheetId="1">紅綠燈!#REF!</definedName>
    <definedName name="外部資料_4364" localSheetId="1">紅綠燈!#REF!</definedName>
    <definedName name="外部資料_4365" localSheetId="1">紅綠燈!#REF!</definedName>
    <definedName name="外部資料_4366" localSheetId="1">紅綠燈!#REF!</definedName>
    <definedName name="外部資料_4368" localSheetId="1">紅綠燈!#REF!</definedName>
    <definedName name="外部資料_4369" localSheetId="1">紅綠燈!#REF!</definedName>
    <definedName name="外部資料_437" localSheetId="16">PKA!#REF!</definedName>
    <definedName name="外部資料_437" localSheetId="17">PKB!#REF!</definedName>
    <definedName name="外部資料_437" localSheetId="18">PKC!#REF!</definedName>
    <definedName name="外部資料_437" localSheetId="4">公司債!#REF!</definedName>
    <definedName name="外部資料_437" localSheetId="14">評比系統!$T$1:$T$3</definedName>
    <definedName name="外部資料_4370" localSheetId="1">紅綠燈!#REF!</definedName>
    <definedName name="外部資料_4372" localSheetId="1">紅綠燈!#REF!</definedName>
    <definedName name="外部資料_4373" localSheetId="1">紅綠燈!#REF!</definedName>
    <definedName name="外部資料_4374" localSheetId="1">紅綠燈!#REF!</definedName>
    <definedName name="外部資料_4376" localSheetId="1">紅綠燈!#REF!</definedName>
    <definedName name="外部資料_4377" localSheetId="1">紅綠燈!#REF!</definedName>
    <definedName name="外部資料_4378" localSheetId="1">紅綠燈!#REF!</definedName>
    <definedName name="外部資料_438" localSheetId="16">PKA!#REF!</definedName>
    <definedName name="外部資料_438" localSheetId="17">PKB!#REF!</definedName>
    <definedName name="外部資料_438" localSheetId="18">PKC!#REF!</definedName>
    <definedName name="外部資料_438" localSheetId="4">公司債!#REF!</definedName>
    <definedName name="外部資料_438" localSheetId="14">評比系統!$T$1:$T$3</definedName>
    <definedName name="外部資料_4380" localSheetId="1">紅綠燈!#REF!</definedName>
    <definedName name="外部資料_4381" localSheetId="1">紅綠燈!#REF!</definedName>
    <definedName name="外部資料_4382" localSheetId="1">紅綠燈!#REF!</definedName>
    <definedName name="外部資料_4384" localSheetId="1">紅綠燈!#REF!</definedName>
    <definedName name="外部資料_4385" localSheetId="1">紅綠燈!#REF!</definedName>
    <definedName name="外部資料_4386" localSheetId="1">紅綠燈!#REF!</definedName>
    <definedName name="外部資料_4388" localSheetId="1">紅綠燈!#REF!</definedName>
    <definedName name="外部資料_4389" localSheetId="1">紅綠燈!#REF!</definedName>
    <definedName name="外部資料_439" localSheetId="16">PKA!#REF!</definedName>
    <definedName name="外部資料_439" localSheetId="17">PKB!#REF!</definedName>
    <definedName name="外部資料_439" localSheetId="18">PKC!#REF!</definedName>
    <definedName name="外部資料_439" localSheetId="4">公司債!#REF!</definedName>
    <definedName name="外部資料_439" localSheetId="14">評比系統!$T$1:$T$3</definedName>
    <definedName name="外部資料_4390" localSheetId="1">紅綠燈!#REF!</definedName>
    <definedName name="外部資料_4392" localSheetId="1">紅綠燈!#REF!</definedName>
    <definedName name="外部資料_4393" localSheetId="1">紅綠燈!#REF!</definedName>
    <definedName name="外部資料_4394" localSheetId="1">紅綠燈!#REF!</definedName>
    <definedName name="外部資料_4396" localSheetId="1">紅綠燈!#REF!</definedName>
    <definedName name="外部資料_4397" localSheetId="1">紅綠燈!#REF!</definedName>
    <definedName name="外部資料_4398" localSheetId="1">紅綠燈!#REF!</definedName>
    <definedName name="外部資料_44" localSheetId="16">PKA!#REF!</definedName>
    <definedName name="外部資料_44" localSheetId="17">PKB!#REF!</definedName>
    <definedName name="外部資料_44" localSheetId="18">PKC!#REF!</definedName>
    <definedName name="外部資料_44" localSheetId="9">PSR!#REF!</definedName>
    <definedName name="外部資料_44" localSheetId="4">公司債!#REF!</definedName>
    <definedName name="外部資料_44" localSheetId="14">評比系統!#REF!</definedName>
    <definedName name="外部資料_44" localSheetId="7">營收搶先報!#REF!</definedName>
    <definedName name="外部資料_440" localSheetId="16">PKA!#REF!</definedName>
    <definedName name="外部資料_440" localSheetId="17">PKB!#REF!</definedName>
    <definedName name="外部資料_440" localSheetId="18">PKC!#REF!</definedName>
    <definedName name="外部資料_440" localSheetId="4">公司債!#REF!</definedName>
    <definedName name="外部資料_440" localSheetId="14">評比系統!$T$1:$T$3</definedName>
    <definedName name="外部資料_4400" localSheetId="1">紅綠燈!#REF!</definedName>
    <definedName name="外部資料_4401" localSheetId="1">紅綠燈!#REF!</definedName>
    <definedName name="外部資料_4402" localSheetId="1">紅綠燈!#REF!</definedName>
    <definedName name="外部資料_4404" localSheetId="1">紅綠燈!#REF!</definedName>
    <definedName name="外部資料_4405" localSheetId="1">紅綠燈!#REF!</definedName>
    <definedName name="外部資料_4406" localSheetId="1">紅綠燈!#REF!</definedName>
    <definedName name="外部資料_4408" localSheetId="1">紅綠燈!#REF!</definedName>
    <definedName name="外部資料_4409" localSheetId="1">紅綠燈!#REF!</definedName>
    <definedName name="外部資料_441" localSheetId="16">PKA!#REF!</definedName>
    <definedName name="外部資料_441" localSheetId="17">PKB!#REF!</definedName>
    <definedName name="外部資料_441" localSheetId="18">PKC!#REF!</definedName>
    <definedName name="外部資料_441" localSheetId="4">公司債!#REF!</definedName>
    <definedName name="外部資料_441" localSheetId="14">評比系統!$T$1:$T$3</definedName>
    <definedName name="外部資料_4410" localSheetId="1">紅綠燈!#REF!</definedName>
    <definedName name="外部資料_4412" localSheetId="1">紅綠燈!#REF!</definedName>
    <definedName name="外部資料_4413" localSheetId="1">紅綠燈!#REF!</definedName>
    <definedName name="外部資料_4414" localSheetId="1">紅綠燈!#REF!</definedName>
    <definedName name="外部資料_4416" localSheetId="1">紅綠燈!#REF!</definedName>
    <definedName name="外部資料_4417" localSheetId="1">紅綠燈!#REF!</definedName>
    <definedName name="外部資料_4418" localSheetId="1">紅綠燈!#REF!</definedName>
    <definedName name="外部資料_442" localSheetId="16">PKA!#REF!</definedName>
    <definedName name="外部資料_442" localSheetId="17">PKB!#REF!</definedName>
    <definedName name="外部資料_442" localSheetId="18">PKC!#REF!</definedName>
    <definedName name="外部資料_442" localSheetId="4">公司債!#REF!</definedName>
    <definedName name="外部資料_442" localSheetId="14">評比系統!$T$1:$T$3</definedName>
    <definedName name="外部資料_4420" localSheetId="1">紅綠燈!#REF!</definedName>
    <definedName name="外部資料_4421" localSheetId="1">紅綠燈!#REF!</definedName>
    <definedName name="外部資料_4422" localSheetId="1">紅綠燈!#REF!</definedName>
    <definedName name="外部資料_4424" localSheetId="1">紅綠燈!#REF!</definedName>
    <definedName name="外部資料_4425" localSheetId="1">紅綠燈!#REF!</definedName>
    <definedName name="外部資料_4426" localSheetId="1">紅綠燈!#REF!</definedName>
    <definedName name="外部資料_4428" localSheetId="1">紅綠燈!#REF!</definedName>
    <definedName name="外部資料_4429" localSheetId="1">紅綠燈!#REF!</definedName>
    <definedName name="外部資料_443" localSheetId="16">PKA!#REF!</definedName>
    <definedName name="外部資料_443" localSheetId="17">PKB!#REF!</definedName>
    <definedName name="外部資料_443" localSheetId="18">PKC!#REF!</definedName>
    <definedName name="外部資料_443" localSheetId="4">公司債!#REF!</definedName>
    <definedName name="外部資料_443" localSheetId="14">評比系統!$T$1:$T$3</definedName>
    <definedName name="外部資料_4430" localSheetId="1">紅綠燈!#REF!</definedName>
    <definedName name="外部資料_4432" localSheetId="1">紅綠燈!#REF!</definedName>
    <definedName name="外部資料_4433" localSheetId="1">紅綠燈!#REF!</definedName>
    <definedName name="外部資料_4435" localSheetId="1">紅綠燈!#REF!</definedName>
    <definedName name="外部資料_4436" localSheetId="1">紅綠燈!#REF!</definedName>
    <definedName name="外部資料_4437" localSheetId="1">紅綠燈!#REF!</definedName>
    <definedName name="外部資料_4439" localSheetId="1">紅綠燈!#REF!</definedName>
    <definedName name="外部資料_444" localSheetId="16">PKA!#REF!</definedName>
    <definedName name="外部資料_444" localSheetId="17">PKB!#REF!</definedName>
    <definedName name="外部資料_444" localSheetId="18">PKC!#REF!</definedName>
    <definedName name="外部資料_444" localSheetId="4">公司債!#REF!</definedName>
    <definedName name="外部資料_444" localSheetId="14">評比系統!$T$1:$T$3</definedName>
    <definedName name="外部資料_4440" localSheetId="1">紅綠燈!#REF!</definedName>
    <definedName name="外部資料_4441" localSheetId="1">紅綠燈!#REF!</definedName>
    <definedName name="外部資料_4443" localSheetId="1">紅綠燈!#REF!</definedName>
    <definedName name="外部資料_4444" localSheetId="1">紅綠燈!#REF!</definedName>
    <definedName name="外部資料_4445" localSheetId="1">紅綠燈!#REF!</definedName>
    <definedName name="外部資料_4447" localSheetId="1">紅綠燈!#REF!</definedName>
    <definedName name="外部資料_4448" localSheetId="1">紅綠燈!#REF!</definedName>
    <definedName name="外部資料_4449" localSheetId="1">紅綠燈!#REF!</definedName>
    <definedName name="外部資料_445" localSheetId="16">PKA!#REF!</definedName>
    <definedName name="外部資料_445" localSheetId="17">PKB!#REF!</definedName>
    <definedName name="外部資料_445" localSheetId="18">PKC!#REF!</definedName>
    <definedName name="外部資料_445" localSheetId="4">公司債!#REF!</definedName>
    <definedName name="外部資料_445" localSheetId="14">評比系統!$T$1:$T$3</definedName>
    <definedName name="外部資料_4451" localSheetId="1">紅綠燈!#REF!</definedName>
    <definedName name="外部資料_4452" localSheetId="1">紅綠燈!#REF!</definedName>
    <definedName name="外部資料_4453" localSheetId="1">紅綠燈!#REF!</definedName>
    <definedName name="外部資料_4455" localSheetId="1">紅綠燈!#REF!</definedName>
    <definedName name="外部資料_4456" localSheetId="1">紅綠燈!#REF!</definedName>
    <definedName name="外部資料_4457" localSheetId="1">紅綠燈!#REF!</definedName>
    <definedName name="外部資料_4459" localSheetId="1">紅綠燈!#REF!</definedName>
    <definedName name="外部資料_446" localSheetId="16">PKA!#REF!</definedName>
    <definedName name="外部資料_446" localSheetId="17">PKB!#REF!</definedName>
    <definedName name="外部資料_446" localSheetId="18">PKC!#REF!</definedName>
    <definedName name="外部資料_446" localSheetId="4">公司債!#REF!</definedName>
    <definedName name="外部資料_446" localSheetId="14">評比系統!$T$1:$T$3</definedName>
    <definedName name="外部資料_4460" localSheetId="1">紅綠燈!#REF!</definedName>
    <definedName name="外部資料_4461" localSheetId="1">紅綠燈!#REF!</definedName>
    <definedName name="外部資料_4463" localSheetId="1">紅綠燈!#REF!</definedName>
    <definedName name="外部資料_4464" localSheetId="1">紅綠燈!#REF!</definedName>
    <definedName name="外部資料_4465" localSheetId="1">紅綠燈!#REF!</definedName>
    <definedName name="外部資料_4467" localSheetId="1">紅綠燈!#REF!</definedName>
    <definedName name="外部資料_4468" localSheetId="1">紅綠燈!#REF!</definedName>
    <definedName name="外部資料_4469" localSheetId="1">紅綠燈!#REF!</definedName>
    <definedName name="外部資料_447" localSheetId="16">PKA!#REF!</definedName>
    <definedName name="外部資料_447" localSheetId="17">PKB!#REF!</definedName>
    <definedName name="外部資料_447" localSheetId="18">PKC!#REF!</definedName>
    <definedName name="外部資料_447" localSheetId="4">公司債!#REF!</definedName>
    <definedName name="外部資料_447" localSheetId="14">評比系統!$T$1:$T$3</definedName>
    <definedName name="外部資料_4471" localSheetId="1">紅綠燈!#REF!</definedName>
    <definedName name="外部資料_4472" localSheetId="1">紅綠燈!#REF!</definedName>
    <definedName name="外部資料_4473" localSheetId="1">紅綠燈!#REF!</definedName>
    <definedName name="外部資料_4475" localSheetId="1">紅綠燈!#REF!</definedName>
    <definedName name="外部資料_4476" localSheetId="1">紅綠燈!#REF!</definedName>
    <definedName name="外部資料_4478" localSheetId="1">紅綠燈!#REF!</definedName>
    <definedName name="外部資料_4479" localSheetId="1">紅綠燈!#REF!</definedName>
    <definedName name="外部資料_448" localSheetId="16">PKA!#REF!</definedName>
    <definedName name="外部資料_448" localSheetId="17">PKB!#REF!</definedName>
    <definedName name="外部資料_448" localSheetId="18">PKC!#REF!</definedName>
    <definedName name="外部資料_448" localSheetId="4">公司債!#REF!</definedName>
    <definedName name="外部資料_448" localSheetId="14">評比系統!$T$1:$T$3</definedName>
    <definedName name="外部資料_4480" localSheetId="1">紅綠燈!#REF!</definedName>
    <definedName name="外部資料_4482" localSheetId="1">紅綠燈!#REF!</definedName>
    <definedName name="外部資料_4483" localSheetId="1">紅綠燈!#REF!</definedName>
    <definedName name="外部資料_4484" localSheetId="1">紅綠燈!#REF!</definedName>
    <definedName name="外部資料_4486" localSheetId="1">紅綠燈!#REF!</definedName>
    <definedName name="外部資料_4487" localSheetId="1">紅綠燈!#REF!</definedName>
    <definedName name="外部資料_4488" localSheetId="1">紅綠燈!#REF!</definedName>
    <definedName name="外部資料_449" localSheetId="16">PKA!#REF!</definedName>
    <definedName name="外部資料_449" localSheetId="17">PKB!#REF!</definedName>
    <definedName name="外部資料_449" localSheetId="18">PKC!#REF!</definedName>
    <definedName name="外部資料_449" localSheetId="4">公司債!#REF!</definedName>
    <definedName name="外部資料_449" localSheetId="14">評比系統!$T$1:$T$3</definedName>
    <definedName name="外部資料_4490" localSheetId="1">紅綠燈!#REF!</definedName>
    <definedName name="外部資料_4491" localSheetId="1">紅綠燈!#REF!</definedName>
    <definedName name="外部資料_4492" localSheetId="1">紅綠燈!#REF!</definedName>
    <definedName name="外部資料_4494" localSheetId="1">紅綠燈!#REF!</definedName>
    <definedName name="外部資料_4495" localSheetId="1">紅綠燈!#REF!</definedName>
    <definedName name="外部資料_4496" localSheetId="1">紅綠燈!#REF!</definedName>
    <definedName name="外部資料_4498" localSheetId="1">紅綠燈!#REF!</definedName>
    <definedName name="外部資料_4499" localSheetId="1">紅綠燈!#REF!</definedName>
    <definedName name="外部資料_45" localSheetId="16">PKA!#REF!</definedName>
    <definedName name="外部資料_45" localSheetId="17">PKB!#REF!</definedName>
    <definedName name="外部資料_45" localSheetId="18">PKC!#REF!</definedName>
    <definedName name="外部資料_45" localSheetId="9">PSR!#REF!</definedName>
    <definedName name="外部資料_45" localSheetId="4">公司債!#REF!</definedName>
    <definedName name="外部資料_45" localSheetId="14">評比系統!#REF!</definedName>
    <definedName name="外部資料_45" localSheetId="7">營收搶先報!#REF!</definedName>
    <definedName name="外部資料_450" localSheetId="16">PKA!#REF!</definedName>
    <definedName name="外部資料_450" localSheetId="17">PKB!#REF!</definedName>
    <definedName name="外部資料_450" localSheetId="18">PKC!#REF!</definedName>
    <definedName name="外部資料_450" localSheetId="4">公司債!#REF!</definedName>
    <definedName name="外部資料_450" localSheetId="14">評比系統!$T$1:$T$3</definedName>
    <definedName name="外部資料_4500" localSheetId="1">紅綠燈!#REF!</definedName>
    <definedName name="外部資料_4502" localSheetId="1">紅綠燈!#REF!</definedName>
    <definedName name="外部資料_4503" localSheetId="1">紅綠燈!#REF!</definedName>
    <definedName name="外部資料_4504" localSheetId="1">紅綠燈!#REF!</definedName>
    <definedName name="外部資料_4506" localSheetId="1">紅綠燈!#REF!</definedName>
    <definedName name="外部資料_4507" localSheetId="1">紅綠燈!#REF!</definedName>
    <definedName name="外部資料_4508" localSheetId="1">紅綠燈!#REF!</definedName>
    <definedName name="外部資料_451" localSheetId="16">PKA!#REF!</definedName>
    <definedName name="外部資料_451" localSheetId="17">PKB!#REF!</definedName>
    <definedName name="外部資料_451" localSheetId="18">PKC!#REF!</definedName>
    <definedName name="外部資料_451" localSheetId="4">公司債!#REF!</definedName>
    <definedName name="外部資料_451" localSheetId="14">評比系統!$T$1:$T$3</definedName>
    <definedName name="外部資料_4510" localSheetId="1">紅綠燈!#REF!</definedName>
    <definedName name="外部資料_4511" localSheetId="1">紅綠燈!#REF!</definedName>
    <definedName name="外部資料_4512" localSheetId="1">紅綠燈!#REF!</definedName>
    <definedName name="外部資料_4514" localSheetId="1">紅綠燈!#REF!</definedName>
    <definedName name="外部資料_4515" localSheetId="1">紅綠燈!#REF!</definedName>
    <definedName name="外部資料_4517" localSheetId="1">紅綠燈!#REF!</definedName>
    <definedName name="外部資料_4518" localSheetId="1">紅綠燈!#REF!</definedName>
    <definedName name="外部資料_4519" localSheetId="1">紅綠燈!#REF!</definedName>
    <definedName name="外部資料_452" localSheetId="16">PKA!#REF!</definedName>
    <definedName name="外部資料_452" localSheetId="17">PKB!#REF!</definedName>
    <definedName name="外部資料_452" localSheetId="18">PKC!#REF!</definedName>
    <definedName name="外部資料_452" localSheetId="4">公司債!#REF!</definedName>
    <definedName name="外部資料_452" localSheetId="14">評比系統!$T$1:$T$3</definedName>
    <definedName name="外部資料_4521" localSheetId="1">紅綠燈!#REF!</definedName>
    <definedName name="外部資料_4522" localSheetId="1">紅綠燈!#REF!</definedName>
    <definedName name="外部資料_4523" localSheetId="1">紅綠燈!#REF!</definedName>
    <definedName name="外部資料_4525" localSheetId="1">紅綠燈!#REF!</definedName>
    <definedName name="外部資料_4526" localSheetId="1">紅綠燈!#REF!</definedName>
    <definedName name="外部資料_4527" localSheetId="1">紅綠燈!#REF!</definedName>
    <definedName name="外部資料_4529" localSheetId="1">紅綠燈!#REF!</definedName>
    <definedName name="外部資料_453" localSheetId="16">PKA!#REF!</definedName>
    <definedName name="外部資料_453" localSheetId="17">PKB!#REF!</definedName>
    <definedName name="外部資料_453" localSheetId="18">PKC!#REF!</definedName>
    <definedName name="外部資料_453" localSheetId="4">公司債!#REF!</definedName>
    <definedName name="外部資料_453" localSheetId="14">評比系統!$T$1:$T$3</definedName>
    <definedName name="外部資料_4530" localSheetId="1">紅綠燈!#REF!</definedName>
    <definedName name="外部資料_4531" localSheetId="1">紅綠燈!#REF!</definedName>
    <definedName name="外部資料_4533" localSheetId="1">紅綠燈!#REF!</definedName>
    <definedName name="外部資料_4534" localSheetId="1">紅綠燈!#REF!</definedName>
    <definedName name="外部資料_4535" localSheetId="1">紅綠燈!#REF!</definedName>
    <definedName name="外部資料_4537" localSheetId="1">紅綠燈!#REF!</definedName>
    <definedName name="外部資料_4538" localSheetId="1">紅綠燈!#REF!</definedName>
    <definedName name="外部資料_4539" localSheetId="1">紅綠燈!#REF!</definedName>
    <definedName name="外部資料_454" localSheetId="16">PKA!#REF!</definedName>
    <definedName name="外部資料_454" localSheetId="17">PKB!#REF!</definedName>
    <definedName name="外部資料_454" localSheetId="18">PKC!#REF!</definedName>
    <definedName name="外部資料_454" localSheetId="4">公司債!#REF!</definedName>
    <definedName name="外部資料_454" localSheetId="14">評比系統!$T$1:$T$3</definedName>
    <definedName name="外部資料_4541" localSheetId="1">紅綠燈!#REF!</definedName>
    <definedName name="外部資料_4542" localSheetId="1">紅綠燈!#REF!</definedName>
    <definedName name="外部資料_4543" localSheetId="1">紅綠燈!#REF!</definedName>
    <definedName name="外部資料_4545" localSheetId="1">紅綠燈!#REF!</definedName>
    <definedName name="外部資料_4546" localSheetId="1">紅綠燈!#REF!</definedName>
    <definedName name="外部資料_4547" localSheetId="1">紅綠燈!#REF!</definedName>
    <definedName name="外部資料_4549" localSheetId="1">紅綠燈!#REF!</definedName>
    <definedName name="外部資料_455" localSheetId="16">PKA!#REF!</definedName>
    <definedName name="外部資料_455" localSheetId="17">PKB!#REF!</definedName>
    <definedName name="外部資料_455" localSheetId="18">PKC!#REF!</definedName>
    <definedName name="外部資料_455" localSheetId="4">公司債!#REF!</definedName>
    <definedName name="外部資料_455" localSheetId="14">評比系統!$T$1:$T$3</definedName>
    <definedName name="外部資料_4550" localSheetId="1">紅綠燈!#REF!</definedName>
    <definedName name="外部資料_4551" localSheetId="1">紅綠燈!#REF!</definedName>
    <definedName name="外部資料_4553" localSheetId="1">紅綠燈!#REF!</definedName>
    <definedName name="外部資料_4554" localSheetId="1">紅綠燈!#REF!</definedName>
    <definedName name="外部資料_4555" localSheetId="1">紅綠燈!#REF!</definedName>
    <definedName name="外部資料_4557" localSheetId="1">紅綠燈!#REF!</definedName>
    <definedName name="外部資料_4558" localSheetId="1">紅綠燈!#REF!</definedName>
    <definedName name="外部資料_4559" localSheetId="1">紅綠燈!#REF!</definedName>
    <definedName name="外部資料_456" localSheetId="16">PKA!#REF!</definedName>
    <definedName name="外部資料_456" localSheetId="17">PKB!#REF!</definedName>
    <definedName name="外部資料_456" localSheetId="18">PKC!#REF!</definedName>
    <definedName name="外部資料_456" localSheetId="4">公司債!#REF!</definedName>
    <definedName name="外部資料_456" localSheetId="14">評比系統!$T$1:$T$3</definedName>
    <definedName name="外部資料_4561" localSheetId="1">紅綠燈!#REF!</definedName>
    <definedName name="外部資料_4562" localSheetId="1">紅綠燈!#REF!</definedName>
    <definedName name="外部資料_4564" localSheetId="1">紅綠燈!#REF!</definedName>
    <definedName name="外部資料_4565" localSheetId="1">紅綠燈!#REF!</definedName>
    <definedName name="外部資料_4566" localSheetId="1">紅綠燈!#REF!</definedName>
    <definedName name="外部資料_4568" localSheetId="1">紅綠燈!#REF!</definedName>
    <definedName name="外部資料_4569" localSheetId="1">紅綠燈!#REF!</definedName>
    <definedName name="外部資料_457" localSheetId="16">PKA!#REF!</definedName>
    <definedName name="外部資料_457" localSheetId="17">PKB!#REF!</definedName>
    <definedName name="外部資料_457" localSheetId="18">PKC!#REF!</definedName>
    <definedName name="外部資料_457" localSheetId="4">公司債!#REF!</definedName>
    <definedName name="外部資料_457" localSheetId="14">評比系統!$T$1:$T$3</definedName>
    <definedName name="外部資料_4570" localSheetId="1">紅綠燈!#REF!</definedName>
    <definedName name="外部資料_4572" localSheetId="1">紅綠燈!#REF!</definedName>
    <definedName name="外部資料_4573" localSheetId="1">紅綠燈!#REF!</definedName>
    <definedName name="外部資料_4574" localSheetId="1">紅綠燈!#REF!</definedName>
    <definedName name="外部資料_4576" localSheetId="1">紅綠燈!#REF!</definedName>
    <definedName name="外部資料_4577" localSheetId="1">紅綠燈!#REF!</definedName>
    <definedName name="外部資料_4578" localSheetId="1">紅綠燈!#REF!</definedName>
    <definedName name="外部資料_458" localSheetId="16">PKA!#REF!</definedName>
    <definedName name="外部資料_458" localSheetId="17">PKB!#REF!</definedName>
    <definedName name="外部資料_458" localSheetId="18">PKC!#REF!</definedName>
    <definedName name="外部資料_458" localSheetId="4">公司債!#REF!</definedName>
    <definedName name="外部資料_458" localSheetId="14">評比系統!$T$1:$T$3</definedName>
    <definedName name="外部資料_4580" localSheetId="1">紅綠燈!#REF!</definedName>
    <definedName name="外部資料_4581" localSheetId="1">紅綠燈!#REF!</definedName>
    <definedName name="外部資料_4582" localSheetId="1">紅綠燈!#REF!</definedName>
    <definedName name="外部資料_4584" localSheetId="1">紅綠燈!#REF!</definedName>
    <definedName name="外部資料_4585" localSheetId="1">紅綠燈!#REF!</definedName>
    <definedName name="外部資料_4586" localSheetId="1">紅綠燈!#REF!</definedName>
    <definedName name="外部資料_4588" localSheetId="1">紅綠燈!#REF!</definedName>
    <definedName name="外部資料_4589" localSheetId="1">紅綠燈!#REF!</definedName>
    <definedName name="外部資料_459" localSheetId="16">PKA!#REF!</definedName>
    <definedName name="外部資料_459" localSheetId="17">PKB!#REF!</definedName>
    <definedName name="外部資料_459" localSheetId="18">PKC!#REF!</definedName>
    <definedName name="外部資料_459" localSheetId="4">公司債!#REF!</definedName>
    <definedName name="外部資料_459" localSheetId="14">評比系統!$T$1:$T$3</definedName>
    <definedName name="外部資料_4590" localSheetId="1">紅綠燈!#REF!</definedName>
    <definedName name="外部資料_4592" localSheetId="1">紅綠燈!#REF!</definedName>
    <definedName name="外部資料_4593" localSheetId="1">紅綠燈!#REF!</definedName>
    <definedName name="外部資料_4594" localSheetId="1">紅綠燈!#REF!</definedName>
    <definedName name="外部資料_4596" localSheetId="1">紅綠燈!#REF!</definedName>
    <definedName name="外部資料_4597" localSheetId="1">紅綠燈!#REF!</definedName>
    <definedName name="外部資料_4598" localSheetId="1">紅綠燈!#REF!</definedName>
    <definedName name="外部資料_46" localSheetId="16">PKA!#REF!</definedName>
    <definedName name="外部資料_46" localSheetId="17">PKB!#REF!</definedName>
    <definedName name="外部資料_46" localSheetId="18">PKC!#REF!</definedName>
    <definedName name="外部資料_46" localSheetId="9">PSR!#REF!</definedName>
    <definedName name="外部資料_46" localSheetId="4">公司債!#REF!</definedName>
    <definedName name="外部資料_46" localSheetId="14">評比系統!#REF!</definedName>
    <definedName name="外部資料_46" localSheetId="7">營收搶先報!#REF!</definedName>
    <definedName name="外部資料_460" localSheetId="16">PKA!#REF!</definedName>
    <definedName name="外部資料_460" localSheetId="17">PKB!#REF!</definedName>
    <definedName name="外部資料_460" localSheetId="18">PKC!#REF!</definedName>
    <definedName name="外部資料_460" localSheetId="4">公司債!#REF!</definedName>
    <definedName name="外部資料_460" localSheetId="14">評比系統!$T$1:$T$3</definedName>
    <definedName name="外部資料_4600" localSheetId="1">紅綠燈!#REF!</definedName>
    <definedName name="外部資料_4601" localSheetId="1">紅綠燈!#REF!</definedName>
    <definedName name="外部資料_4602" localSheetId="1">紅綠燈!#REF!</definedName>
    <definedName name="外部資料_4604" localSheetId="1">紅綠燈!#REF!</definedName>
    <definedName name="外部資料_4605" localSheetId="1">紅綠燈!#REF!</definedName>
    <definedName name="外部資料_4606" localSheetId="1">紅綠燈!#REF!</definedName>
    <definedName name="外部資料_4608" localSheetId="1">紅綠燈!#REF!</definedName>
    <definedName name="外部資料_4609" localSheetId="1">紅綠燈!#REF!</definedName>
    <definedName name="外部資料_461" localSheetId="16">PKA!#REF!</definedName>
    <definedName name="外部資料_461" localSheetId="17">PKB!#REF!</definedName>
    <definedName name="外部資料_461" localSheetId="18">PKC!#REF!</definedName>
    <definedName name="外部資料_461" localSheetId="4">公司債!#REF!</definedName>
    <definedName name="外部資料_461" localSheetId="14">評比系統!$T$1:$T$3</definedName>
    <definedName name="外部資料_4610" localSheetId="1">紅綠燈!#REF!</definedName>
    <definedName name="外部資料_4612" localSheetId="1">紅綠燈!#REF!</definedName>
    <definedName name="外部資料_4613" localSheetId="1">紅綠燈!#REF!</definedName>
    <definedName name="外部資料_4614" localSheetId="1">紅綠燈!#REF!</definedName>
    <definedName name="外部資料_4616" localSheetId="1">紅綠燈!#REF!</definedName>
    <definedName name="外部資料_4617" localSheetId="1">紅綠燈!#REF!</definedName>
    <definedName name="外部資料_4618" localSheetId="1">紅綠燈!#REF!</definedName>
    <definedName name="外部資料_462" localSheetId="16">PKA!#REF!</definedName>
    <definedName name="外部資料_462" localSheetId="17">PKB!#REF!</definedName>
    <definedName name="外部資料_462" localSheetId="18">PKC!#REF!</definedName>
    <definedName name="外部資料_462" localSheetId="4">公司債!#REF!</definedName>
    <definedName name="外部資料_462" localSheetId="14">評比系統!$T$1:$T$3</definedName>
    <definedName name="外部資料_4620" localSheetId="1">紅綠燈!#REF!</definedName>
    <definedName name="外部資料_4621" localSheetId="1">紅綠燈!#REF!</definedName>
    <definedName name="外部資料_4622" localSheetId="1">紅綠燈!#REF!</definedName>
    <definedName name="外部資料_4624" localSheetId="1">紅綠燈!#REF!</definedName>
    <definedName name="外部資料_4625" localSheetId="1">紅綠燈!#REF!</definedName>
    <definedName name="外部資料_4626" localSheetId="1">紅綠燈!#REF!</definedName>
    <definedName name="外部資料_4628" localSheetId="1">紅綠燈!#REF!</definedName>
    <definedName name="外部資料_4629" localSheetId="1">紅綠燈!#REF!</definedName>
    <definedName name="外部資料_463" localSheetId="16">PKA!#REF!</definedName>
    <definedName name="外部資料_463" localSheetId="17">PKB!#REF!</definedName>
    <definedName name="外部資料_463" localSheetId="18">PKC!#REF!</definedName>
    <definedName name="外部資料_463" localSheetId="4">公司債!#REF!</definedName>
    <definedName name="外部資料_463" localSheetId="14">評比系統!$T$1:$T$3</definedName>
    <definedName name="外部資料_4630" localSheetId="1">紅綠燈!#REF!</definedName>
    <definedName name="外部資料_4632" localSheetId="1">紅綠燈!#REF!</definedName>
    <definedName name="外部資料_4633" localSheetId="1">紅綠燈!#REF!</definedName>
    <definedName name="外部資料_4634" localSheetId="1">紅綠燈!#REF!</definedName>
    <definedName name="外部資料_4636" localSheetId="1">紅綠燈!#REF!</definedName>
    <definedName name="外部資料_4637" localSheetId="1">紅綠燈!#REF!</definedName>
    <definedName name="外部資料_4638" localSheetId="1">紅綠燈!#REF!</definedName>
    <definedName name="外部資料_464" localSheetId="16">PKA!#REF!</definedName>
    <definedName name="外部資料_464" localSheetId="17">PKB!#REF!</definedName>
    <definedName name="外部資料_464" localSheetId="18">PKC!#REF!</definedName>
    <definedName name="外部資料_464" localSheetId="4">公司債!#REF!</definedName>
    <definedName name="外部資料_464" localSheetId="14">評比系統!$T$1:$T$3</definedName>
    <definedName name="外部資料_4642" localSheetId="1">紅綠燈!#REF!</definedName>
    <definedName name="外部資料_4643" localSheetId="1">紅綠燈!#REF!</definedName>
    <definedName name="外部資料_4644" localSheetId="1">紅綠燈!#REF!</definedName>
    <definedName name="外部資料_4646" localSheetId="1">紅綠燈!#REF!</definedName>
    <definedName name="外部資料_4647" localSheetId="1">紅綠燈!#REF!</definedName>
    <definedName name="外部資料_4648" localSheetId="1">紅綠燈!#REF!</definedName>
    <definedName name="外部資料_465" localSheetId="16">PKA!#REF!</definedName>
    <definedName name="外部資料_465" localSheetId="17">PKB!#REF!</definedName>
    <definedName name="外部資料_465" localSheetId="18">PKC!#REF!</definedName>
    <definedName name="外部資料_465" localSheetId="4">公司債!#REF!</definedName>
    <definedName name="外部資料_465" localSheetId="14">評比系統!$T$1:$T$3</definedName>
    <definedName name="外部資料_4650" localSheetId="1">紅綠燈!#REF!</definedName>
    <definedName name="外部資料_4651" localSheetId="1">紅綠燈!#REF!</definedName>
    <definedName name="外部資料_4652" localSheetId="1">紅綠燈!#REF!</definedName>
    <definedName name="外部資料_4654" localSheetId="1">紅綠燈!#REF!</definedName>
    <definedName name="外部資料_4655" localSheetId="1">紅綠燈!#REF!</definedName>
    <definedName name="外部資料_4657" localSheetId="1">紅綠燈!#REF!</definedName>
    <definedName name="外部資料_4658" localSheetId="1">紅綠燈!#REF!</definedName>
    <definedName name="外部資料_466" localSheetId="16">PKA!#REF!</definedName>
    <definedName name="外部資料_466" localSheetId="17">PKB!#REF!</definedName>
    <definedName name="外部資料_466" localSheetId="18">PKC!#REF!</definedName>
    <definedName name="外部資料_466" localSheetId="4">公司債!#REF!</definedName>
    <definedName name="外部資料_466" localSheetId="14">評比系統!$T$1:$T$3</definedName>
    <definedName name="外部資料_4660" localSheetId="1">紅綠燈!#REF!</definedName>
    <definedName name="外部資料_4661" localSheetId="1">紅綠燈!#REF!</definedName>
    <definedName name="外部資料_4662" localSheetId="1">紅綠燈!#REF!</definedName>
    <definedName name="外部資料_4664" localSheetId="1">紅綠燈!#REF!</definedName>
    <definedName name="外部資料_4665" localSheetId="1">紅綠燈!#REF!</definedName>
    <definedName name="外部資料_4666" localSheetId="1">紅綠燈!#REF!</definedName>
    <definedName name="外部資料_4668" localSheetId="1">紅綠燈!#REF!</definedName>
    <definedName name="外部資料_4669" localSheetId="1">紅綠燈!#REF!</definedName>
    <definedName name="外部資料_467" localSheetId="16">PKA!#REF!</definedName>
    <definedName name="外部資料_467" localSheetId="17">PKB!#REF!</definedName>
    <definedName name="外部資料_467" localSheetId="18">PKC!#REF!</definedName>
    <definedName name="外部資料_467" localSheetId="4">公司債!#REF!</definedName>
    <definedName name="外部資料_467" localSheetId="14">評比系統!$T$1:$T$3</definedName>
    <definedName name="外部資料_4670" localSheetId="1">紅綠燈!#REF!</definedName>
    <definedName name="外部資料_4672" localSheetId="1">紅綠燈!#REF!</definedName>
    <definedName name="外部資料_4673" localSheetId="1">紅綠燈!#REF!</definedName>
    <definedName name="外部資料_4674" localSheetId="1">紅綠燈!#REF!</definedName>
    <definedName name="外部資料_4676" localSheetId="1">紅綠燈!#REF!</definedName>
    <definedName name="外部資料_4677" localSheetId="1">紅綠燈!#REF!</definedName>
    <definedName name="外部資料_4678" localSheetId="1">紅綠燈!#REF!</definedName>
    <definedName name="外部資料_468" localSheetId="16">PKA!#REF!</definedName>
    <definedName name="外部資料_468" localSheetId="17">PKB!#REF!</definedName>
    <definedName name="外部資料_468" localSheetId="18">PKC!#REF!</definedName>
    <definedName name="外部資料_468" localSheetId="4">公司債!#REF!</definedName>
    <definedName name="外部資料_468" localSheetId="14">評比系統!$T$1:$T$3</definedName>
    <definedName name="外部資料_4680" localSheetId="1">紅綠燈!#REF!</definedName>
    <definedName name="外部資料_4681" localSheetId="1">紅綠燈!#REF!</definedName>
    <definedName name="外部資料_4682" localSheetId="1">紅綠燈!#REF!</definedName>
    <definedName name="外部資料_4684" localSheetId="1">紅綠燈!#REF!</definedName>
    <definedName name="外部資料_4685" localSheetId="1">紅綠燈!#REF!</definedName>
    <definedName name="外部資料_4686" localSheetId="1">紅綠燈!#REF!</definedName>
    <definedName name="外部資料_4688" localSheetId="1">紅綠燈!#REF!</definedName>
    <definedName name="外部資料_4689" localSheetId="1">紅綠燈!#REF!</definedName>
    <definedName name="外部資料_469" localSheetId="16">PKA!#REF!</definedName>
    <definedName name="外部資料_469" localSheetId="17">PKB!#REF!</definedName>
    <definedName name="外部資料_469" localSheetId="18">PKC!#REF!</definedName>
    <definedName name="外部資料_469" localSheetId="4">公司債!#REF!</definedName>
    <definedName name="外部資料_469" localSheetId="14">評比系統!$T$1:$T$3</definedName>
    <definedName name="外部資料_4690" localSheetId="1">紅綠燈!#REF!</definedName>
    <definedName name="外部資料_4692" localSheetId="1">紅綠燈!#REF!</definedName>
    <definedName name="外部資料_4693" localSheetId="1">紅綠燈!#REF!</definedName>
    <definedName name="外部資料_4694" localSheetId="1">紅綠燈!#REF!</definedName>
    <definedName name="外部資料_4696" localSheetId="1">紅綠燈!#REF!</definedName>
    <definedName name="外部資料_4697" localSheetId="1">紅綠燈!#REF!</definedName>
    <definedName name="外部資料_4698" localSheetId="1">紅綠燈!#REF!</definedName>
    <definedName name="外部資料_47" localSheetId="16">PKA!#REF!</definedName>
    <definedName name="外部資料_47" localSheetId="17">PKB!#REF!</definedName>
    <definedName name="外部資料_47" localSheetId="18">PKC!#REF!</definedName>
    <definedName name="外部資料_47" localSheetId="9">PSR!#REF!</definedName>
    <definedName name="外部資料_47" localSheetId="4">公司債!#REF!</definedName>
    <definedName name="外部資料_47" localSheetId="14">評比系統!#REF!</definedName>
    <definedName name="外部資料_47" localSheetId="7">營收搶先報!#REF!</definedName>
    <definedName name="外部資料_470" localSheetId="16">PKA!#REF!</definedName>
    <definedName name="外部資料_470" localSheetId="17">PKB!#REF!</definedName>
    <definedName name="外部資料_470" localSheetId="18">PKC!#REF!</definedName>
    <definedName name="外部資料_470" localSheetId="4">公司債!#REF!</definedName>
    <definedName name="外部資料_470" localSheetId="14">評比系統!$T$1:$T$3</definedName>
    <definedName name="外部資料_4700" localSheetId="1">紅綠燈!#REF!</definedName>
    <definedName name="外部資料_4701" localSheetId="1">紅綠燈!#REF!</definedName>
    <definedName name="外部資料_4702" localSheetId="1">紅綠燈!#REF!</definedName>
    <definedName name="外部資料_4704" localSheetId="1">紅綠燈!#REF!</definedName>
    <definedName name="外部資料_4705" localSheetId="1">紅綠燈!#REF!</definedName>
    <definedName name="外部資料_4706" localSheetId="1">紅綠燈!#REF!</definedName>
    <definedName name="外部資料_4708" localSheetId="1">紅綠燈!#REF!</definedName>
    <definedName name="外部資料_4709" localSheetId="1">紅綠燈!#REF!</definedName>
    <definedName name="外部資料_471" localSheetId="16">PKA!#REF!</definedName>
    <definedName name="外部資料_471" localSheetId="17">PKB!#REF!</definedName>
    <definedName name="外部資料_471" localSheetId="18">PKC!#REF!</definedName>
    <definedName name="外部資料_471" localSheetId="4">公司債!#REF!</definedName>
    <definedName name="外部資料_471" localSheetId="14">評比系統!$T$1:$T$3</definedName>
    <definedName name="外部資料_4710" localSheetId="1">紅綠燈!#REF!</definedName>
    <definedName name="外部資料_4712" localSheetId="1">紅綠燈!#REF!</definedName>
    <definedName name="外部資料_4713" localSheetId="1">紅綠燈!#REF!</definedName>
    <definedName name="外部資料_4714" localSheetId="1">紅綠燈!#REF!</definedName>
    <definedName name="外部資料_4716" localSheetId="1">紅綠燈!#REF!</definedName>
    <definedName name="外部資料_4717" localSheetId="1">紅綠燈!#REF!</definedName>
    <definedName name="外部資料_4718" localSheetId="1">紅綠燈!#REF!</definedName>
    <definedName name="外部資料_472" localSheetId="16">PKA!#REF!</definedName>
    <definedName name="外部資料_472" localSheetId="17">PKB!#REF!</definedName>
    <definedName name="外部資料_472" localSheetId="18">PKC!#REF!</definedName>
    <definedName name="外部資料_472" localSheetId="4">公司債!#REF!</definedName>
    <definedName name="外部資料_472" localSheetId="14">評比系統!$T$1:$T$3</definedName>
    <definedName name="外部資料_4720" localSheetId="1">紅綠燈!#REF!</definedName>
    <definedName name="外部資料_4721" localSheetId="1">紅綠燈!#REF!</definedName>
    <definedName name="外部資料_4722" localSheetId="1">紅綠燈!#REF!</definedName>
    <definedName name="外部資料_4724" localSheetId="1">紅綠燈!#REF!</definedName>
    <definedName name="外部資料_4725" localSheetId="1">紅綠燈!#REF!</definedName>
    <definedName name="外部資料_4726" localSheetId="1">紅綠燈!#REF!</definedName>
    <definedName name="外部資料_4728" localSheetId="1">紅綠燈!#REF!</definedName>
    <definedName name="外部資料_4729" localSheetId="1">紅綠燈!#REF!</definedName>
    <definedName name="外部資料_473" localSheetId="16">PKA!#REF!</definedName>
    <definedName name="外部資料_473" localSheetId="17">PKB!#REF!</definedName>
    <definedName name="外部資料_473" localSheetId="18">PKC!#REF!</definedName>
    <definedName name="外部資料_473" localSheetId="4">公司債!#REF!</definedName>
    <definedName name="外部資料_473" localSheetId="14">評比系統!$T$1:$T$3</definedName>
    <definedName name="外部資料_4730" localSheetId="1">紅綠燈!#REF!</definedName>
    <definedName name="外部資料_4732" localSheetId="1">紅綠燈!#REF!</definedName>
    <definedName name="外部資料_4733" localSheetId="1">紅綠燈!#REF!</definedName>
    <definedName name="外部資料_4734" localSheetId="1">紅綠燈!#REF!</definedName>
    <definedName name="外部資料_4736" localSheetId="1">紅綠燈!#REF!</definedName>
    <definedName name="外部資料_4737" localSheetId="1">紅綠燈!#REF!</definedName>
    <definedName name="外部資料_4738" localSheetId="1">紅綠燈!#REF!</definedName>
    <definedName name="外部資料_474" localSheetId="16">PKA!#REF!</definedName>
    <definedName name="外部資料_474" localSheetId="17">PKB!#REF!</definedName>
    <definedName name="外部資料_474" localSheetId="18">PKC!#REF!</definedName>
    <definedName name="外部資料_474" localSheetId="4">公司債!#REF!</definedName>
    <definedName name="外部資料_474" localSheetId="14">評比系統!$T$1:$T$3</definedName>
    <definedName name="外部資料_4740" localSheetId="1">紅綠燈!#REF!</definedName>
    <definedName name="外部資料_4741" localSheetId="1">紅綠燈!#REF!</definedName>
    <definedName name="外部資料_4743" localSheetId="1">紅綠燈!#REF!</definedName>
    <definedName name="外部資料_4744" localSheetId="1">紅綠燈!#REF!</definedName>
    <definedName name="外部資料_4745" localSheetId="1">紅綠燈!#REF!</definedName>
    <definedName name="外部資料_4747" localSheetId="1">紅綠燈!#REF!</definedName>
    <definedName name="外部資料_4748" localSheetId="1">紅綠燈!#REF!</definedName>
    <definedName name="外部資料_4749" localSheetId="1">紅綠燈!#REF!</definedName>
    <definedName name="外部資料_475" localSheetId="16">PKA!#REF!</definedName>
    <definedName name="外部資料_475" localSheetId="17">PKB!#REF!</definedName>
    <definedName name="外部資料_475" localSheetId="18">PKC!#REF!</definedName>
    <definedName name="外部資料_475" localSheetId="4">公司債!#REF!</definedName>
    <definedName name="外部資料_475" localSheetId="14">評比系統!$T$1:$T$3</definedName>
    <definedName name="外部資料_4751" localSheetId="1">紅綠燈!#REF!</definedName>
    <definedName name="外部資料_4752" localSheetId="1">紅綠燈!#REF!</definedName>
    <definedName name="外部資料_4753" localSheetId="1">紅綠燈!#REF!</definedName>
    <definedName name="外部資料_4755" localSheetId="1">紅綠燈!#REF!</definedName>
    <definedName name="外部資料_4756" localSheetId="1">紅綠燈!#REF!</definedName>
    <definedName name="外部資料_4757" localSheetId="1">紅綠燈!#REF!</definedName>
    <definedName name="外部資料_4759" localSheetId="1">紅綠燈!#REF!</definedName>
    <definedName name="外部資料_476" localSheetId="16">PKA!#REF!</definedName>
    <definedName name="外部資料_476" localSheetId="17">PKB!#REF!</definedName>
    <definedName name="外部資料_476" localSheetId="18">PKC!#REF!</definedName>
    <definedName name="外部資料_476" localSheetId="4">公司債!#REF!</definedName>
    <definedName name="外部資料_476" localSheetId="14">評比系統!$T$1:$T$3</definedName>
    <definedName name="外部資料_4760" localSheetId="1">紅綠燈!#REF!</definedName>
    <definedName name="外部資料_4761" localSheetId="1">紅綠燈!#REF!</definedName>
    <definedName name="外部資料_4763" localSheetId="1">紅綠燈!#REF!</definedName>
    <definedName name="外部資料_4764" localSheetId="1">紅綠燈!#REF!</definedName>
    <definedName name="外部資料_4765" localSheetId="1">紅綠燈!#REF!</definedName>
    <definedName name="外部資料_4767" localSheetId="1">紅綠燈!#REF!</definedName>
    <definedName name="外部資料_4768" localSheetId="1">紅綠燈!#REF!</definedName>
    <definedName name="外部資料_4769" localSheetId="1">紅綠燈!#REF!</definedName>
    <definedName name="外部資料_477" localSheetId="16">PKA!#REF!</definedName>
    <definedName name="外部資料_477" localSheetId="17">PKB!#REF!</definedName>
    <definedName name="外部資料_477" localSheetId="18">PKC!#REF!</definedName>
    <definedName name="外部資料_477" localSheetId="4">公司債!#REF!</definedName>
    <definedName name="外部資料_477" localSheetId="14">評比系統!$T$1:$T$3</definedName>
    <definedName name="外部資料_4771" localSheetId="1">紅綠燈!#REF!</definedName>
    <definedName name="外部資料_4772" localSheetId="1">紅綠燈!#REF!</definedName>
    <definedName name="外部資料_4773" localSheetId="1">紅綠燈!#REF!</definedName>
    <definedName name="外部資料_4775" localSheetId="1">紅綠燈!#REF!</definedName>
    <definedName name="外部資料_4776" localSheetId="1">紅綠燈!#REF!</definedName>
    <definedName name="外部資料_4777" localSheetId="1">紅綠燈!#REF!</definedName>
    <definedName name="外部資料_4779" localSheetId="1">紅綠燈!#REF!</definedName>
    <definedName name="外部資料_478" localSheetId="16">PKA!#REF!</definedName>
    <definedName name="外部資料_478" localSheetId="17">PKB!#REF!</definedName>
    <definedName name="外部資料_478" localSheetId="18">PKC!#REF!</definedName>
    <definedName name="外部資料_478" localSheetId="4">公司債!#REF!</definedName>
    <definedName name="外部資料_478" localSheetId="14">評比系統!$T$1:$T$3</definedName>
    <definedName name="外部資料_4780" localSheetId="1">紅綠燈!#REF!</definedName>
    <definedName name="外部資料_4781" localSheetId="1">紅綠燈!#REF!</definedName>
    <definedName name="外部資料_4783" localSheetId="1">紅綠燈!#REF!</definedName>
    <definedName name="外部資料_4784" localSheetId="1">紅綠燈!#REF!</definedName>
    <definedName name="外部資料_4785" localSheetId="1">紅綠燈!#REF!</definedName>
    <definedName name="外部資料_4787" localSheetId="1">紅綠燈!#REF!</definedName>
    <definedName name="外部資料_4788" localSheetId="1">紅綠燈!#REF!</definedName>
    <definedName name="外部資料_4789" localSheetId="1">紅綠燈!#REF!</definedName>
    <definedName name="外部資料_479" localSheetId="16">PKA!#REF!</definedName>
    <definedName name="外部資料_479" localSheetId="17">PKB!#REF!</definedName>
    <definedName name="外部資料_479" localSheetId="18">PKC!#REF!</definedName>
    <definedName name="外部資料_479" localSheetId="4">公司債!#REF!</definedName>
    <definedName name="外部資料_479" localSheetId="14">評比系統!$T$1:$T$3</definedName>
    <definedName name="外部資料_4791" localSheetId="1">紅綠燈!#REF!</definedName>
    <definedName name="外部資料_4792" localSheetId="1">紅綠燈!#REF!</definedName>
    <definedName name="外部資料_4793" localSheetId="1">紅綠燈!#REF!</definedName>
    <definedName name="外部資料_4795" localSheetId="1">紅綠燈!#REF!</definedName>
    <definedName name="外部資料_4796" localSheetId="1">紅綠燈!#REF!</definedName>
    <definedName name="外部資料_4797" localSheetId="1">紅綠燈!#REF!</definedName>
    <definedName name="外部資料_4799" localSheetId="1">紅綠燈!#REF!</definedName>
    <definedName name="外部資料_48" localSheetId="16">PKA!#REF!</definedName>
    <definedName name="外部資料_48" localSheetId="17">PKB!#REF!</definedName>
    <definedName name="外部資料_48" localSheetId="18">PKC!#REF!</definedName>
    <definedName name="外部資料_48" localSheetId="9">PSR!#REF!</definedName>
    <definedName name="外部資料_48" localSheetId="4">公司債!#REF!</definedName>
    <definedName name="外部資料_48" localSheetId="14">評比系統!#REF!</definedName>
    <definedName name="外部資料_48" localSheetId="7">營收搶先報!#REF!</definedName>
    <definedName name="外部資料_480" localSheetId="16">PKA!#REF!</definedName>
    <definedName name="外部資料_480" localSheetId="17">PKB!#REF!</definedName>
    <definedName name="外部資料_480" localSheetId="18">PKC!#REF!</definedName>
    <definedName name="外部資料_480" localSheetId="4">公司債!#REF!</definedName>
    <definedName name="外部資料_480" localSheetId="14">評比系統!$T$1:$T$3</definedName>
    <definedName name="外部資料_4800" localSheetId="1">紅綠燈!#REF!</definedName>
    <definedName name="外部資料_4801" localSheetId="1">紅綠燈!#REF!</definedName>
    <definedName name="外部資料_4803" localSheetId="1">紅綠燈!#REF!</definedName>
    <definedName name="外部資料_4804" localSheetId="1">紅綠燈!#REF!</definedName>
    <definedName name="外部資料_4805" localSheetId="1">紅綠燈!#REF!</definedName>
    <definedName name="外部資料_4807" localSheetId="1">紅綠燈!#REF!</definedName>
    <definedName name="外部資料_4808" localSheetId="1">紅綠燈!#REF!</definedName>
    <definedName name="外部資料_4809" localSheetId="1">紅綠燈!#REF!</definedName>
    <definedName name="外部資料_481" localSheetId="16">PKA!#REF!</definedName>
    <definedName name="外部資料_481" localSheetId="17">PKB!#REF!</definedName>
    <definedName name="外部資料_481" localSheetId="18">PKC!#REF!</definedName>
    <definedName name="外部資料_481" localSheetId="4">公司債!#REF!</definedName>
    <definedName name="外部資料_481" localSheetId="14">評比系統!$T$1:$T$3</definedName>
    <definedName name="外部資料_4811" localSheetId="1">紅綠燈!#REF!</definedName>
    <definedName name="外部資料_4812" localSheetId="1">紅綠燈!#REF!</definedName>
    <definedName name="外部資料_4813" localSheetId="1">紅綠燈!#REF!</definedName>
    <definedName name="外部資料_4815" localSheetId="1">紅綠燈!#REF!</definedName>
    <definedName name="外部資料_4816" localSheetId="1">紅綠燈!#REF!</definedName>
    <definedName name="外部資料_4817" localSheetId="1">紅綠燈!#REF!</definedName>
    <definedName name="外部資料_4819" localSheetId="1">紅綠燈!#REF!</definedName>
    <definedName name="外部資料_482" localSheetId="16">PKA!#REF!</definedName>
    <definedName name="外部資料_482" localSheetId="17">PKB!#REF!</definedName>
    <definedName name="外部資料_482" localSheetId="18">PKC!#REF!</definedName>
    <definedName name="外部資料_482" localSheetId="4">公司債!#REF!</definedName>
    <definedName name="外部資料_482" localSheetId="14">評比系統!$T$1:$T$3</definedName>
    <definedName name="外部資料_4820" localSheetId="1">紅綠燈!#REF!</definedName>
    <definedName name="外部資料_4821" localSheetId="1">紅綠燈!#REF!</definedName>
    <definedName name="外部資料_4823" localSheetId="1">紅綠燈!#REF!</definedName>
    <definedName name="外部資料_4824" localSheetId="1">紅綠燈!#REF!</definedName>
    <definedName name="外部資料_4825" localSheetId="1">紅綠燈!#REF!</definedName>
    <definedName name="外部資料_4827" localSheetId="1">紅綠燈!#REF!</definedName>
    <definedName name="外部資料_4828" localSheetId="1">紅綠燈!#REF!</definedName>
    <definedName name="外部資料_4829" localSheetId="1">紅綠燈!#REF!</definedName>
    <definedName name="外部資料_483" localSheetId="16">PKA!#REF!</definedName>
    <definedName name="外部資料_483" localSheetId="17">PKB!#REF!</definedName>
    <definedName name="外部資料_483" localSheetId="18">PKC!#REF!</definedName>
    <definedName name="外部資料_483" localSheetId="4">公司債!#REF!</definedName>
    <definedName name="外部資料_483" localSheetId="14">評比系統!$T$1:$T$3</definedName>
    <definedName name="外部資料_4831" localSheetId="1">紅綠燈!#REF!</definedName>
    <definedName name="外部資料_4832" localSheetId="1">紅綠燈!#REF!</definedName>
    <definedName name="外部資料_4833" localSheetId="1">紅綠燈!#REF!</definedName>
    <definedName name="外部資料_4835" localSheetId="1">紅綠燈!#REF!</definedName>
    <definedName name="外部資料_4836" localSheetId="1">紅綠燈!#REF!</definedName>
    <definedName name="外部資料_4837" localSheetId="1">紅綠燈!#REF!</definedName>
    <definedName name="外部資料_4839" localSheetId="1">紅綠燈!#REF!</definedName>
    <definedName name="外部資料_484" localSheetId="16">PKA!#REF!</definedName>
    <definedName name="外部資料_484" localSheetId="17">PKB!#REF!</definedName>
    <definedName name="外部資料_484" localSheetId="18">PKC!#REF!</definedName>
    <definedName name="外部資料_484" localSheetId="4">公司債!#REF!</definedName>
    <definedName name="外部資料_484" localSheetId="14">評比系統!$T$1:$T$3</definedName>
    <definedName name="外部資料_4840" localSheetId="1">紅綠燈!#REF!</definedName>
    <definedName name="外部資料_4841" localSheetId="1">紅綠燈!#REF!</definedName>
    <definedName name="外部資料_4843" localSheetId="1">紅綠燈!#REF!</definedName>
    <definedName name="外部資料_4844" localSheetId="1">紅綠燈!#REF!</definedName>
    <definedName name="外部資料_4845" localSheetId="1">紅綠燈!#REF!</definedName>
    <definedName name="外部資料_4847" localSheetId="1">紅綠燈!#REF!</definedName>
    <definedName name="外部資料_4848" localSheetId="1">紅綠燈!#REF!</definedName>
    <definedName name="外部資料_4849" localSheetId="1">紅綠燈!#REF!</definedName>
    <definedName name="外部資料_485" localSheetId="16">PKA!#REF!</definedName>
    <definedName name="外部資料_485" localSheetId="17">PKB!#REF!</definedName>
    <definedName name="外部資料_485" localSheetId="18">PKC!#REF!</definedName>
    <definedName name="外部資料_485" localSheetId="4">公司債!#REF!</definedName>
    <definedName name="外部資料_485" localSheetId="14">評比系統!$T$1:$T$3</definedName>
    <definedName name="外部資料_4851" localSheetId="1">紅綠燈!#REF!</definedName>
    <definedName name="外部資料_4852" localSheetId="1">紅綠燈!#REF!</definedName>
    <definedName name="外部資料_4853" localSheetId="1">紅綠燈!#REF!</definedName>
    <definedName name="外部資料_4855" localSheetId="1">紅綠燈!#REF!</definedName>
    <definedName name="外部資料_4856" localSheetId="1">紅綠燈!#REF!</definedName>
    <definedName name="外部資料_4857" localSheetId="1">紅綠燈!#REF!</definedName>
    <definedName name="外部資料_4859" localSheetId="1">紅綠燈!#REF!</definedName>
    <definedName name="外部資料_486" localSheetId="16">PKA!#REF!</definedName>
    <definedName name="外部資料_486" localSheetId="17">PKB!#REF!</definedName>
    <definedName name="外部資料_486" localSheetId="18">PKC!#REF!</definedName>
    <definedName name="外部資料_486" localSheetId="4">公司債!#REF!</definedName>
    <definedName name="外部資料_486" localSheetId="14">評比系統!$T$1:$T$3</definedName>
    <definedName name="外部資料_4860" localSheetId="1">紅綠燈!#REF!</definedName>
    <definedName name="外部資料_4861" localSheetId="1">紅綠燈!#REF!</definedName>
    <definedName name="外部資料_4863" localSheetId="1">紅綠燈!#REF!</definedName>
    <definedName name="外部資料_4864" localSheetId="1">紅綠燈!#REF!</definedName>
    <definedName name="外部資料_4865" localSheetId="1">紅綠燈!#REF!</definedName>
    <definedName name="外部資料_4867" localSheetId="1">紅綠燈!#REF!</definedName>
    <definedName name="外部資料_4868" localSheetId="1">紅綠燈!#REF!</definedName>
    <definedName name="外部資料_4869" localSheetId="1">紅綠燈!#REF!</definedName>
    <definedName name="外部資料_487" localSheetId="16">PKA!#REF!</definedName>
    <definedName name="外部資料_487" localSheetId="17">PKB!#REF!</definedName>
    <definedName name="外部資料_487" localSheetId="18">PKC!#REF!</definedName>
    <definedName name="外部資料_487" localSheetId="4">公司債!#REF!</definedName>
    <definedName name="外部資料_487" localSheetId="14">評比系統!$T$1:$T$3</definedName>
    <definedName name="外部資料_4871" localSheetId="1">紅綠燈!#REF!</definedName>
    <definedName name="外部資料_4872" localSheetId="1">紅綠燈!#REF!</definedName>
    <definedName name="外部資料_4873" localSheetId="1">紅綠燈!#REF!</definedName>
    <definedName name="外部資料_4875" localSheetId="1">紅綠燈!#REF!</definedName>
    <definedName name="外部資料_4876" localSheetId="1">紅綠燈!#REF!</definedName>
    <definedName name="外部資料_4877" localSheetId="1">紅綠燈!#REF!</definedName>
    <definedName name="外部資料_4879" localSheetId="1">紅綠燈!#REF!</definedName>
    <definedName name="外部資料_488" localSheetId="16">PKA!#REF!</definedName>
    <definedName name="外部資料_488" localSheetId="17">PKB!#REF!</definedName>
    <definedName name="外部資料_488" localSheetId="18">PKC!#REF!</definedName>
    <definedName name="外部資料_488" localSheetId="4">公司債!#REF!</definedName>
    <definedName name="外部資料_488" localSheetId="14">評比系統!$T$1:$T$3</definedName>
    <definedName name="外部資料_4880" localSheetId="1">紅綠燈!#REF!</definedName>
    <definedName name="外部資料_4881" localSheetId="1">紅綠燈!#REF!</definedName>
    <definedName name="外部資料_4883" localSheetId="1">紅綠燈!#REF!</definedName>
    <definedName name="外部資料_4884" localSheetId="1">紅綠燈!#REF!</definedName>
    <definedName name="外部資料_4885" localSheetId="1">紅綠燈!#REF!</definedName>
    <definedName name="外部資料_4887" localSheetId="1">紅綠燈!#REF!</definedName>
    <definedName name="外部資料_4888" localSheetId="1">紅綠燈!#REF!</definedName>
    <definedName name="外部資料_4889" localSheetId="1">紅綠燈!#REF!</definedName>
    <definedName name="外部資料_489" localSheetId="16">PKA!#REF!</definedName>
    <definedName name="外部資料_489" localSheetId="17">PKB!#REF!</definedName>
    <definedName name="外部資料_489" localSheetId="18">PKC!#REF!</definedName>
    <definedName name="外部資料_489" localSheetId="4">公司債!#REF!</definedName>
    <definedName name="外部資料_489" localSheetId="14">評比系統!$T$1:$T$3</definedName>
    <definedName name="外部資料_4891" localSheetId="1">紅綠燈!#REF!</definedName>
    <definedName name="外部資料_4892" localSheetId="1">紅綠燈!#REF!</definedName>
    <definedName name="外部資料_4893" localSheetId="1">紅綠燈!#REF!</definedName>
    <definedName name="外部資料_4895" localSheetId="1">紅綠燈!#REF!</definedName>
    <definedName name="外部資料_4896" localSheetId="1">紅綠燈!#REF!</definedName>
    <definedName name="外部資料_4897" localSheetId="1">紅綠燈!#REF!</definedName>
    <definedName name="外部資料_4899" localSheetId="1">紅綠燈!#REF!</definedName>
    <definedName name="外部資料_49" localSheetId="16">PKA!#REF!</definedName>
    <definedName name="外部資料_49" localSheetId="17">PKB!#REF!</definedName>
    <definedName name="外部資料_49" localSheetId="18">PKC!#REF!</definedName>
    <definedName name="外部資料_49" localSheetId="9">PSR!#REF!</definedName>
    <definedName name="外部資料_49" localSheetId="4">公司債!#REF!</definedName>
    <definedName name="外部資料_49" localSheetId="14">評比系統!#REF!</definedName>
    <definedName name="外部資料_49" localSheetId="7">營收搶先報!#REF!</definedName>
    <definedName name="外部資料_490" localSheetId="16">PKA!#REF!</definedName>
    <definedName name="外部資料_490" localSheetId="17">PKB!#REF!</definedName>
    <definedName name="外部資料_490" localSheetId="18">PKC!#REF!</definedName>
    <definedName name="外部資料_490" localSheetId="4">公司債!#REF!</definedName>
    <definedName name="外部資料_490" localSheetId="14">評比系統!$T$1:$T$3</definedName>
    <definedName name="外部資料_4900" localSheetId="1">紅綠燈!#REF!</definedName>
    <definedName name="外部資料_4901" localSheetId="1">紅綠燈!#REF!</definedName>
    <definedName name="外部資料_4903" localSheetId="1">紅綠燈!#REF!</definedName>
    <definedName name="外部資料_4904" localSheetId="1">紅綠燈!#REF!</definedName>
    <definedName name="外部資料_4905" localSheetId="1">紅綠燈!#REF!</definedName>
    <definedName name="外部資料_4907" localSheetId="1">紅綠燈!#REF!</definedName>
    <definedName name="外部資料_4908" localSheetId="1">紅綠燈!#REF!</definedName>
    <definedName name="外部資料_4909" localSheetId="1">紅綠燈!#REF!</definedName>
    <definedName name="外部資料_491" localSheetId="16">PKA!#REF!</definedName>
    <definedName name="外部資料_491" localSheetId="17">PKB!#REF!</definedName>
    <definedName name="外部資料_491" localSheetId="18">PKC!#REF!</definedName>
    <definedName name="外部資料_491" localSheetId="4">公司債!#REF!</definedName>
    <definedName name="外部資料_491" localSheetId="14">評比系統!$T$1:$T$3</definedName>
    <definedName name="外部資料_4911" localSheetId="1">紅綠燈!#REF!</definedName>
    <definedName name="外部資料_4912" localSheetId="1">紅綠燈!#REF!</definedName>
    <definedName name="外部資料_4913" localSheetId="1">紅綠燈!#REF!</definedName>
    <definedName name="外部資料_4915" localSheetId="1">紅綠燈!#REF!</definedName>
    <definedName name="外部資料_4916" localSheetId="1">紅綠燈!#REF!</definedName>
    <definedName name="外部資料_4917" localSheetId="1">紅綠燈!#REF!</definedName>
    <definedName name="外部資料_4919" localSheetId="1">紅綠燈!#REF!</definedName>
    <definedName name="外部資料_492" localSheetId="16">PKA!#REF!</definedName>
    <definedName name="外部資料_492" localSheetId="17">PKB!#REF!</definedName>
    <definedName name="外部資料_492" localSheetId="18">PKC!#REF!</definedName>
    <definedName name="外部資料_492" localSheetId="4">公司債!#REF!</definedName>
    <definedName name="外部資料_492" localSheetId="14">評比系統!$T$1:$T$3</definedName>
    <definedName name="外部資料_4920" localSheetId="1">紅綠燈!#REF!</definedName>
    <definedName name="外部資料_4921" localSheetId="1">紅綠燈!#REF!</definedName>
    <definedName name="外部資料_4923" localSheetId="1">紅綠燈!#REF!</definedName>
    <definedName name="外部資料_4924" localSheetId="1">紅綠燈!#REF!</definedName>
    <definedName name="外部資料_4925" localSheetId="1">紅綠燈!#REF!</definedName>
    <definedName name="外部資料_4927" localSheetId="1">紅綠燈!#REF!</definedName>
    <definedName name="外部資料_4928" localSheetId="1">紅綠燈!#REF!</definedName>
    <definedName name="外部資料_4929" localSheetId="1">紅綠燈!#REF!</definedName>
    <definedName name="外部資料_493" localSheetId="16">PKA!#REF!</definedName>
    <definedName name="外部資料_493" localSheetId="17">PKB!#REF!</definedName>
    <definedName name="外部資料_493" localSheetId="18">PKC!#REF!</definedName>
    <definedName name="外部資料_493" localSheetId="4">公司債!#REF!</definedName>
    <definedName name="外部資料_493" localSheetId="14">評比系統!$T$1:$T$3</definedName>
    <definedName name="外部資料_4931" localSheetId="1">紅綠燈!#REF!</definedName>
    <definedName name="外部資料_4932" localSheetId="1">紅綠燈!#REF!</definedName>
    <definedName name="外部資料_4933" localSheetId="1">紅綠燈!#REF!</definedName>
    <definedName name="外部資料_4935" localSheetId="1">紅綠燈!#REF!</definedName>
    <definedName name="外部資料_4936" localSheetId="1">紅綠燈!#REF!</definedName>
    <definedName name="外部資料_4937" localSheetId="1">紅綠燈!#REF!</definedName>
    <definedName name="外部資料_4939" localSheetId="1">紅綠燈!#REF!</definedName>
    <definedName name="外部資料_494" localSheetId="16">PKA!#REF!</definedName>
    <definedName name="外部資料_494" localSheetId="17">PKB!#REF!</definedName>
    <definedName name="外部資料_494" localSheetId="18">PKC!#REF!</definedName>
    <definedName name="外部資料_494" localSheetId="4">公司債!#REF!</definedName>
    <definedName name="外部資料_494" localSheetId="14">評比系統!$T$1:$T$3</definedName>
    <definedName name="外部資料_4940" localSheetId="1">紅綠燈!#REF!</definedName>
    <definedName name="外部資料_4941" localSheetId="1">紅綠燈!#REF!</definedName>
    <definedName name="外部資料_4943" localSheetId="1">紅綠燈!#REF!</definedName>
    <definedName name="外部資料_4944" localSheetId="1">紅綠燈!#REF!</definedName>
    <definedName name="外部資料_4945" localSheetId="1">紅綠燈!#REF!</definedName>
    <definedName name="外部資料_4947" localSheetId="1">紅綠燈!#REF!</definedName>
    <definedName name="外部資料_4948" localSheetId="1">紅綠燈!#REF!</definedName>
    <definedName name="外部資料_4949" localSheetId="1">紅綠燈!#REF!</definedName>
    <definedName name="外部資料_495" localSheetId="16">PKA!#REF!</definedName>
    <definedName name="外部資料_495" localSheetId="17">PKB!#REF!</definedName>
    <definedName name="外部資料_495" localSheetId="18">PKC!#REF!</definedName>
    <definedName name="外部資料_495" localSheetId="4">公司債!#REF!</definedName>
    <definedName name="外部資料_495" localSheetId="14">評比系統!$T$1:$T$3</definedName>
    <definedName name="外部資料_4951" localSheetId="1">紅綠燈!#REF!</definedName>
    <definedName name="外部資料_4952" localSheetId="1">紅綠燈!#REF!</definedName>
    <definedName name="外部資料_4953" localSheetId="1">紅綠燈!#REF!</definedName>
    <definedName name="外部資料_4955" localSheetId="1">紅綠燈!#REF!</definedName>
    <definedName name="外部資料_4956" localSheetId="1">紅綠燈!#REF!</definedName>
    <definedName name="外部資料_4957" localSheetId="1">紅綠燈!#REF!</definedName>
    <definedName name="外部資料_4959" localSheetId="1">紅綠燈!#REF!</definedName>
    <definedName name="外部資料_496" localSheetId="16">PKA!#REF!</definedName>
    <definedName name="外部資料_496" localSheetId="17">PKB!#REF!</definedName>
    <definedName name="外部資料_496" localSheetId="18">PKC!#REF!</definedName>
    <definedName name="外部資料_496" localSheetId="4">公司債!#REF!</definedName>
    <definedName name="外部資料_496" localSheetId="14">評比系統!$T$1:$T$3</definedName>
    <definedName name="外部資料_4960" localSheetId="1">紅綠燈!#REF!</definedName>
    <definedName name="外部資料_4961" localSheetId="1">紅綠燈!#REF!</definedName>
    <definedName name="外部資料_4963" localSheetId="1">紅綠燈!#REF!</definedName>
    <definedName name="外部資料_4964" localSheetId="1">紅綠燈!#REF!</definedName>
    <definedName name="外部資料_4965" localSheetId="1">紅綠燈!#REF!</definedName>
    <definedName name="外部資料_4967" localSheetId="1">紅綠燈!#REF!</definedName>
    <definedName name="外部資料_4968" localSheetId="1">紅綠燈!#REF!</definedName>
    <definedName name="外部資料_4969" localSheetId="1">紅綠燈!#REF!</definedName>
    <definedName name="外部資料_497" localSheetId="16">PKA!#REF!</definedName>
    <definedName name="外部資料_497" localSheetId="17">PKB!#REF!</definedName>
    <definedName name="外部資料_497" localSheetId="18">PKC!#REF!</definedName>
    <definedName name="外部資料_497" localSheetId="4">公司債!#REF!</definedName>
    <definedName name="外部資料_497" localSheetId="14">評比系統!$T$1:$T$3</definedName>
    <definedName name="外部資料_4971" localSheetId="1">紅綠燈!#REF!</definedName>
    <definedName name="外部資料_4972" localSheetId="1">紅綠燈!#REF!</definedName>
    <definedName name="外部資料_4973" localSheetId="1">紅綠燈!#REF!</definedName>
    <definedName name="外部資料_4975" localSheetId="1">紅綠燈!#REF!</definedName>
    <definedName name="外部資料_4976" localSheetId="1">紅綠燈!#REF!</definedName>
    <definedName name="外部資料_4977" localSheetId="1">紅綠燈!#REF!</definedName>
    <definedName name="外部資料_4979" localSheetId="1">紅綠燈!#REF!</definedName>
    <definedName name="外部資料_498" localSheetId="16">PKA!#REF!</definedName>
    <definedName name="外部資料_498" localSheetId="17">PKB!#REF!</definedName>
    <definedName name="外部資料_498" localSheetId="18">PKC!#REF!</definedName>
    <definedName name="外部資料_498" localSheetId="4">公司債!#REF!</definedName>
    <definedName name="外部資料_498" localSheetId="14">評比系統!$T$1:$T$3</definedName>
    <definedName name="外部資料_4980" localSheetId="1">紅綠燈!#REF!</definedName>
    <definedName name="外部資料_4981" localSheetId="1">紅綠燈!#REF!</definedName>
    <definedName name="外部資料_4983" localSheetId="1">紅綠燈!#REF!</definedName>
    <definedName name="外部資料_4984" localSheetId="1">紅綠燈!#REF!</definedName>
    <definedName name="外部資料_4985" localSheetId="1">紅綠燈!#REF!</definedName>
    <definedName name="外部資料_4987" localSheetId="1">紅綠燈!#REF!</definedName>
    <definedName name="外部資料_4988" localSheetId="1">紅綠燈!#REF!</definedName>
    <definedName name="外部資料_4989" localSheetId="1">紅綠燈!#REF!</definedName>
    <definedName name="外部資料_499" localSheetId="16">PKA!#REF!</definedName>
    <definedName name="外部資料_499" localSheetId="17">PKB!#REF!</definedName>
    <definedName name="外部資料_499" localSheetId="18">PKC!#REF!</definedName>
    <definedName name="外部資料_499" localSheetId="4">公司債!#REF!</definedName>
    <definedName name="外部資料_499" localSheetId="14">評比系統!$T$1:$T$3</definedName>
    <definedName name="外部資料_4991" localSheetId="1">紅綠燈!#REF!</definedName>
    <definedName name="外部資料_4992" localSheetId="1">紅綠燈!#REF!</definedName>
    <definedName name="外部資料_4993" localSheetId="1">紅綠燈!#REF!</definedName>
    <definedName name="外部資料_4995" localSheetId="1">紅綠燈!#REF!</definedName>
    <definedName name="外部資料_4996" localSheetId="1">紅綠燈!#REF!</definedName>
    <definedName name="外部資料_4997" localSheetId="1">紅綠燈!#REF!</definedName>
    <definedName name="外部資料_4999" localSheetId="1">紅綠燈!#REF!</definedName>
    <definedName name="外部資料_5" localSheetId="16">PKA!#REF!</definedName>
    <definedName name="外部資料_5" localSheetId="17">PKB!#REF!</definedName>
    <definedName name="外部資料_5" localSheetId="18">PKC!#REF!</definedName>
    <definedName name="外部資料_5" localSheetId="9">PSR!#REF!</definedName>
    <definedName name="外部資料_5" localSheetId="4">公司債!#REF!</definedName>
    <definedName name="外部資料_5" localSheetId="1">紅綠燈!#REF!</definedName>
    <definedName name="外部資料_5" localSheetId="14">評比系統!#REF!</definedName>
    <definedName name="外部資料_5" localSheetId="5">篩股系統!#REF!</definedName>
    <definedName name="外部資料_5" localSheetId="7">營收搶先報!#REF!</definedName>
    <definedName name="外部資料_50" localSheetId="16">PKA!#REF!</definedName>
    <definedName name="外部資料_50" localSheetId="17">PKB!#REF!</definedName>
    <definedName name="外部資料_50" localSheetId="18">PKC!#REF!</definedName>
    <definedName name="外部資料_50" localSheetId="9">PSR!#REF!</definedName>
    <definedName name="外部資料_50" localSheetId="4">公司債!#REF!</definedName>
    <definedName name="外部資料_50" localSheetId="14">評比系統!#REF!</definedName>
    <definedName name="外部資料_50" localSheetId="5">篩股系統!$C$8:$S$65</definedName>
    <definedName name="外部資料_50" localSheetId="7">營收搶先報!#REF!</definedName>
    <definedName name="外部資料_500" localSheetId="16">PKA!#REF!</definedName>
    <definedName name="外部資料_500" localSheetId="17">PKB!#REF!</definedName>
    <definedName name="外部資料_500" localSheetId="18">PKC!#REF!</definedName>
    <definedName name="外部資料_500" localSheetId="4">公司債!#REF!</definedName>
    <definedName name="外部資料_500" localSheetId="14">評比系統!$T$1:$T$3</definedName>
    <definedName name="外部資料_5000" localSheetId="1">紅綠燈!#REF!</definedName>
    <definedName name="外部資料_5001" localSheetId="1">紅綠燈!#REF!</definedName>
    <definedName name="外部資料_5003" localSheetId="1">紅綠燈!#REF!</definedName>
    <definedName name="外部資料_5004" localSheetId="1">紅綠燈!#REF!</definedName>
    <definedName name="外部資料_5005" localSheetId="1">紅綠燈!#REF!</definedName>
    <definedName name="外部資料_5007" localSheetId="1">紅綠燈!#REF!</definedName>
    <definedName name="外部資料_5008" localSheetId="1">紅綠燈!#REF!</definedName>
    <definedName name="外部資料_5009" localSheetId="1">紅綠燈!#REF!</definedName>
    <definedName name="外部資料_501" localSheetId="16">PKA!#REF!</definedName>
    <definedName name="外部資料_501" localSheetId="17">PKB!#REF!</definedName>
    <definedName name="外部資料_501" localSheetId="18">PKC!#REF!</definedName>
    <definedName name="外部資料_501" localSheetId="4">公司債!#REF!</definedName>
    <definedName name="外部資料_501" localSheetId="14">評比系統!$T$1:$T$3</definedName>
    <definedName name="外部資料_5011" localSheetId="1">紅綠燈!#REF!</definedName>
    <definedName name="外部資料_5012" localSheetId="1">紅綠燈!#REF!</definedName>
    <definedName name="外部資料_5013" localSheetId="1">紅綠燈!#REF!</definedName>
    <definedName name="外部資料_5015" localSheetId="1">紅綠燈!#REF!</definedName>
    <definedName name="外部資料_5016" localSheetId="1">紅綠燈!#REF!</definedName>
    <definedName name="外部資料_5017" localSheetId="1">紅綠燈!#REF!</definedName>
    <definedName name="外部資料_5019" localSheetId="1">紅綠燈!#REF!</definedName>
    <definedName name="外部資料_502" localSheetId="16">PKA!#REF!</definedName>
    <definedName name="外部資料_502" localSheetId="17">PKB!#REF!</definedName>
    <definedName name="外部資料_502" localSheetId="18">PKC!#REF!</definedName>
    <definedName name="外部資料_502" localSheetId="4">公司債!#REF!</definedName>
    <definedName name="外部資料_502" localSheetId="14">評比系統!$T$1:$T$3</definedName>
    <definedName name="外部資料_5020" localSheetId="1">紅綠燈!#REF!</definedName>
    <definedName name="外部資料_5021" localSheetId="1">紅綠燈!#REF!</definedName>
    <definedName name="外部資料_5023" localSheetId="1">紅綠燈!#REF!</definedName>
    <definedName name="外部資料_5024" localSheetId="1">紅綠燈!#REF!</definedName>
    <definedName name="外部資料_5025" localSheetId="1">紅綠燈!#REF!</definedName>
    <definedName name="外部資料_5027" localSheetId="1">紅綠燈!#REF!</definedName>
    <definedName name="外部資料_5028" localSheetId="1">紅綠燈!#REF!</definedName>
    <definedName name="外部資料_5029" localSheetId="1">紅綠燈!#REF!</definedName>
    <definedName name="外部資料_503" localSheetId="16">PKA!#REF!</definedName>
    <definedName name="外部資料_503" localSheetId="17">PKB!#REF!</definedName>
    <definedName name="外部資料_503" localSheetId="18">PKC!#REF!</definedName>
    <definedName name="外部資料_503" localSheetId="4">公司債!#REF!</definedName>
    <definedName name="外部資料_503" localSheetId="14">評比系統!$T$1:$T$3</definedName>
    <definedName name="外部資料_5031" localSheetId="1">紅綠燈!#REF!</definedName>
    <definedName name="外部資料_5032" localSheetId="1">紅綠燈!#REF!</definedName>
    <definedName name="外部資料_5033" localSheetId="1">紅綠燈!#REF!</definedName>
    <definedName name="外部資料_5035" localSheetId="1">紅綠燈!#REF!</definedName>
    <definedName name="外部資料_5036" localSheetId="1">紅綠燈!#REF!</definedName>
    <definedName name="外部資料_5037" localSheetId="1">紅綠燈!#REF!</definedName>
    <definedName name="外部資料_5039" localSheetId="1">紅綠燈!#REF!</definedName>
    <definedName name="外部資料_504" localSheetId="16">PKA!#REF!</definedName>
    <definedName name="外部資料_504" localSheetId="17">PKB!#REF!</definedName>
    <definedName name="外部資料_504" localSheetId="18">PKC!#REF!</definedName>
    <definedName name="外部資料_504" localSheetId="4">公司債!#REF!</definedName>
    <definedName name="外部資料_504" localSheetId="14">評比系統!$T$1:$T$3</definedName>
    <definedName name="外部資料_5040" localSheetId="1">紅綠燈!#REF!</definedName>
    <definedName name="外部資料_5041" localSheetId="1">紅綠燈!#REF!</definedName>
    <definedName name="外部資料_5043" localSheetId="1">紅綠燈!#REF!</definedName>
    <definedName name="外部資料_5044" localSheetId="1">紅綠燈!#REF!</definedName>
    <definedName name="外部資料_5045" localSheetId="1">紅綠燈!#REF!</definedName>
    <definedName name="外部資料_5047" localSheetId="1">紅綠燈!#REF!</definedName>
    <definedName name="外部資料_5048" localSheetId="1">紅綠燈!#REF!</definedName>
    <definedName name="外部資料_5049" localSheetId="1">紅綠燈!#REF!</definedName>
    <definedName name="外部資料_505" localSheetId="16">PKA!#REF!</definedName>
    <definedName name="外部資料_505" localSheetId="17">PKB!#REF!</definedName>
    <definedName name="外部資料_505" localSheetId="18">PKC!#REF!</definedName>
    <definedName name="外部資料_505" localSheetId="4">公司債!#REF!</definedName>
    <definedName name="外部資料_505" localSheetId="14">評比系統!$T$1:$T$3</definedName>
    <definedName name="外部資料_5051" localSheetId="1">紅綠燈!#REF!</definedName>
    <definedName name="外部資料_5052" localSheetId="1">紅綠燈!#REF!</definedName>
    <definedName name="外部資料_5053" localSheetId="1">紅綠燈!#REF!</definedName>
    <definedName name="外部資料_5055" localSheetId="1">紅綠燈!#REF!</definedName>
    <definedName name="外部資料_5056" localSheetId="1">紅綠燈!#REF!</definedName>
    <definedName name="外部資料_5057" localSheetId="1">紅綠燈!#REF!</definedName>
    <definedName name="外部資料_5059" localSheetId="1">紅綠燈!#REF!</definedName>
    <definedName name="外部資料_506" localSheetId="16">PKA!#REF!</definedName>
    <definedName name="外部資料_506" localSheetId="17">PKB!#REF!</definedName>
    <definedName name="外部資料_506" localSheetId="18">PKC!#REF!</definedName>
    <definedName name="外部資料_506" localSheetId="4">公司債!#REF!</definedName>
    <definedName name="外部資料_506" localSheetId="14">評比系統!$T$1:$T$3</definedName>
    <definedName name="外部資料_5060" localSheetId="1">紅綠燈!#REF!</definedName>
    <definedName name="外部資料_5061" localSheetId="1">紅綠燈!#REF!</definedName>
    <definedName name="外部資料_5063" localSheetId="1">紅綠燈!#REF!</definedName>
    <definedName name="外部資料_5064" localSheetId="1">紅綠燈!#REF!</definedName>
    <definedName name="外部資料_5065" localSheetId="1">紅綠燈!#REF!</definedName>
    <definedName name="外部資料_5067" localSheetId="1">紅綠燈!#REF!</definedName>
    <definedName name="外部資料_5068" localSheetId="1">紅綠燈!#REF!</definedName>
    <definedName name="外部資料_5069" localSheetId="1">紅綠燈!#REF!</definedName>
    <definedName name="外部資料_507" localSheetId="16">PKA!#REF!</definedName>
    <definedName name="外部資料_507" localSheetId="17">PKB!#REF!</definedName>
    <definedName name="外部資料_507" localSheetId="18">PKC!#REF!</definedName>
    <definedName name="外部資料_507" localSheetId="4">公司債!#REF!</definedName>
    <definedName name="外部資料_507" localSheetId="14">評比系統!$T$1:$T$3</definedName>
    <definedName name="外部資料_5071" localSheetId="1">紅綠燈!#REF!</definedName>
    <definedName name="外部資料_5072" localSheetId="1">紅綠燈!#REF!</definedName>
    <definedName name="外部資料_5073" localSheetId="1">紅綠燈!#REF!</definedName>
    <definedName name="外部資料_5075" localSheetId="1">紅綠燈!#REF!</definedName>
    <definedName name="外部資料_5076" localSheetId="1">紅綠燈!#REF!</definedName>
    <definedName name="外部資料_5077" localSheetId="1">紅綠燈!#REF!</definedName>
    <definedName name="外部資料_5079" localSheetId="1">紅綠燈!#REF!</definedName>
    <definedName name="外部資料_508" localSheetId="16">PKA!#REF!</definedName>
    <definedName name="外部資料_508" localSheetId="17">PKB!#REF!</definedName>
    <definedName name="外部資料_508" localSheetId="18">PKC!#REF!</definedName>
    <definedName name="外部資料_508" localSheetId="4">公司債!#REF!</definedName>
    <definedName name="外部資料_508" localSheetId="14">評比系統!$T$1:$T$3</definedName>
    <definedName name="外部資料_5080" localSheetId="1">紅綠燈!#REF!</definedName>
    <definedName name="外部資料_5081" localSheetId="1">紅綠燈!#REF!</definedName>
    <definedName name="外部資料_5083" localSheetId="1">紅綠燈!#REF!</definedName>
    <definedName name="外部資料_5084" localSheetId="1">紅綠燈!#REF!</definedName>
    <definedName name="外部資料_5085" localSheetId="1">紅綠燈!#REF!</definedName>
    <definedName name="外部資料_5087" localSheetId="1">紅綠燈!#REF!</definedName>
    <definedName name="外部資料_5088" localSheetId="1">紅綠燈!#REF!</definedName>
    <definedName name="外部資料_5089" localSheetId="1">紅綠燈!#REF!</definedName>
    <definedName name="外部資料_509" localSheetId="16">PKA!#REF!</definedName>
    <definedName name="外部資料_509" localSheetId="17">PKB!#REF!</definedName>
    <definedName name="外部資料_509" localSheetId="18">PKC!#REF!</definedName>
    <definedName name="外部資料_509" localSheetId="14">評比系統!$T$1:$T$3</definedName>
    <definedName name="外部資料_5091" localSheetId="1">紅綠燈!#REF!</definedName>
    <definedName name="外部資料_5092" localSheetId="1">紅綠燈!#REF!</definedName>
    <definedName name="外部資料_5093" localSheetId="1">紅綠燈!#REF!</definedName>
    <definedName name="外部資料_5095" localSheetId="1">紅綠燈!#REF!</definedName>
    <definedName name="外部資料_5096" localSheetId="1">紅綠燈!#REF!</definedName>
    <definedName name="外部資料_5097" localSheetId="1">紅綠燈!#REF!</definedName>
    <definedName name="外部資料_5099" localSheetId="1">紅綠燈!#REF!</definedName>
    <definedName name="外部資料_51" localSheetId="16">PKA!#REF!</definedName>
    <definedName name="外部資料_51" localSheetId="17">PKB!#REF!</definedName>
    <definedName name="外部資料_51" localSheetId="18">PKC!#REF!</definedName>
    <definedName name="外部資料_51" localSheetId="9">PSR!#REF!</definedName>
    <definedName name="外部資料_51" localSheetId="4">公司債!#REF!</definedName>
    <definedName name="外部資料_51" localSheetId="14">評比系統!$T$1:$T$3</definedName>
    <definedName name="外部資料_51" localSheetId="7">營收搶先報!#REF!</definedName>
    <definedName name="外部資料_510" localSheetId="16">PKA!#REF!</definedName>
    <definedName name="外部資料_510" localSheetId="17">PKB!#REF!</definedName>
    <definedName name="外部資料_510" localSheetId="18">PKC!#REF!</definedName>
    <definedName name="外部資料_510" localSheetId="4">公司債!#REF!</definedName>
    <definedName name="外部資料_510" localSheetId="14">評比系統!$T$1:$T$3</definedName>
    <definedName name="外部資料_5100" localSheetId="1">紅綠燈!#REF!</definedName>
    <definedName name="外部資料_5101" localSheetId="1">紅綠燈!#REF!</definedName>
    <definedName name="外部資料_5103" localSheetId="1">紅綠燈!#REF!</definedName>
    <definedName name="外部資料_5104" localSheetId="1">紅綠燈!#REF!</definedName>
    <definedName name="外部資料_5105" localSheetId="1">紅綠燈!#REF!</definedName>
    <definedName name="外部資料_5107" localSheetId="1">紅綠燈!#REF!</definedName>
    <definedName name="外部資料_5108" localSheetId="1">紅綠燈!#REF!</definedName>
    <definedName name="外部資料_5109" localSheetId="1">紅綠燈!#REF!</definedName>
    <definedName name="外部資料_511" localSheetId="16">PKA!#REF!</definedName>
    <definedName name="外部資料_511" localSheetId="17">PKB!#REF!</definedName>
    <definedName name="外部資料_511" localSheetId="18">PKC!#REF!</definedName>
    <definedName name="外部資料_511" localSheetId="4">公司債!#REF!</definedName>
    <definedName name="外部資料_511" localSheetId="14">評比系統!$T$1:$T$3</definedName>
    <definedName name="外部資料_5111" localSheetId="1">紅綠燈!#REF!</definedName>
    <definedName name="外部資料_5112" localSheetId="1">紅綠燈!#REF!</definedName>
    <definedName name="外部資料_5113" localSheetId="1">紅綠燈!#REF!</definedName>
    <definedName name="外部資料_5115" localSheetId="1">紅綠燈!#REF!</definedName>
    <definedName name="外部資料_5116" localSheetId="1">紅綠燈!#REF!</definedName>
    <definedName name="外部資料_5117" localSheetId="1">紅綠燈!#REF!</definedName>
    <definedName name="外部資料_5119" localSheetId="1">紅綠燈!#REF!</definedName>
    <definedName name="外部資料_512" localSheetId="16">PKA!#REF!</definedName>
    <definedName name="外部資料_512" localSheetId="17">PKB!#REF!</definedName>
    <definedName name="外部資料_512" localSheetId="18">PKC!#REF!</definedName>
    <definedName name="外部資料_512" localSheetId="4">公司債!#REF!</definedName>
    <definedName name="外部資料_512" localSheetId="14">評比系統!$T$1:$T$3</definedName>
    <definedName name="外部資料_5120" localSheetId="1">紅綠燈!#REF!</definedName>
    <definedName name="外部資料_5121" localSheetId="1">紅綠燈!#REF!</definedName>
    <definedName name="外部資料_5123" localSheetId="1">紅綠燈!#REF!</definedName>
    <definedName name="外部資料_5124" localSheetId="1">紅綠燈!#REF!</definedName>
    <definedName name="外部資料_5125" localSheetId="1">紅綠燈!#REF!</definedName>
    <definedName name="外部資料_5127" localSheetId="1">紅綠燈!#REF!</definedName>
    <definedName name="外部資料_5128" localSheetId="1">紅綠燈!#REF!</definedName>
    <definedName name="外部資料_5129" localSheetId="1">紅綠燈!#REF!</definedName>
    <definedName name="外部資料_513" localSheetId="16">PKA!#REF!</definedName>
    <definedName name="外部資料_513" localSheetId="17">PKB!#REF!</definedName>
    <definedName name="外部資料_513" localSheetId="18">PKC!#REF!</definedName>
    <definedName name="外部資料_513" localSheetId="4">公司債!#REF!</definedName>
    <definedName name="外部資料_513" localSheetId="14">評比系統!$T$1:$T$3</definedName>
    <definedName name="外部資料_5131" localSheetId="1">紅綠燈!#REF!</definedName>
    <definedName name="外部資料_5132" localSheetId="1">紅綠燈!#REF!</definedName>
    <definedName name="外部資料_5133" localSheetId="1">紅綠燈!#REF!</definedName>
    <definedName name="外部資料_5135" localSheetId="1">紅綠燈!#REF!</definedName>
    <definedName name="外部資料_5136" localSheetId="1">紅綠燈!#REF!</definedName>
    <definedName name="外部資料_5137" localSheetId="1">紅綠燈!#REF!</definedName>
    <definedName name="外部資料_5139" localSheetId="1">紅綠燈!#REF!</definedName>
    <definedName name="外部資料_514" localSheetId="16">PKA!#REF!</definedName>
    <definedName name="外部資料_514" localSheetId="17">PKB!#REF!</definedName>
    <definedName name="外部資料_514" localSheetId="18">PKC!#REF!</definedName>
    <definedName name="外部資料_514" localSheetId="4">公司債!#REF!</definedName>
    <definedName name="外部資料_514" localSheetId="14">評比系統!$T$1:$T$3</definedName>
    <definedName name="外部資料_5140" localSheetId="1">紅綠燈!#REF!</definedName>
    <definedName name="外部資料_5141" localSheetId="1">紅綠燈!#REF!</definedName>
    <definedName name="外部資料_5143" localSheetId="1">紅綠燈!#REF!</definedName>
    <definedName name="外部資料_5144" localSheetId="1">紅綠燈!#REF!</definedName>
    <definedName name="外部資料_5145" localSheetId="1">紅綠燈!#REF!</definedName>
    <definedName name="外部資料_5147" localSheetId="1">紅綠燈!#REF!</definedName>
    <definedName name="外部資料_5148" localSheetId="1">紅綠燈!#REF!</definedName>
    <definedName name="外部資料_5149" localSheetId="1">紅綠燈!#REF!</definedName>
    <definedName name="外部資料_515" localSheetId="16">PKA!#REF!</definedName>
    <definedName name="外部資料_515" localSheetId="17">PKB!#REF!</definedName>
    <definedName name="外部資料_515" localSheetId="18">PKC!#REF!</definedName>
    <definedName name="外部資料_515" localSheetId="4">公司債!#REF!</definedName>
    <definedName name="外部資料_515" localSheetId="14">評比系統!$T$1:$T$3</definedName>
    <definedName name="外部資料_5151" localSheetId="1">紅綠燈!#REF!</definedName>
    <definedName name="外部資料_5152" localSheetId="1">紅綠燈!#REF!</definedName>
    <definedName name="外部資料_5153" localSheetId="1">紅綠燈!#REF!</definedName>
    <definedName name="外部資料_5155" localSheetId="1">紅綠燈!#REF!</definedName>
    <definedName name="外部資料_5156" localSheetId="1">紅綠燈!#REF!</definedName>
    <definedName name="外部資料_5157" localSheetId="1">紅綠燈!#REF!</definedName>
    <definedName name="外部資料_5159" localSheetId="1">紅綠燈!#REF!</definedName>
    <definedName name="外部資料_516" localSheetId="16">PKA!#REF!</definedName>
    <definedName name="外部資料_516" localSheetId="17">PKB!#REF!</definedName>
    <definedName name="外部資料_516" localSheetId="18">PKC!#REF!</definedName>
    <definedName name="外部資料_516" localSheetId="4">公司債!#REF!</definedName>
    <definedName name="外部資料_516" localSheetId="14">評比系統!$T$1:$T$3</definedName>
    <definedName name="外部資料_5160" localSheetId="1">紅綠燈!#REF!</definedName>
    <definedName name="外部資料_5161" localSheetId="1">紅綠燈!#REF!</definedName>
    <definedName name="外部資料_5163" localSheetId="1">紅綠燈!#REF!</definedName>
    <definedName name="外部資料_5164" localSheetId="1">紅綠燈!#REF!</definedName>
    <definedName name="外部資料_5165" localSheetId="1">紅綠燈!#REF!</definedName>
    <definedName name="外部資料_5167" localSheetId="1">紅綠燈!#REF!</definedName>
    <definedName name="外部資料_5168" localSheetId="1">紅綠燈!#REF!</definedName>
    <definedName name="外部資料_5169" localSheetId="1">紅綠燈!#REF!</definedName>
    <definedName name="外部資料_517" localSheetId="16">PKA!#REF!</definedName>
    <definedName name="外部資料_517" localSheetId="17">PKB!#REF!</definedName>
    <definedName name="外部資料_517" localSheetId="18">PKC!#REF!</definedName>
    <definedName name="外部資料_517" localSheetId="4">公司債!#REF!</definedName>
    <definedName name="外部資料_517" localSheetId="14">評比系統!$T$1:$T$3</definedName>
    <definedName name="外部資料_5171" localSheetId="1">紅綠燈!#REF!</definedName>
    <definedName name="外部資料_5172" localSheetId="1">紅綠燈!#REF!</definedName>
    <definedName name="外部資料_5173" localSheetId="1">紅綠燈!#REF!</definedName>
    <definedName name="外部資料_5175" localSheetId="1">紅綠燈!#REF!</definedName>
    <definedName name="外部資料_5176" localSheetId="1">紅綠燈!#REF!</definedName>
    <definedName name="外部資料_5177" localSheetId="1">紅綠燈!#REF!</definedName>
    <definedName name="外部資料_5179" localSheetId="1">紅綠燈!#REF!</definedName>
    <definedName name="外部資料_518" localSheetId="16">PKA!#REF!</definedName>
    <definedName name="外部資料_518" localSheetId="17">PKB!#REF!</definedName>
    <definedName name="外部資料_518" localSheetId="18">PKC!#REF!</definedName>
    <definedName name="外部資料_518" localSheetId="4">公司債!#REF!</definedName>
    <definedName name="外部資料_518" localSheetId="14">評比系統!$T$1:$T$3</definedName>
    <definedName name="外部資料_5180" localSheetId="1">紅綠燈!#REF!</definedName>
    <definedName name="外部資料_5181" localSheetId="1">紅綠燈!#REF!</definedName>
    <definedName name="外部資料_5183" localSheetId="1">紅綠燈!#REF!</definedName>
    <definedName name="外部資料_5184" localSheetId="1">紅綠燈!#REF!</definedName>
    <definedName name="外部資料_5185" localSheetId="1">紅綠燈!#REF!</definedName>
    <definedName name="外部資料_5187" localSheetId="1">紅綠燈!#REF!</definedName>
    <definedName name="外部資料_5188" localSheetId="1">紅綠燈!#REF!</definedName>
    <definedName name="外部資料_5189" localSheetId="1">紅綠燈!#REF!</definedName>
    <definedName name="外部資料_519" localSheetId="16">PKA!#REF!</definedName>
    <definedName name="外部資料_519" localSheetId="17">PKB!#REF!</definedName>
    <definedName name="外部資料_519" localSheetId="18">PKC!#REF!</definedName>
    <definedName name="外部資料_519" localSheetId="4">公司債!#REF!</definedName>
    <definedName name="外部資料_519" localSheetId="14">評比系統!$T$1:$T$3</definedName>
    <definedName name="外部資料_5191" localSheetId="1">紅綠燈!#REF!</definedName>
    <definedName name="外部資料_5192" localSheetId="1">紅綠燈!#REF!</definedName>
    <definedName name="外部資料_5193" localSheetId="1">紅綠燈!#REF!</definedName>
    <definedName name="外部資料_5195" localSheetId="1">紅綠燈!#REF!</definedName>
    <definedName name="外部資料_5196" localSheetId="1">紅綠燈!#REF!</definedName>
    <definedName name="外部資料_5197" localSheetId="1">紅綠燈!#REF!</definedName>
    <definedName name="外部資料_5199" localSheetId="1">紅綠燈!#REF!</definedName>
    <definedName name="外部資料_52" localSheetId="16">PKA!#REF!</definedName>
    <definedName name="外部資料_52" localSheetId="17">PKB!#REF!</definedName>
    <definedName name="外部資料_52" localSheetId="18">PKC!#REF!</definedName>
    <definedName name="外部資料_52" localSheetId="9">PSR!#REF!</definedName>
    <definedName name="外部資料_52" localSheetId="4">公司債!#REF!</definedName>
    <definedName name="外部資料_52" localSheetId="14">評比系統!$T$1:$T$3</definedName>
    <definedName name="外部資料_52" localSheetId="7">營收搶先報!#REF!</definedName>
    <definedName name="外部資料_520" localSheetId="16">PKA!#REF!</definedName>
    <definedName name="外部資料_520" localSheetId="17">PKB!#REF!</definedName>
    <definedName name="外部資料_520" localSheetId="18">PKC!#REF!</definedName>
    <definedName name="外部資料_520" localSheetId="4">公司債!#REF!</definedName>
    <definedName name="外部資料_520" localSheetId="14">評比系統!$T$1:$T$3</definedName>
    <definedName name="外部資料_5200" localSheetId="1">紅綠燈!#REF!</definedName>
    <definedName name="外部資料_5201" localSheetId="1">紅綠燈!#REF!</definedName>
    <definedName name="外部資料_5203" localSheetId="1">紅綠燈!#REF!</definedName>
    <definedName name="外部資料_5204" localSheetId="1">紅綠燈!#REF!</definedName>
    <definedName name="外部資料_5205" localSheetId="1">紅綠燈!#REF!</definedName>
    <definedName name="外部資料_5207" localSheetId="1">紅綠燈!#REF!</definedName>
    <definedName name="外部資料_5208" localSheetId="1">紅綠燈!#REF!</definedName>
    <definedName name="外部資料_5209" localSheetId="1">紅綠燈!#REF!</definedName>
    <definedName name="外部資料_521" localSheetId="16">PKA!#REF!</definedName>
    <definedName name="外部資料_521" localSheetId="17">PKB!#REF!</definedName>
    <definedName name="外部資料_521" localSheetId="18">PKC!#REF!</definedName>
    <definedName name="外部資料_521" localSheetId="4">公司債!#REF!</definedName>
    <definedName name="外部資料_521" localSheetId="14">評比系統!$T$1:$T$3</definedName>
    <definedName name="外部資料_5211" localSheetId="1">紅綠燈!#REF!</definedName>
    <definedName name="外部資料_5212" localSheetId="1">紅綠燈!#REF!</definedName>
    <definedName name="外部資料_5213" localSheetId="1">紅綠燈!#REF!</definedName>
    <definedName name="外部資料_5215" localSheetId="1">紅綠燈!#REF!</definedName>
    <definedName name="外部資料_5216" localSheetId="1">紅綠燈!#REF!</definedName>
    <definedName name="外部資料_5217" localSheetId="1">紅綠燈!#REF!</definedName>
    <definedName name="外部資料_5219" localSheetId="1">紅綠燈!#REF!</definedName>
    <definedName name="外部資料_522" localSheetId="16">PKA!#REF!</definedName>
    <definedName name="外部資料_522" localSheetId="17">PKB!#REF!</definedName>
    <definedName name="外部資料_522" localSheetId="18">PKC!#REF!</definedName>
    <definedName name="外部資料_522" localSheetId="4">公司債!#REF!</definedName>
    <definedName name="外部資料_522" localSheetId="14">評比系統!$T$1:$T$3</definedName>
    <definedName name="外部資料_5220" localSheetId="1">紅綠燈!#REF!</definedName>
    <definedName name="外部資料_5221" localSheetId="1">紅綠燈!#REF!</definedName>
    <definedName name="外部資料_5223" localSheetId="1">紅綠燈!#REF!</definedName>
    <definedName name="外部資料_5224" localSheetId="1">紅綠燈!#REF!</definedName>
    <definedName name="外部資料_5225" localSheetId="1">紅綠燈!#REF!</definedName>
    <definedName name="外部資料_5227" localSheetId="1">紅綠燈!#REF!</definedName>
    <definedName name="外部資料_5228" localSheetId="1">紅綠燈!#REF!</definedName>
    <definedName name="外部資料_5229" localSheetId="1">紅綠燈!#REF!</definedName>
    <definedName name="外部資料_523" localSheetId="16">PKA!#REF!</definedName>
    <definedName name="外部資料_523" localSheetId="17">PKB!#REF!</definedName>
    <definedName name="外部資料_523" localSheetId="18">PKC!#REF!</definedName>
    <definedName name="外部資料_523" localSheetId="4">公司債!#REF!</definedName>
    <definedName name="外部資料_523" localSheetId="14">評比系統!$T$1:$T$3</definedName>
    <definedName name="外部資料_5231" localSheetId="1">紅綠燈!#REF!</definedName>
    <definedName name="外部資料_5232" localSheetId="1">紅綠燈!#REF!</definedName>
    <definedName name="外部資料_5233" localSheetId="1">紅綠燈!#REF!</definedName>
    <definedName name="外部資料_5235" localSheetId="1">紅綠燈!#REF!</definedName>
    <definedName name="外部資料_5236" localSheetId="1">紅綠燈!#REF!</definedName>
    <definedName name="外部資料_5237" localSheetId="1">紅綠燈!#REF!</definedName>
    <definedName name="外部資料_5239" localSheetId="1">紅綠燈!#REF!</definedName>
    <definedName name="外部資料_524" localSheetId="16">PKA!#REF!</definedName>
    <definedName name="外部資料_524" localSheetId="17">PKB!#REF!</definedName>
    <definedName name="外部資料_524" localSheetId="18">PKC!#REF!</definedName>
    <definedName name="外部資料_524" localSheetId="4">公司債!#REF!</definedName>
    <definedName name="外部資料_524" localSheetId="14">評比系統!$T$1:$T$3</definedName>
    <definedName name="外部資料_5240" localSheetId="1">紅綠燈!#REF!</definedName>
    <definedName name="外部資料_5241" localSheetId="1">紅綠燈!#REF!</definedName>
    <definedName name="外部資料_5243" localSheetId="1">紅綠燈!#REF!</definedName>
    <definedName name="外部資料_5244" localSheetId="1">紅綠燈!#REF!</definedName>
    <definedName name="外部資料_5246" localSheetId="1">紅綠燈!#REF!</definedName>
    <definedName name="外部資料_5247" localSheetId="1">紅綠燈!#REF!</definedName>
    <definedName name="外部資料_5248" localSheetId="1">紅綠燈!#REF!</definedName>
    <definedName name="外部資料_525" localSheetId="16">PKA!#REF!</definedName>
    <definedName name="外部資料_525" localSheetId="17">PKB!#REF!</definedName>
    <definedName name="外部資料_525" localSheetId="18">PKC!#REF!</definedName>
    <definedName name="外部資料_525" localSheetId="4">公司債!#REF!</definedName>
    <definedName name="外部資料_525" localSheetId="14">評比系統!$T$1:$T$3</definedName>
    <definedName name="外部資料_5250" localSheetId="1">紅綠燈!#REF!</definedName>
    <definedName name="外部資料_5251" localSheetId="1">紅綠燈!#REF!</definedName>
    <definedName name="外部資料_5252" localSheetId="1">紅綠燈!#REF!</definedName>
    <definedName name="外部資料_5254" localSheetId="1">紅綠燈!#REF!</definedName>
    <definedName name="外部資料_5255" localSheetId="1">紅綠燈!#REF!</definedName>
    <definedName name="外部資料_5256" localSheetId="1">紅綠燈!#REF!</definedName>
    <definedName name="外部資料_5258" localSheetId="1">紅綠燈!#REF!</definedName>
    <definedName name="外部資料_5259" localSheetId="1">紅綠燈!#REF!</definedName>
    <definedName name="外部資料_526" localSheetId="16">PKA!#REF!</definedName>
    <definedName name="外部資料_526" localSheetId="17">PKB!#REF!</definedName>
    <definedName name="外部資料_526" localSheetId="18">PKC!#REF!</definedName>
    <definedName name="外部資料_526" localSheetId="4">公司債!#REF!</definedName>
    <definedName name="外部資料_526" localSheetId="14">評比系統!$T$1:$T$3</definedName>
    <definedName name="外部資料_5260" localSheetId="1">紅綠燈!#REF!</definedName>
    <definedName name="外部資料_5262" localSheetId="1">紅綠燈!#REF!</definedName>
    <definedName name="外部資料_5263" localSheetId="1">紅綠燈!#REF!</definedName>
    <definedName name="外部資料_5264" localSheetId="1">紅綠燈!#REF!</definedName>
    <definedName name="外部資料_5266" localSheetId="1">紅綠燈!#REF!</definedName>
    <definedName name="外部資料_5267" localSheetId="1">紅綠燈!#REF!</definedName>
    <definedName name="外部資料_5268" localSheetId="1">紅綠燈!#REF!</definedName>
    <definedName name="外部資料_527" localSheetId="16">PKA!#REF!</definedName>
    <definedName name="外部資料_527" localSheetId="17">PKB!#REF!</definedName>
    <definedName name="外部資料_527" localSheetId="18">PKC!#REF!</definedName>
    <definedName name="外部資料_527" localSheetId="4">公司債!#REF!</definedName>
    <definedName name="外部資料_527" localSheetId="14">評比系統!$T$1:$T$3</definedName>
    <definedName name="外部資料_5270" localSheetId="1">紅綠燈!#REF!</definedName>
    <definedName name="外部資料_5271" localSheetId="1">紅綠燈!#REF!</definedName>
    <definedName name="外部資料_5272" localSheetId="1">紅綠燈!#REF!</definedName>
    <definedName name="外部資料_5274" localSheetId="1">紅綠燈!#REF!</definedName>
    <definedName name="外部資料_5275" localSheetId="1">紅綠燈!#REF!</definedName>
    <definedName name="外部資料_5276" localSheetId="1">紅綠燈!#REF!</definedName>
    <definedName name="外部資料_5278" localSheetId="1">紅綠燈!#REF!</definedName>
    <definedName name="外部資料_5279" localSheetId="1">紅綠燈!#REF!</definedName>
    <definedName name="外部資料_528" localSheetId="16">PKA!#REF!</definedName>
    <definedName name="外部資料_528" localSheetId="17">PKB!#REF!</definedName>
    <definedName name="外部資料_528" localSheetId="18">PKC!#REF!</definedName>
    <definedName name="外部資料_528" localSheetId="4">公司債!#REF!</definedName>
    <definedName name="外部資料_528" localSheetId="14">評比系統!$T$1:$T$3</definedName>
    <definedName name="外部資料_5280" localSheetId="1">紅綠燈!#REF!</definedName>
    <definedName name="外部資料_5282" localSheetId="1">紅綠燈!#REF!</definedName>
    <definedName name="外部資料_5283" localSheetId="1">紅綠燈!#REF!</definedName>
    <definedName name="外部資料_5284" localSheetId="1">紅綠燈!#REF!</definedName>
    <definedName name="外部資料_5286" localSheetId="1">紅綠燈!#REF!</definedName>
    <definedName name="外部資料_5287" localSheetId="1">紅綠燈!#REF!</definedName>
    <definedName name="外部資料_5288" localSheetId="1">紅綠燈!#REF!</definedName>
    <definedName name="外部資料_529" localSheetId="16">PKA!#REF!</definedName>
    <definedName name="外部資料_529" localSheetId="17">PKB!#REF!</definedName>
    <definedName name="外部資料_529" localSheetId="18">PKC!#REF!</definedName>
    <definedName name="外部資料_529" localSheetId="4">公司債!#REF!</definedName>
    <definedName name="外部資料_529" localSheetId="14">評比系統!$T$1:$T$3</definedName>
    <definedName name="外部資料_5290" localSheetId="1">紅綠燈!#REF!</definedName>
    <definedName name="外部資料_5291" localSheetId="1">紅綠燈!#REF!</definedName>
    <definedName name="外部資料_5292" localSheetId="1">紅綠燈!#REF!</definedName>
    <definedName name="外部資料_5294" localSheetId="1">紅綠燈!#REF!</definedName>
    <definedName name="外部資料_5295" localSheetId="1">紅綠燈!#REF!</definedName>
    <definedName name="外部資料_5296" localSheetId="1">紅綠燈!#REF!</definedName>
    <definedName name="外部資料_5298" localSheetId="1">紅綠燈!#REF!</definedName>
    <definedName name="外部資料_5299" localSheetId="1">紅綠燈!#REF!</definedName>
    <definedName name="外部資料_53" localSheetId="16">PKA!#REF!</definedName>
    <definedName name="外部資料_53" localSheetId="17">PKB!#REF!</definedName>
    <definedName name="外部資料_53" localSheetId="18">PKC!#REF!</definedName>
    <definedName name="外部資料_53" localSheetId="9">PSR!#REF!</definedName>
    <definedName name="外部資料_53" localSheetId="4">公司債!#REF!</definedName>
    <definedName name="外部資料_53" localSheetId="14">評比系統!$T$1:$T$3</definedName>
    <definedName name="外部資料_53" localSheetId="7">營收搶先報!#REF!</definedName>
    <definedName name="外部資料_530" localSheetId="16">PKA!#REF!</definedName>
    <definedName name="外部資料_530" localSheetId="17">PKB!#REF!</definedName>
    <definedName name="外部資料_530" localSheetId="18">PKC!#REF!</definedName>
    <definedName name="外部資料_530" localSheetId="4">公司債!#REF!</definedName>
    <definedName name="外部資料_530" localSheetId="14">評比系統!$T$1:$T$3</definedName>
    <definedName name="外部資料_5300" localSheetId="1">紅綠燈!#REF!</definedName>
    <definedName name="外部資料_5302" localSheetId="1">紅綠燈!#REF!</definedName>
    <definedName name="外部資料_5303" localSheetId="1">紅綠燈!#REF!</definedName>
    <definedName name="外部資料_5304" localSheetId="1">紅綠燈!#REF!</definedName>
    <definedName name="外部資料_5306" localSheetId="1">紅綠燈!#REF!</definedName>
    <definedName name="外部資料_5307" localSheetId="1">紅綠燈!#REF!</definedName>
    <definedName name="外部資料_5308" localSheetId="1">紅綠燈!#REF!</definedName>
    <definedName name="外部資料_531" localSheetId="16">PKA!#REF!</definedName>
    <definedName name="外部資料_531" localSheetId="17">PKB!#REF!</definedName>
    <definedName name="外部資料_531" localSheetId="18">PKC!#REF!</definedName>
    <definedName name="外部資料_531" localSheetId="4">公司債!#REF!</definedName>
    <definedName name="外部資料_531" localSheetId="14">評比系統!$T$1:$T$3</definedName>
    <definedName name="外部資料_5310" localSheetId="1">紅綠燈!#REF!</definedName>
    <definedName name="外部資料_5311" localSheetId="1">紅綠燈!#REF!</definedName>
    <definedName name="外部資料_5312" localSheetId="1">紅綠燈!#REF!</definedName>
    <definedName name="外部資料_5314" localSheetId="1">紅綠燈!#REF!</definedName>
    <definedName name="外部資料_5315" localSheetId="1">紅綠燈!#REF!</definedName>
    <definedName name="外部資料_5316" localSheetId="1">紅綠燈!#REF!</definedName>
    <definedName name="外部資料_5318" localSheetId="1">紅綠燈!#REF!</definedName>
    <definedName name="外部資料_5319" localSheetId="1">紅綠燈!#REF!</definedName>
    <definedName name="外部資料_532" localSheetId="16">PKA!#REF!</definedName>
    <definedName name="外部資料_532" localSheetId="17">PKB!#REF!</definedName>
    <definedName name="外部資料_532" localSheetId="18">PKC!#REF!</definedName>
    <definedName name="外部資料_532" localSheetId="4">公司債!#REF!</definedName>
    <definedName name="外部資料_532" localSheetId="14">評比系統!$T$1:$T$3</definedName>
    <definedName name="外部資料_5320" localSheetId="1">紅綠燈!#REF!</definedName>
    <definedName name="外部資料_5322" localSheetId="1">紅綠燈!#REF!</definedName>
    <definedName name="外部資料_5323" localSheetId="1">紅綠燈!#REF!</definedName>
    <definedName name="外部資料_5324" localSheetId="1">紅綠燈!#REF!</definedName>
    <definedName name="外部資料_5326" localSheetId="1">紅綠燈!#REF!</definedName>
    <definedName name="外部資料_5327" localSheetId="1">紅綠燈!#REF!</definedName>
    <definedName name="外部資料_5328" localSheetId="1">紅綠燈!#REF!</definedName>
    <definedName name="外部資料_533" localSheetId="16">PKA!#REF!</definedName>
    <definedName name="外部資料_533" localSheetId="17">PKB!#REF!</definedName>
    <definedName name="外部資料_533" localSheetId="18">PKC!#REF!</definedName>
    <definedName name="外部資料_533" localSheetId="4">公司債!#REF!</definedName>
    <definedName name="外部資料_533" localSheetId="14">評比系統!$T$1:$T$3</definedName>
    <definedName name="外部資料_5330" localSheetId="1">紅綠燈!#REF!</definedName>
    <definedName name="外部資料_5331" localSheetId="1">紅綠燈!#REF!</definedName>
    <definedName name="外部資料_5332" localSheetId="1">紅綠燈!#REF!</definedName>
    <definedName name="外部資料_5334" localSheetId="1">紅綠燈!#REF!</definedName>
    <definedName name="外部資料_5335" localSheetId="1">紅綠燈!#REF!</definedName>
    <definedName name="外部資料_5336" localSheetId="1">紅綠燈!#REF!</definedName>
    <definedName name="外部資料_5338" localSheetId="1">紅綠燈!#REF!</definedName>
    <definedName name="外部資料_5339" localSheetId="1">紅綠燈!#REF!</definedName>
    <definedName name="外部資料_534" localSheetId="16">PKA!#REF!</definedName>
    <definedName name="外部資料_534" localSheetId="17">PKB!#REF!</definedName>
    <definedName name="外部資料_534" localSheetId="18">PKC!#REF!</definedName>
    <definedName name="外部資料_534" localSheetId="4">公司債!#REF!</definedName>
    <definedName name="外部資料_534" localSheetId="14">評比系統!$T$1:$T$3</definedName>
    <definedName name="外部資料_5340" localSheetId="1">紅綠燈!#REF!</definedName>
    <definedName name="外部資料_5342" localSheetId="1">紅綠燈!#REF!</definedName>
    <definedName name="外部資料_5343" localSheetId="1">紅綠燈!#REF!</definedName>
    <definedName name="外部資料_5344" localSheetId="1">紅綠燈!#REF!</definedName>
    <definedName name="外部資料_5346" localSheetId="1">紅綠燈!#REF!</definedName>
    <definedName name="外部資料_5347" localSheetId="1">紅綠燈!#REF!</definedName>
    <definedName name="外部資料_5348" localSheetId="1">紅綠燈!#REF!</definedName>
    <definedName name="外部資料_535" localSheetId="16">PKA!#REF!</definedName>
    <definedName name="外部資料_535" localSheetId="17">PKB!#REF!</definedName>
    <definedName name="外部資料_535" localSheetId="18">PKC!#REF!</definedName>
    <definedName name="外部資料_535" localSheetId="4">公司債!#REF!</definedName>
    <definedName name="外部資料_535" localSheetId="14">評比系統!$T$1:$T$3</definedName>
    <definedName name="外部資料_5350" localSheetId="1">紅綠燈!#REF!</definedName>
    <definedName name="外部資料_5351" localSheetId="1">紅綠燈!#REF!</definedName>
    <definedName name="外部資料_5352" localSheetId="1">紅綠燈!#REF!</definedName>
    <definedName name="外部資料_5354" localSheetId="1">紅綠燈!#REF!</definedName>
    <definedName name="外部資料_5355" localSheetId="1">紅綠燈!#REF!</definedName>
    <definedName name="外部資料_5356" localSheetId="1">紅綠燈!#REF!</definedName>
    <definedName name="外部資料_5358" localSheetId="1">紅綠燈!#REF!</definedName>
    <definedName name="外部資料_5359" localSheetId="1">紅綠燈!#REF!</definedName>
    <definedName name="外部資料_536" localSheetId="16">PKA!#REF!</definedName>
    <definedName name="外部資料_536" localSheetId="17">PKB!#REF!</definedName>
    <definedName name="外部資料_536" localSheetId="18">PKC!#REF!</definedName>
    <definedName name="外部資料_536" localSheetId="4">公司債!#REF!</definedName>
    <definedName name="外部資料_536" localSheetId="14">評比系統!$T$1:$T$3</definedName>
    <definedName name="外部資料_5360" localSheetId="1">紅綠燈!#REF!</definedName>
    <definedName name="外部資料_5362" localSheetId="1">紅綠燈!#REF!</definedName>
    <definedName name="外部資料_5363" localSheetId="1">紅綠燈!#REF!</definedName>
    <definedName name="外部資料_5364" localSheetId="1">紅綠燈!#REF!</definedName>
    <definedName name="外部資料_5366" localSheetId="1">紅綠燈!#REF!</definedName>
    <definedName name="外部資料_5367" localSheetId="1">紅綠燈!#REF!</definedName>
    <definedName name="外部資料_5368" localSheetId="1">紅綠燈!#REF!</definedName>
    <definedName name="外部資料_537" localSheetId="16">PKA!#REF!</definedName>
    <definedName name="外部資料_537" localSheetId="17">PKB!#REF!</definedName>
    <definedName name="外部資料_537" localSheetId="18">PKC!#REF!</definedName>
    <definedName name="外部資料_537" localSheetId="4">公司債!#REF!</definedName>
    <definedName name="外部資料_537" localSheetId="14">評比系統!$T$1:$T$3</definedName>
    <definedName name="外部資料_5370" localSheetId="1">紅綠燈!#REF!</definedName>
    <definedName name="外部資料_5371" localSheetId="1">紅綠燈!#REF!</definedName>
    <definedName name="外部資料_5372" localSheetId="1">紅綠燈!#REF!</definedName>
    <definedName name="外部資料_5374" localSheetId="1">紅綠燈!#REF!</definedName>
    <definedName name="外部資料_5375" localSheetId="1">紅綠燈!#REF!</definedName>
    <definedName name="外部資料_5376" localSheetId="1">紅綠燈!#REF!</definedName>
    <definedName name="外部資料_5378" localSheetId="1">紅綠燈!#REF!</definedName>
    <definedName name="外部資料_5379" localSheetId="1">紅綠燈!#REF!</definedName>
    <definedName name="外部資料_538" localSheetId="16">PKA!#REF!</definedName>
    <definedName name="外部資料_538" localSheetId="17">PKB!#REF!</definedName>
    <definedName name="外部資料_538" localSheetId="18">PKC!#REF!</definedName>
    <definedName name="外部資料_538" localSheetId="4">公司債!#REF!</definedName>
    <definedName name="外部資料_538" localSheetId="14">評比系統!$T$1:$T$3</definedName>
    <definedName name="外部資料_5380" localSheetId="1">紅綠燈!#REF!</definedName>
    <definedName name="外部資料_5382" localSheetId="1">紅綠燈!#REF!</definedName>
    <definedName name="外部資料_5383" localSheetId="1">紅綠燈!#REF!</definedName>
    <definedName name="外部資料_5384" localSheetId="1">紅綠燈!#REF!</definedName>
    <definedName name="外部資料_5386" localSheetId="1">紅綠燈!#REF!</definedName>
    <definedName name="外部資料_5387" localSheetId="1">紅綠燈!#REF!</definedName>
    <definedName name="外部資料_5388" localSheetId="1">紅綠燈!#REF!</definedName>
    <definedName name="外部資料_539" localSheetId="16">PKA!#REF!</definedName>
    <definedName name="外部資料_539" localSheetId="17">PKB!#REF!</definedName>
    <definedName name="外部資料_539" localSheetId="18">PKC!#REF!</definedName>
    <definedName name="外部資料_539" localSheetId="4">公司債!#REF!</definedName>
    <definedName name="外部資料_539" localSheetId="14">評比系統!$T$1:$T$3</definedName>
    <definedName name="外部資料_5390" localSheetId="1">紅綠燈!#REF!</definedName>
    <definedName name="外部資料_5391" localSheetId="1">紅綠燈!#REF!</definedName>
    <definedName name="外部資料_5392" localSheetId="1">紅綠燈!#REF!</definedName>
    <definedName name="外部資料_5394" localSheetId="1">紅綠燈!#REF!</definedName>
    <definedName name="外部資料_5395" localSheetId="1">紅綠燈!#REF!</definedName>
    <definedName name="外部資料_5396" localSheetId="1">紅綠燈!#REF!</definedName>
    <definedName name="外部資料_5398" localSheetId="1">紅綠燈!#REF!</definedName>
    <definedName name="外部資料_5399" localSheetId="1">紅綠燈!#REF!</definedName>
    <definedName name="外部資料_54" localSheetId="16">PKA!#REF!</definedName>
    <definedName name="外部資料_54" localSheetId="17">PKB!#REF!</definedName>
    <definedName name="外部資料_54" localSheetId="18">PKC!#REF!</definedName>
    <definedName name="外部資料_54" localSheetId="9">PSR!#REF!</definedName>
    <definedName name="外部資料_54" localSheetId="4">公司債!#REF!</definedName>
    <definedName name="外部資料_54" localSheetId="14">評比系統!$T$1:$T$3</definedName>
    <definedName name="外部資料_54" localSheetId="7">營收搶先報!#REF!</definedName>
    <definedName name="外部資料_540" localSheetId="16">PKA!#REF!</definedName>
    <definedName name="外部資料_540" localSheetId="17">PKB!#REF!</definedName>
    <definedName name="外部資料_540" localSheetId="18">PKC!#REF!</definedName>
    <definedName name="外部資料_540" localSheetId="4">公司債!#REF!</definedName>
    <definedName name="外部資料_540" localSheetId="14">評比系統!$T$1:$T$3</definedName>
    <definedName name="外部資料_5400" localSheetId="1">紅綠燈!#REF!</definedName>
    <definedName name="外部資料_5402" localSheetId="1">紅綠燈!#REF!</definedName>
    <definedName name="外部資料_5403" localSheetId="1">紅綠燈!#REF!</definedName>
    <definedName name="外部資料_5404" localSheetId="1">紅綠燈!#REF!</definedName>
    <definedName name="外部資料_5406" localSheetId="1">紅綠燈!#REF!</definedName>
    <definedName name="外部資料_5407" localSheetId="1">紅綠燈!#REF!</definedName>
    <definedName name="外部資料_5408" localSheetId="1">紅綠燈!#REF!</definedName>
    <definedName name="外部資料_541" localSheetId="16">PKA!#REF!</definedName>
    <definedName name="外部資料_541" localSheetId="17">PKB!#REF!</definedName>
    <definedName name="外部資料_541" localSheetId="18">PKC!#REF!</definedName>
    <definedName name="外部資料_541" localSheetId="4">公司債!#REF!</definedName>
    <definedName name="外部資料_541" localSheetId="14">評比系統!$T$1:$T$3</definedName>
    <definedName name="外部資料_5410" localSheetId="1">紅綠燈!#REF!</definedName>
    <definedName name="外部資料_5411" localSheetId="1">紅綠燈!#REF!</definedName>
    <definedName name="外部資料_5412" localSheetId="1">紅綠燈!#REF!</definedName>
    <definedName name="外部資料_5414" localSheetId="1">紅綠燈!#REF!</definedName>
    <definedName name="外部資料_5415" localSheetId="1">紅綠燈!#REF!</definedName>
    <definedName name="外部資料_5416" localSheetId="1">紅綠燈!#REF!</definedName>
    <definedName name="外部資料_5418" localSheetId="1">紅綠燈!#REF!</definedName>
    <definedName name="外部資料_5419" localSheetId="1">紅綠燈!#REF!</definedName>
    <definedName name="外部資料_542" localSheetId="16">PKA!#REF!</definedName>
    <definedName name="外部資料_542" localSheetId="17">PKB!#REF!</definedName>
    <definedName name="外部資料_542" localSheetId="18">PKC!#REF!</definedName>
    <definedName name="外部資料_542" localSheetId="4">公司債!#REF!</definedName>
    <definedName name="外部資料_542" localSheetId="14">評比系統!$T$1:$T$3</definedName>
    <definedName name="外部資料_5420" localSheetId="1">紅綠燈!#REF!</definedName>
    <definedName name="外部資料_5422" localSheetId="1">紅綠燈!#REF!</definedName>
    <definedName name="外部資料_5423" localSheetId="1">紅綠燈!#REF!</definedName>
    <definedName name="外部資料_5425" localSheetId="1">紅綠燈!#REF!</definedName>
    <definedName name="外部資料_5426" localSheetId="1">紅綠燈!#REF!</definedName>
    <definedName name="外部資料_5428" localSheetId="1">紅綠燈!#REF!</definedName>
    <definedName name="外部資料_5429" localSheetId="1">紅綠燈!#REF!</definedName>
    <definedName name="外部資料_543" localSheetId="16">PKA!#REF!</definedName>
    <definedName name="外部資料_543" localSheetId="17">PKB!#REF!</definedName>
    <definedName name="外部資料_543" localSheetId="18">PKC!#REF!</definedName>
    <definedName name="外部資料_543" localSheetId="4">公司債!#REF!</definedName>
    <definedName name="外部資料_543" localSheetId="14">評比系統!$T$1:$T$3</definedName>
    <definedName name="外部資料_5430" localSheetId="1">紅綠燈!#REF!</definedName>
    <definedName name="外部資料_5432" localSheetId="1">紅綠燈!#REF!</definedName>
    <definedName name="外部資料_5433" localSheetId="1">紅綠燈!#REF!</definedName>
    <definedName name="外部資料_5434" localSheetId="1">紅綠燈!#REF!</definedName>
    <definedName name="外部資料_5436" localSheetId="1">紅綠燈!#REF!</definedName>
    <definedName name="外部資料_5437" localSheetId="1">紅綠燈!#REF!</definedName>
    <definedName name="外部資料_5438" localSheetId="1">紅綠燈!#REF!</definedName>
    <definedName name="外部資料_544" localSheetId="16">PKA!#REF!</definedName>
    <definedName name="外部資料_544" localSheetId="17">PKB!#REF!</definedName>
    <definedName name="外部資料_544" localSheetId="18">PKC!#REF!</definedName>
    <definedName name="外部資料_544" localSheetId="4">公司債!#REF!</definedName>
    <definedName name="外部資料_544" localSheetId="14">評比系統!$T$1:$T$3</definedName>
    <definedName name="外部資料_5440" localSheetId="1">紅綠燈!#REF!</definedName>
    <definedName name="外部資料_5441" localSheetId="1">紅綠燈!#REF!</definedName>
    <definedName name="外部資料_5442" localSheetId="1">紅綠燈!#REF!</definedName>
    <definedName name="外部資料_5444" localSheetId="1">紅綠燈!#REF!</definedName>
    <definedName name="外部資料_5445" localSheetId="1">紅綠燈!#REF!</definedName>
    <definedName name="外部資料_5446" localSheetId="1">紅綠燈!#REF!</definedName>
    <definedName name="外部資料_5448" localSheetId="1">紅綠燈!#REF!</definedName>
    <definedName name="外部資料_5449" localSheetId="1">紅綠燈!#REF!</definedName>
    <definedName name="外部資料_545" localSheetId="16">PKA!#REF!</definedName>
    <definedName name="外部資料_545" localSheetId="17">PKB!#REF!</definedName>
    <definedName name="外部資料_545" localSheetId="18">PKC!#REF!</definedName>
    <definedName name="外部資料_545" localSheetId="4">公司債!#REF!</definedName>
    <definedName name="外部資料_545" localSheetId="14">評比系統!$T$1:$T$3</definedName>
    <definedName name="外部資料_5450" localSheetId="1">紅綠燈!#REF!</definedName>
    <definedName name="外部資料_5452" localSheetId="1">紅綠燈!#REF!</definedName>
    <definedName name="外部資料_5453" localSheetId="1">紅綠燈!#REF!</definedName>
    <definedName name="外部資料_5454" localSheetId="1">紅綠燈!#REF!</definedName>
    <definedName name="外部資料_5456" localSheetId="1">紅綠燈!#REF!</definedName>
    <definedName name="外部資料_5457" localSheetId="1">紅綠燈!#REF!</definedName>
    <definedName name="外部資料_5458" localSheetId="1">紅綠燈!#REF!</definedName>
    <definedName name="外部資料_546" localSheetId="16">PKA!#REF!</definedName>
    <definedName name="外部資料_546" localSheetId="17">PKB!#REF!</definedName>
    <definedName name="外部資料_546" localSheetId="18">PKC!#REF!</definedName>
    <definedName name="外部資料_546" localSheetId="4">公司債!#REF!</definedName>
    <definedName name="外部資料_546" localSheetId="14">評比系統!$T$1:$T$3</definedName>
    <definedName name="外部資料_5460" localSheetId="1">紅綠燈!#REF!</definedName>
    <definedName name="外部資料_5461" localSheetId="1">紅綠燈!#REF!</definedName>
    <definedName name="外部資料_5462" localSheetId="1">紅綠燈!#REF!</definedName>
    <definedName name="外部資料_5464" localSheetId="1">紅綠燈!#REF!</definedName>
    <definedName name="外部資料_5465" localSheetId="1">紅綠燈!#REF!</definedName>
    <definedName name="外部資料_5466" localSheetId="1">紅綠燈!#REF!</definedName>
    <definedName name="外部資料_5468" localSheetId="1">紅綠燈!#REF!</definedName>
    <definedName name="外部資料_5469" localSheetId="1">紅綠燈!#REF!</definedName>
    <definedName name="外部資料_547" localSheetId="16">PKA!#REF!</definedName>
    <definedName name="外部資料_547" localSheetId="17">PKB!#REF!</definedName>
    <definedName name="外部資料_547" localSheetId="18">PKC!#REF!</definedName>
    <definedName name="外部資料_547" localSheetId="4">公司債!#REF!</definedName>
    <definedName name="外部資料_547" localSheetId="14">評比系統!$T$1:$T$3</definedName>
    <definedName name="外部資料_5470" localSheetId="1">紅綠燈!#REF!</definedName>
    <definedName name="外部資料_5472" localSheetId="1">紅綠燈!#REF!</definedName>
    <definedName name="外部資料_5473" localSheetId="1">紅綠燈!#REF!</definedName>
    <definedName name="外部資料_5474" localSheetId="1">紅綠燈!#REF!</definedName>
    <definedName name="外部資料_5476" localSheetId="1">紅綠燈!#REF!</definedName>
    <definedName name="外部資料_5477" localSheetId="1">紅綠燈!#REF!</definedName>
    <definedName name="外部資料_5478" localSheetId="1">紅綠燈!#REF!</definedName>
    <definedName name="外部資料_548" localSheetId="16">PKA!#REF!</definedName>
    <definedName name="外部資料_548" localSheetId="17">PKB!#REF!</definedName>
    <definedName name="外部資料_548" localSheetId="18">PKC!#REF!</definedName>
    <definedName name="外部資料_548" localSheetId="4">公司債!#REF!</definedName>
    <definedName name="外部資料_548" localSheetId="14">評比系統!$T$1:$T$3</definedName>
    <definedName name="外部資料_5480" localSheetId="1">紅綠燈!#REF!</definedName>
    <definedName name="外部資料_5481" localSheetId="1">紅綠燈!#REF!</definedName>
    <definedName name="外部資料_5482" localSheetId="1">紅綠燈!#REF!</definedName>
    <definedName name="外部資料_5484" localSheetId="1">紅綠燈!#REF!</definedName>
    <definedName name="外部資料_5485" localSheetId="1">紅綠燈!#REF!</definedName>
    <definedName name="外部資料_5486" localSheetId="1">紅綠燈!#REF!</definedName>
    <definedName name="外部資料_5488" localSheetId="1">紅綠燈!#REF!</definedName>
    <definedName name="外部資料_5489" localSheetId="1">紅綠燈!#REF!</definedName>
    <definedName name="外部資料_549" localSheetId="16">PKA!#REF!</definedName>
    <definedName name="外部資料_549" localSheetId="17">PKB!#REF!</definedName>
    <definedName name="外部資料_549" localSheetId="18">PKC!#REF!</definedName>
    <definedName name="外部資料_549" localSheetId="4">公司債!#REF!</definedName>
    <definedName name="外部資料_549" localSheetId="14">評比系統!$T$1:$T$3</definedName>
    <definedName name="外部資料_5491" localSheetId="1">紅綠燈!#REF!</definedName>
    <definedName name="外部資料_5492" localSheetId="1">紅綠燈!#REF!</definedName>
    <definedName name="外部資料_5493" localSheetId="1">紅綠燈!#REF!</definedName>
    <definedName name="外部資料_5495" localSheetId="1">紅綠燈!#REF!</definedName>
    <definedName name="外部資料_5496" localSheetId="1">紅綠燈!#REF!</definedName>
    <definedName name="外部資料_5497" localSheetId="1">紅綠燈!#REF!</definedName>
    <definedName name="外部資料_5499" localSheetId="1">紅綠燈!#REF!</definedName>
    <definedName name="外部資料_55" localSheetId="16">PKA!#REF!</definedName>
    <definedName name="外部資料_55" localSheetId="17">PKB!#REF!</definedName>
    <definedName name="外部資料_55" localSheetId="18">PKC!#REF!</definedName>
    <definedName name="外部資料_55" localSheetId="9">PSR!#REF!</definedName>
    <definedName name="外部資料_55" localSheetId="4">公司債!#REF!</definedName>
    <definedName name="外部資料_55" localSheetId="14">評比系統!$T$1:$T$3</definedName>
    <definedName name="外部資料_55" localSheetId="7">營收搶先報!#REF!</definedName>
    <definedName name="外部資料_550" localSheetId="16">PKA!#REF!</definedName>
    <definedName name="外部資料_550" localSheetId="17">PKB!#REF!</definedName>
    <definedName name="外部資料_550" localSheetId="18">PKC!#REF!</definedName>
    <definedName name="外部資料_550" localSheetId="4">公司債!#REF!</definedName>
    <definedName name="外部資料_550" localSheetId="14">評比系統!$T$1:$T$3</definedName>
    <definedName name="外部資料_5500" localSheetId="1">紅綠燈!#REF!</definedName>
    <definedName name="外部資料_5501" localSheetId="1">紅綠燈!#REF!</definedName>
    <definedName name="外部資料_5503" localSheetId="1">紅綠燈!#REF!</definedName>
    <definedName name="外部資料_5504" localSheetId="1">紅綠燈!#REF!</definedName>
    <definedName name="外部資料_5505" localSheetId="1">紅綠燈!#REF!</definedName>
    <definedName name="外部資料_5507" localSheetId="1">紅綠燈!#REF!</definedName>
    <definedName name="外部資料_5508" localSheetId="1">紅綠燈!#REF!</definedName>
    <definedName name="外部資料_5509" localSheetId="1">紅綠燈!#REF!</definedName>
    <definedName name="外部資料_551" localSheetId="16">PKA!#REF!</definedName>
    <definedName name="外部資料_551" localSheetId="17">PKB!#REF!</definedName>
    <definedName name="外部資料_551" localSheetId="18">PKC!#REF!</definedName>
    <definedName name="外部資料_551" localSheetId="4">公司債!#REF!</definedName>
    <definedName name="外部資料_551" localSheetId="14">評比系統!$T$1:$T$3</definedName>
    <definedName name="外部資料_5511" localSheetId="1">紅綠燈!#REF!</definedName>
    <definedName name="外部資料_5512" localSheetId="1">紅綠燈!#REF!</definedName>
    <definedName name="外部資料_5514" localSheetId="1">紅綠燈!#REF!</definedName>
    <definedName name="外部資料_5515" localSheetId="1">紅綠燈!#REF!</definedName>
    <definedName name="外部資料_5516" localSheetId="1">紅綠燈!#REF!</definedName>
    <definedName name="外部資料_5518" localSheetId="1">紅綠燈!#REF!</definedName>
    <definedName name="外部資料_5519" localSheetId="1">紅綠燈!#REF!</definedName>
    <definedName name="外部資料_552" localSheetId="16">PKA!#REF!</definedName>
    <definedName name="外部資料_552" localSheetId="17">PKB!#REF!</definedName>
    <definedName name="外部資料_552" localSheetId="18">PKC!#REF!</definedName>
    <definedName name="外部資料_552" localSheetId="4">公司債!#REF!</definedName>
    <definedName name="外部資料_552" localSheetId="14">評比系統!$T$1:$T$3</definedName>
    <definedName name="外部資料_5520" localSheetId="1">紅綠燈!#REF!</definedName>
    <definedName name="外部資料_5522" localSheetId="1">紅綠燈!#REF!</definedName>
    <definedName name="外部資料_5523" localSheetId="1">紅綠燈!#REF!</definedName>
    <definedName name="外部資料_5524" localSheetId="1">紅綠燈!#REF!</definedName>
    <definedName name="外部資料_5526" localSheetId="1">紅綠燈!#REF!</definedName>
    <definedName name="外部資料_5527" localSheetId="1">紅綠燈!#REF!</definedName>
    <definedName name="外部資料_5528" localSheetId="1">紅綠燈!#REF!</definedName>
    <definedName name="外部資料_553" localSheetId="16">PKA!#REF!</definedName>
    <definedName name="外部資料_553" localSheetId="17">PKB!#REF!</definedName>
    <definedName name="外部資料_553" localSheetId="18">PKC!#REF!</definedName>
    <definedName name="外部資料_553" localSheetId="4">公司債!#REF!</definedName>
    <definedName name="外部資料_553" localSheetId="14">評比系統!$T$1:$T$3</definedName>
    <definedName name="外部資料_5530" localSheetId="1">紅綠燈!#REF!</definedName>
    <definedName name="外部資料_5531" localSheetId="1">紅綠燈!#REF!</definedName>
    <definedName name="外部資料_5532" localSheetId="1">紅綠燈!#REF!</definedName>
    <definedName name="外部資料_5534" localSheetId="1">紅綠燈!#REF!</definedName>
    <definedName name="外部資料_5535" localSheetId="1">紅綠燈!#REF!</definedName>
    <definedName name="外部資料_5536" localSheetId="1">紅綠燈!#REF!</definedName>
    <definedName name="外部資料_5538" localSheetId="1">紅綠燈!#REF!</definedName>
    <definedName name="外部資料_5539" localSheetId="1">紅綠燈!#REF!</definedName>
    <definedName name="外部資料_554" localSheetId="16">PKA!#REF!</definedName>
    <definedName name="外部資料_554" localSheetId="17">PKB!#REF!</definedName>
    <definedName name="外部資料_554" localSheetId="18">PKC!#REF!</definedName>
    <definedName name="外部資料_554" localSheetId="4">公司債!#REF!</definedName>
    <definedName name="外部資料_554" localSheetId="14">評比系統!$T$1:$T$3</definedName>
    <definedName name="外部資料_5540" localSheetId="1">紅綠燈!#REF!</definedName>
    <definedName name="外部資料_5542" localSheetId="1">紅綠燈!#REF!</definedName>
    <definedName name="外部資料_5543" localSheetId="1">紅綠燈!#REF!</definedName>
    <definedName name="外部資料_5544" localSheetId="1">紅綠燈!#REF!</definedName>
    <definedName name="外部資料_5546" localSheetId="1">紅綠燈!#REF!</definedName>
    <definedName name="外部資料_5547" localSheetId="1">紅綠燈!#REF!</definedName>
    <definedName name="外部資料_5548" localSheetId="1">紅綠燈!#REF!</definedName>
    <definedName name="外部資料_555" localSheetId="16">PKA!#REF!</definedName>
    <definedName name="外部資料_555" localSheetId="17">PKB!#REF!</definedName>
    <definedName name="外部資料_555" localSheetId="18">PKC!#REF!</definedName>
    <definedName name="外部資料_555" localSheetId="4">公司債!#REF!</definedName>
    <definedName name="外部資料_555" localSheetId="14">評比系統!$T$1:$T$3</definedName>
    <definedName name="外部資料_5550" localSheetId="1">紅綠燈!#REF!</definedName>
    <definedName name="外部資料_5551" localSheetId="1">紅綠燈!#REF!</definedName>
    <definedName name="外部資料_5552" localSheetId="1">紅綠燈!#REF!</definedName>
    <definedName name="外部資料_5554" localSheetId="1">紅綠燈!#REF!</definedName>
    <definedName name="外部資料_5555" localSheetId="1">紅綠燈!#REF!</definedName>
    <definedName name="外部資料_5556" localSheetId="1">紅綠燈!#REF!</definedName>
    <definedName name="外部資料_5558" localSheetId="1">紅綠燈!#REF!</definedName>
    <definedName name="外部資料_5559" localSheetId="1">紅綠燈!#REF!</definedName>
    <definedName name="外部資料_556" localSheetId="16">PKA!#REF!</definedName>
    <definedName name="外部資料_556" localSheetId="17">PKB!#REF!</definedName>
    <definedName name="外部資料_556" localSheetId="18">PKC!#REF!</definedName>
    <definedName name="外部資料_556" localSheetId="4">公司債!#REF!</definedName>
    <definedName name="外部資料_556" localSheetId="14">評比系統!$T$1:$T$3</definedName>
    <definedName name="外部資料_5560" localSheetId="1">紅綠燈!#REF!</definedName>
    <definedName name="外部資料_5562" localSheetId="1">紅綠燈!#REF!</definedName>
    <definedName name="外部資料_5563" localSheetId="1">紅綠燈!#REF!</definedName>
    <definedName name="外部資料_5564" localSheetId="1">紅綠燈!#REF!</definedName>
    <definedName name="外部資料_5566" localSheetId="1">紅綠燈!#REF!</definedName>
    <definedName name="外部資料_5567" localSheetId="1">紅綠燈!#REF!</definedName>
    <definedName name="外部資料_5568" localSheetId="1">紅綠燈!#REF!</definedName>
    <definedName name="外部資料_557" localSheetId="16">PKA!#REF!</definedName>
    <definedName name="外部資料_557" localSheetId="17">PKB!#REF!</definedName>
    <definedName name="外部資料_557" localSheetId="18">PKC!#REF!</definedName>
    <definedName name="外部資料_557" localSheetId="4">公司債!#REF!</definedName>
    <definedName name="外部資料_557" localSheetId="14">評比系統!$T$1:$T$3</definedName>
    <definedName name="外部資料_5570" localSheetId="1">紅綠燈!#REF!</definedName>
    <definedName name="外部資料_5571" localSheetId="1">紅綠燈!#REF!</definedName>
    <definedName name="外部資料_5572" localSheetId="1">紅綠燈!#REF!</definedName>
    <definedName name="外部資料_5574" localSheetId="1">紅綠燈!#REF!</definedName>
    <definedName name="外部資料_5575" localSheetId="1">紅綠燈!#REF!</definedName>
    <definedName name="外部資料_5576" localSheetId="1">紅綠燈!#REF!</definedName>
    <definedName name="外部資料_5578" localSheetId="1">紅綠燈!#REF!</definedName>
    <definedName name="外部資料_5579" localSheetId="1">紅綠燈!#REF!</definedName>
    <definedName name="外部資料_558" localSheetId="16">PKA!#REF!</definedName>
    <definedName name="外部資料_558" localSheetId="17">PKB!#REF!</definedName>
    <definedName name="外部資料_558" localSheetId="18">PKC!#REF!</definedName>
    <definedName name="外部資料_558" localSheetId="4">公司債!#REF!</definedName>
    <definedName name="外部資料_558" localSheetId="14">評比系統!$T$1:$T$3</definedName>
    <definedName name="外部資料_5580" localSheetId="1">紅綠燈!#REF!</definedName>
    <definedName name="外部資料_5582" localSheetId="1">紅綠燈!#REF!</definedName>
    <definedName name="外部資料_5583" localSheetId="1">紅綠燈!#REF!</definedName>
    <definedName name="外部資料_5584" localSheetId="1">紅綠燈!#REF!</definedName>
    <definedName name="外部資料_5586" localSheetId="1">紅綠燈!#REF!</definedName>
    <definedName name="外部資料_5587" localSheetId="1">紅綠燈!#REF!</definedName>
    <definedName name="外部資料_5588" localSheetId="1">紅綠燈!#REF!</definedName>
    <definedName name="外部資料_559" localSheetId="16">PKA!#REF!</definedName>
    <definedName name="外部資料_559" localSheetId="17">PKB!#REF!</definedName>
    <definedName name="外部資料_559" localSheetId="18">PKC!#REF!</definedName>
    <definedName name="外部資料_559" localSheetId="4">公司債!#REF!</definedName>
    <definedName name="外部資料_559" localSheetId="14">評比系統!$T$1:$T$3</definedName>
    <definedName name="外部資料_5590" localSheetId="1">紅綠燈!#REF!</definedName>
    <definedName name="外部資料_5591" localSheetId="1">紅綠燈!#REF!</definedName>
    <definedName name="外部資料_5592" localSheetId="1">紅綠燈!#REF!</definedName>
    <definedName name="外部資料_5594" localSheetId="1">紅綠燈!#REF!</definedName>
    <definedName name="外部資料_5595" localSheetId="1">紅綠燈!#REF!</definedName>
    <definedName name="外部資料_5596" localSheetId="1">紅綠燈!#REF!</definedName>
    <definedName name="外部資料_5598" localSheetId="1">紅綠燈!#REF!</definedName>
    <definedName name="外部資料_5599" localSheetId="1">紅綠燈!#REF!</definedName>
    <definedName name="外部資料_56" localSheetId="16">PKA!#REF!</definedName>
    <definedName name="外部資料_56" localSheetId="17">PKB!#REF!</definedName>
    <definedName name="外部資料_56" localSheetId="18">PKC!#REF!</definedName>
    <definedName name="外部資料_56" localSheetId="9">PSR!#REF!</definedName>
    <definedName name="外部資料_56" localSheetId="4">公司債!#REF!</definedName>
    <definedName name="外部資料_56" localSheetId="14">評比系統!$T$1:$T$3</definedName>
    <definedName name="外部資料_56" localSheetId="7">營收搶先報!#REF!</definedName>
    <definedName name="外部資料_560" localSheetId="16">PKA!#REF!</definedName>
    <definedName name="外部資料_560" localSheetId="17">PKB!#REF!</definedName>
    <definedName name="外部資料_560" localSheetId="18">PKC!#REF!</definedName>
    <definedName name="外部資料_560" localSheetId="4">公司債!#REF!</definedName>
    <definedName name="外部資料_560" localSheetId="14">評比系統!$T$1:$T$3</definedName>
    <definedName name="外部資料_5600" localSheetId="1">紅綠燈!#REF!</definedName>
    <definedName name="外部資料_5602" localSheetId="1">紅綠燈!#REF!</definedName>
    <definedName name="外部資料_5603" localSheetId="1">紅綠燈!#REF!</definedName>
    <definedName name="外部資料_5604" localSheetId="1">紅綠燈!#REF!</definedName>
    <definedName name="外部資料_5606" localSheetId="1">紅綠燈!#REF!</definedName>
    <definedName name="外部資料_5607" localSheetId="1">紅綠燈!#REF!</definedName>
    <definedName name="外部資料_5608" localSheetId="1">紅綠燈!#REF!</definedName>
    <definedName name="外部資料_561" localSheetId="16">PKA!#REF!</definedName>
    <definedName name="外部資料_561" localSheetId="17">PKB!#REF!</definedName>
    <definedName name="外部資料_561" localSheetId="18">PKC!#REF!</definedName>
    <definedName name="外部資料_561" localSheetId="4">公司債!#REF!</definedName>
    <definedName name="外部資料_561" localSheetId="14">評比系統!$T$1:$T$3</definedName>
    <definedName name="外部資料_5610" localSheetId="1">紅綠燈!#REF!</definedName>
    <definedName name="外部資料_5611" localSheetId="1">紅綠燈!#REF!</definedName>
    <definedName name="外部資料_5612" localSheetId="1">紅綠燈!#REF!</definedName>
    <definedName name="外部資料_5614" localSheetId="1">紅綠燈!#REF!</definedName>
    <definedName name="外部資料_5615" localSheetId="1">紅綠燈!#REF!</definedName>
    <definedName name="外部資料_5616" localSheetId="1">紅綠燈!#REF!</definedName>
    <definedName name="外部資料_5618" localSheetId="1">紅綠燈!#REF!</definedName>
    <definedName name="外部資料_5619" localSheetId="1">紅綠燈!#REF!</definedName>
    <definedName name="外部資料_562" localSheetId="16">PKA!#REF!</definedName>
    <definedName name="外部資料_562" localSheetId="17">PKB!#REF!</definedName>
    <definedName name="外部資料_562" localSheetId="18">PKC!#REF!</definedName>
    <definedName name="外部資料_562" localSheetId="4">公司債!#REF!</definedName>
    <definedName name="外部資料_562" localSheetId="14">評比系統!$T$1:$T$3</definedName>
    <definedName name="外部資料_5621" localSheetId="1">紅綠燈!#REF!</definedName>
    <definedName name="外部資料_5622" localSheetId="1">紅綠燈!#REF!</definedName>
    <definedName name="外部資料_5623" localSheetId="1">紅綠燈!#REF!</definedName>
    <definedName name="外部資料_5625" localSheetId="1">紅綠燈!#REF!</definedName>
    <definedName name="外部資料_5626" localSheetId="1">紅綠燈!#REF!</definedName>
    <definedName name="外部資料_5627" localSheetId="1">紅綠燈!#REF!</definedName>
    <definedName name="外部資料_5629" localSheetId="1">紅綠燈!#REF!</definedName>
    <definedName name="外部資料_563" localSheetId="16">PKA!#REF!</definedName>
    <definedName name="外部資料_563" localSheetId="17">PKB!#REF!</definedName>
    <definedName name="外部資料_563" localSheetId="18">PKC!#REF!</definedName>
    <definedName name="外部資料_563" localSheetId="4">公司債!#REF!</definedName>
    <definedName name="外部資料_563" localSheetId="14">評比系統!$T$1:$T$3</definedName>
    <definedName name="外部資料_5630" localSheetId="1">紅綠燈!#REF!</definedName>
    <definedName name="外部資料_5631" localSheetId="1">紅綠燈!#REF!</definedName>
    <definedName name="外部資料_5633" localSheetId="1">紅綠燈!#REF!</definedName>
    <definedName name="外部資料_5634" localSheetId="1">紅綠燈!#REF!</definedName>
    <definedName name="外部資料_5635" localSheetId="1">紅綠燈!#REF!</definedName>
    <definedName name="外部資料_5637" localSheetId="1">紅綠燈!#REF!</definedName>
    <definedName name="外部資料_5638" localSheetId="1">紅綠燈!#REF!</definedName>
    <definedName name="外部資料_5639" localSheetId="1">紅綠燈!#REF!</definedName>
    <definedName name="外部資料_564" localSheetId="16">PKA!#REF!</definedName>
    <definedName name="外部資料_564" localSheetId="17">PKB!#REF!</definedName>
    <definedName name="外部資料_564" localSheetId="18">PKC!#REF!</definedName>
    <definedName name="外部資料_564" localSheetId="4">公司債!#REF!</definedName>
    <definedName name="外部資料_564" localSheetId="14">評比系統!$T$1:$T$3</definedName>
    <definedName name="外部資料_5641" localSheetId="1">紅綠燈!#REF!</definedName>
    <definedName name="外部資料_5642" localSheetId="1">紅綠燈!#REF!</definedName>
    <definedName name="外部資料_5643" localSheetId="1">紅綠燈!#REF!</definedName>
    <definedName name="外部資料_5645" localSheetId="1">紅綠燈!#REF!</definedName>
    <definedName name="外部資料_5646" localSheetId="1">紅綠燈!#REF!</definedName>
    <definedName name="外部資料_5647" localSheetId="1">紅綠燈!#REF!</definedName>
    <definedName name="外部資料_5649" localSheetId="1">紅綠燈!#REF!</definedName>
    <definedName name="外部資料_565" localSheetId="16">PKA!#REF!</definedName>
    <definedName name="外部資料_565" localSheetId="17">PKB!#REF!</definedName>
    <definedName name="外部資料_565" localSheetId="18">PKC!#REF!</definedName>
    <definedName name="外部資料_565" localSheetId="4">公司債!#REF!</definedName>
    <definedName name="外部資料_565" localSheetId="14">評比系統!$T$1:$T$3</definedName>
    <definedName name="外部資料_5650" localSheetId="1">紅綠燈!#REF!</definedName>
    <definedName name="外部資料_5651" localSheetId="1">紅綠燈!#REF!</definedName>
    <definedName name="外部資料_5653" localSheetId="1">紅綠燈!#REF!</definedName>
    <definedName name="外部資料_5654" localSheetId="1">紅綠燈!#REF!</definedName>
    <definedName name="外部資料_5655" localSheetId="1">紅綠燈!#REF!</definedName>
    <definedName name="外部資料_5657" localSheetId="1">紅綠燈!#REF!</definedName>
    <definedName name="外部資料_5658" localSheetId="1">紅綠燈!#REF!</definedName>
    <definedName name="外部資料_5659" localSheetId="1">紅綠燈!#REF!</definedName>
    <definedName name="外部資料_566" localSheetId="16">PKA!#REF!</definedName>
    <definedName name="外部資料_566" localSheetId="17">PKB!#REF!</definedName>
    <definedName name="外部資料_566" localSheetId="18">PKC!#REF!</definedName>
    <definedName name="外部資料_566" localSheetId="4">公司債!#REF!</definedName>
    <definedName name="外部資料_566" localSheetId="14">評比系統!$T$1:$T$3</definedName>
    <definedName name="外部資料_5661" localSheetId="1">紅綠燈!#REF!</definedName>
    <definedName name="外部資料_5662" localSheetId="1">紅綠燈!#REF!</definedName>
    <definedName name="外部資料_5663" localSheetId="1">紅綠燈!#REF!</definedName>
    <definedName name="外部資料_5665" localSheetId="1">紅綠燈!#REF!</definedName>
    <definedName name="外部資料_5666" localSheetId="1">紅綠燈!#REF!</definedName>
    <definedName name="外部資料_5667" localSheetId="1">紅綠燈!#REF!</definedName>
    <definedName name="外部資料_5669" localSheetId="1">紅綠燈!#REF!</definedName>
    <definedName name="外部資料_567" localSheetId="16">PKA!#REF!</definedName>
    <definedName name="外部資料_567" localSheetId="17">PKB!#REF!</definedName>
    <definedName name="外部資料_567" localSheetId="18">PKC!#REF!</definedName>
    <definedName name="外部資料_567" localSheetId="4">公司債!#REF!</definedName>
    <definedName name="外部資料_567" localSheetId="14">評比系統!$T$1:$T$3</definedName>
    <definedName name="外部資料_5670" localSheetId="1">紅綠燈!#REF!</definedName>
    <definedName name="外部資料_5671" localSheetId="1">紅綠燈!#REF!</definedName>
    <definedName name="外部資料_5673" localSheetId="1">紅綠燈!#REF!</definedName>
    <definedName name="外部資料_5674" localSheetId="1">紅綠燈!#REF!</definedName>
    <definedName name="外部資料_5675" localSheetId="1">紅綠燈!#REF!</definedName>
    <definedName name="外部資料_5677" localSheetId="1">紅綠燈!#REF!</definedName>
    <definedName name="外部資料_5678" localSheetId="1">紅綠燈!#REF!</definedName>
    <definedName name="外部資料_5679" localSheetId="1">紅綠燈!#REF!</definedName>
    <definedName name="外部資料_568" localSheetId="16">PKA!#REF!</definedName>
    <definedName name="外部資料_568" localSheetId="17">PKB!#REF!</definedName>
    <definedName name="外部資料_568" localSheetId="18">PKC!#REF!</definedName>
    <definedName name="外部資料_568" localSheetId="4">公司債!#REF!</definedName>
    <definedName name="外部資料_568" localSheetId="14">評比系統!$T$1:$T$3</definedName>
    <definedName name="外部資料_5681" localSheetId="1">紅綠燈!#REF!</definedName>
    <definedName name="外部資料_5682" localSheetId="1">紅綠燈!#REF!</definedName>
    <definedName name="外部資料_5683" localSheetId="1">紅綠燈!#REF!</definedName>
    <definedName name="外部資料_5685" localSheetId="1">紅綠燈!#REF!</definedName>
    <definedName name="外部資料_5686" localSheetId="1">紅綠燈!#REF!</definedName>
    <definedName name="外部資料_5687" localSheetId="1">紅綠燈!#REF!</definedName>
    <definedName name="外部資料_5689" localSheetId="1">紅綠燈!#REF!</definedName>
    <definedName name="外部資料_569" localSheetId="16">PKA!#REF!</definedName>
    <definedName name="外部資料_569" localSheetId="17">PKB!#REF!</definedName>
    <definedName name="外部資料_569" localSheetId="18">PKC!#REF!</definedName>
    <definedName name="外部資料_569" localSheetId="4">公司債!#REF!</definedName>
    <definedName name="外部資料_569" localSheetId="14">評比系統!$T$1:$T$3</definedName>
    <definedName name="外部資料_5690" localSheetId="1">紅綠燈!#REF!</definedName>
    <definedName name="外部資料_5691" localSheetId="1">紅綠燈!#REF!</definedName>
    <definedName name="外部資料_5693" localSheetId="1">紅綠燈!#REF!</definedName>
    <definedName name="外部資料_5694" localSheetId="1">紅綠燈!#REF!</definedName>
    <definedName name="外部資料_5695" localSheetId="1">紅綠燈!#REF!</definedName>
    <definedName name="外部資料_5697" localSheetId="1">紅綠燈!#REF!</definedName>
    <definedName name="外部資料_5698" localSheetId="1">紅綠燈!#REF!</definedName>
    <definedName name="外部資料_5699" localSheetId="1">紅綠燈!#REF!</definedName>
    <definedName name="外部資料_57" localSheetId="16">PKA!#REF!</definedName>
    <definedName name="外部資料_57" localSheetId="17">PKB!#REF!</definedName>
    <definedName name="外部資料_57" localSheetId="18">PKC!#REF!</definedName>
    <definedName name="外部資料_57" localSheetId="9">PSR!#REF!</definedName>
    <definedName name="外部資料_57" localSheetId="4">公司債!#REF!</definedName>
    <definedName name="外部資料_57" localSheetId="14">評比系統!$T$1:$T$3</definedName>
    <definedName name="外部資料_57" localSheetId="7">營收搶先報!#REF!</definedName>
    <definedName name="外部資料_570" localSheetId="16">PKA!#REF!</definedName>
    <definedName name="外部資料_570" localSheetId="17">PKB!#REF!</definedName>
    <definedName name="外部資料_570" localSheetId="18">PKC!#REF!</definedName>
    <definedName name="外部資料_570" localSheetId="4">公司債!#REF!</definedName>
    <definedName name="外部資料_570" localSheetId="14">評比系統!$T$1:$T$3</definedName>
    <definedName name="外部資料_5701" localSheetId="1">紅綠燈!#REF!</definedName>
    <definedName name="外部資料_5702" localSheetId="1">紅綠燈!#REF!</definedName>
    <definedName name="外部資料_5703" localSheetId="1">紅綠燈!#REF!</definedName>
    <definedName name="外部資料_5705" localSheetId="1">紅綠燈!#REF!</definedName>
    <definedName name="外部資料_5706" localSheetId="1">紅綠燈!#REF!</definedName>
    <definedName name="外部資料_5707" localSheetId="1">紅綠燈!#REF!</definedName>
    <definedName name="外部資料_5709" localSheetId="1">紅綠燈!#REF!</definedName>
    <definedName name="外部資料_571" localSheetId="16">PKA!#REF!</definedName>
    <definedName name="外部資料_571" localSheetId="17">PKB!#REF!</definedName>
    <definedName name="外部資料_571" localSheetId="18">PKC!#REF!</definedName>
    <definedName name="外部資料_571" localSheetId="4">公司債!#REF!</definedName>
    <definedName name="外部資料_571" localSheetId="14">評比系統!$T$1:$T$3</definedName>
    <definedName name="外部資料_5710" localSheetId="1">紅綠燈!#REF!</definedName>
    <definedName name="外部資料_5711" localSheetId="1">紅綠燈!#REF!</definedName>
    <definedName name="外部資料_5713" localSheetId="1">紅綠燈!#REF!</definedName>
    <definedName name="外部資料_5714" localSheetId="1">紅綠燈!#REF!</definedName>
    <definedName name="外部資料_5715" localSheetId="1">紅綠燈!#REF!</definedName>
    <definedName name="外部資料_5717" localSheetId="1">紅綠燈!#REF!</definedName>
    <definedName name="外部資料_5718" localSheetId="1">紅綠燈!#REF!</definedName>
    <definedName name="外部資料_5719" localSheetId="1">紅綠燈!#REF!</definedName>
    <definedName name="外部資料_572" localSheetId="16">PKA!#REF!</definedName>
    <definedName name="外部資料_572" localSheetId="17">PKB!#REF!</definedName>
    <definedName name="外部資料_572" localSheetId="18">PKC!#REF!</definedName>
    <definedName name="外部資料_572" localSheetId="4">公司債!#REF!</definedName>
    <definedName name="外部資料_572" localSheetId="14">評比系統!$T$1:$T$3</definedName>
    <definedName name="外部資料_5721" localSheetId="1">紅綠燈!#REF!</definedName>
    <definedName name="外部資料_5722" localSheetId="1">紅綠燈!#REF!</definedName>
    <definedName name="外部資料_5723" localSheetId="1">紅綠燈!#REF!</definedName>
    <definedName name="外部資料_5725" localSheetId="1">紅綠燈!#REF!</definedName>
    <definedName name="外部資料_5726" localSheetId="1">紅綠燈!#REF!</definedName>
    <definedName name="外部資料_5727" localSheetId="1">紅綠燈!#REF!</definedName>
    <definedName name="外部資料_5729" localSheetId="1">紅綠燈!#REF!</definedName>
    <definedName name="外部資料_573" localSheetId="16">PKA!#REF!</definedName>
    <definedName name="外部資料_573" localSheetId="17">PKB!#REF!</definedName>
    <definedName name="外部資料_573" localSheetId="18">PKC!#REF!</definedName>
    <definedName name="外部資料_573" localSheetId="4">公司債!#REF!</definedName>
    <definedName name="外部資料_573" localSheetId="14">評比系統!$T$1:$T$3</definedName>
    <definedName name="外部資料_5730" localSheetId="1">紅綠燈!#REF!</definedName>
    <definedName name="外部資料_5731" localSheetId="1">紅綠燈!#REF!</definedName>
    <definedName name="外部資料_5733" localSheetId="1">紅綠燈!#REF!</definedName>
    <definedName name="外部資料_5734" localSheetId="1">紅綠燈!#REF!</definedName>
    <definedName name="外部資料_5735" localSheetId="1">紅綠燈!#REF!</definedName>
    <definedName name="外部資料_5737" localSheetId="1">紅綠燈!#REF!</definedName>
    <definedName name="外部資料_5738" localSheetId="1">紅綠燈!#REF!</definedName>
    <definedName name="外部資料_5739" localSheetId="1">紅綠燈!#REF!</definedName>
    <definedName name="外部資料_574" localSheetId="16">PKA!#REF!</definedName>
    <definedName name="外部資料_574" localSheetId="17">PKB!#REF!</definedName>
    <definedName name="外部資料_574" localSheetId="18">PKC!#REF!</definedName>
    <definedName name="外部資料_574" localSheetId="4">公司債!#REF!</definedName>
    <definedName name="外部資料_574" localSheetId="14">評比系統!$T$1:$T$3</definedName>
    <definedName name="外部資料_5741" localSheetId="1">紅綠燈!#REF!</definedName>
    <definedName name="外部資料_5742" localSheetId="1">紅綠燈!#REF!</definedName>
    <definedName name="外部資料_5743" localSheetId="1">紅綠燈!#REF!</definedName>
    <definedName name="外部資料_5745" localSheetId="1">紅綠燈!#REF!</definedName>
    <definedName name="外部資料_5746" localSheetId="1">紅綠燈!#REF!</definedName>
    <definedName name="外部資料_5747" localSheetId="1">紅綠燈!#REF!</definedName>
    <definedName name="外部資料_5749" localSheetId="1">紅綠燈!#REF!</definedName>
    <definedName name="外部資料_575" localSheetId="16">PKA!#REF!</definedName>
    <definedName name="外部資料_575" localSheetId="17">PKB!#REF!</definedName>
    <definedName name="外部資料_575" localSheetId="18">PKC!#REF!</definedName>
    <definedName name="外部資料_575" localSheetId="4">公司債!#REF!</definedName>
    <definedName name="外部資料_575" localSheetId="14">評比系統!$T$1:$T$3</definedName>
    <definedName name="外部資料_5750" localSheetId="1">紅綠燈!#REF!</definedName>
    <definedName name="外部資料_5751" localSheetId="1">紅綠燈!#REF!</definedName>
    <definedName name="外部資料_5753" localSheetId="1">紅綠燈!#REF!</definedName>
    <definedName name="外部資料_5754" localSheetId="1">紅綠燈!#REF!</definedName>
    <definedName name="外部資料_5755" localSheetId="1">紅綠燈!#REF!</definedName>
    <definedName name="外部資料_5757" localSheetId="1">紅綠燈!#REF!</definedName>
    <definedName name="外部資料_5758" localSheetId="1">紅綠燈!#REF!</definedName>
    <definedName name="外部資料_5759" localSheetId="1">紅綠燈!#REF!</definedName>
    <definedName name="外部資料_576" localSheetId="16">PKA!#REF!</definedName>
    <definedName name="外部資料_576" localSheetId="17">PKB!#REF!</definedName>
    <definedName name="外部資料_576" localSheetId="18">PKC!#REF!</definedName>
    <definedName name="外部資料_576" localSheetId="4">公司債!#REF!</definedName>
    <definedName name="外部資料_576" localSheetId="14">評比系統!$T$1:$T$3</definedName>
    <definedName name="外部資料_5761" localSheetId="1">紅綠燈!#REF!</definedName>
    <definedName name="外部資料_5762" localSheetId="1">紅綠燈!#REF!</definedName>
    <definedName name="外部資料_5763" localSheetId="1">紅綠燈!#REF!</definedName>
    <definedName name="外部資料_5765" localSheetId="1">紅綠燈!#REF!</definedName>
    <definedName name="外部資料_5766" localSheetId="1">紅綠燈!#REF!</definedName>
    <definedName name="外部資料_5767" localSheetId="1">紅綠燈!#REF!</definedName>
    <definedName name="外部資料_5769" localSheetId="1">紅綠燈!#REF!</definedName>
    <definedName name="外部資料_577" localSheetId="16">PKA!#REF!</definedName>
    <definedName name="外部資料_577" localSheetId="17">PKB!#REF!</definedName>
    <definedName name="外部資料_577" localSheetId="18">PKC!#REF!</definedName>
    <definedName name="外部資料_577" localSheetId="4">公司債!#REF!</definedName>
    <definedName name="外部資料_577" localSheetId="14">評比系統!$T$1:$T$3</definedName>
    <definedName name="外部資料_5770" localSheetId="1">紅綠燈!#REF!</definedName>
    <definedName name="外部資料_5771" localSheetId="1">紅綠燈!#REF!</definedName>
    <definedName name="外部資料_5773" localSheetId="1">紅綠燈!#REF!</definedName>
    <definedName name="外部資料_5774" localSheetId="1">紅綠燈!#REF!</definedName>
    <definedName name="外部資料_5775" localSheetId="1">紅綠燈!#REF!</definedName>
    <definedName name="外部資料_5777" localSheetId="1">紅綠燈!#REF!</definedName>
    <definedName name="外部資料_5778" localSheetId="1">紅綠燈!#REF!</definedName>
    <definedName name="外部資料_5779" localSheetId="1">紅綠燈!#REF!</definedName>
    <definedName name="外部資料_578" localSheetId="16">PKA!#REF!</definedName>
    <definedName name="外部資料_578" localSheetId="17">PKB!#REF!</definedName>
    <definedName name="外部資料_578" localSheetId="18">PKC!#REF!</definedName>
    <definedName name="外部資料_578" localSheetId="4">公司債!#REF!</definedName>
    <definedName name="外部資料_578" localSheetId="14">評比系統!$T$1:$T$3</definedName>
    <definedName name="外部資料_5781" localSheetId="1">紅綠燈!#REF!</definedName>
    <definedName name="外部資料_5782" localSheetId="1">紅綠燈!#REF!</definedName>
    <definedName name="外部資料_5783" localSheetId="1">紅綠燈!#REF!</definedName>
    <definedName name="外部資料_5785" localSheetId="1">紅綠燈!#REF!</definedName>
    <definedName name="外部資料_5786" localSheetId="1">紅綠燈!#REF!</definedName>
    <definedName name="外部資料_5787" localSheetId="1">紅綠燈!#REF!</definedName>
    <definedName name="外部資料_5789" localSheetId="1">紅綠燈!#REF!</definedName>
    <definedName name="外部資料_579" localSheetId="16">PKA!#REF!</definedName>
    <definedName name="外部資料_579" localSheetId="17">PKB!#REF!</definedName>
    <definedName name="外部資料_579" localSheetId="18">PKC!#REF!</definedName>
    <definedName name="外部資料_579" localSheetId="4">公司債!#REF!</definedName>
    <definedName name="外部資料_579" localSheetId="14">評比系統!$T$1:$T$3</definedName>
    <definedName name="外部資料_5790" localSheetId="1">紅綠燈!#REF!</definedName>
    <definedName name="外部資料_5791" localSheetId="1">紅綠燈!#REF!</definedName>
    <definedName name="外部資料_5793" localSheetId="1">紅綠燈!#REF!</definedName>
    <definedName name="外部資料_5794" localSheetId="1">紅綠燈!#REF!</definedName>
    <definedName name="外部資料_5795" localSheetId="1">紅綠燈!#REF!</definedName>
    <definedName name="外部資料_5797" localSheetId="1">紅綠燈!#REF!</definedName>
    <definedName name="外部資料_5798" localSheetId="1">紅綠燈!#REF!</definedName>
    <definedName name="外部資料_5799" localSheetId="1">紅綠燈!#REF!</definedName>
    <definedName name="外部資料_58" localSheetId="16">PKA!#REF!</definedName>
    <definedName name="外部資料_58" localSheetId="17">PKB!#REF!</definedName>
    <definedName name="外部資料_58" localSheetId="18">PKC!#REF!</definedName>
    <definedName name="外部資料_58" localSheetId="9">PSR!#REF!</definedName>
    <definedName name="外部資料_58" localSheetId="4">公司債!#REF!</definedName>
    <definedName name="外部資料_58" localSheetId="14">評比系統!$T$1:$T$3</definedName>
    <definedName name="外部資料_58" localSheetId="7">營收搶先報!#REF!</definedName>
    <definedName name="外部資料_580" localSheetId="16">PKA!#REF!</definedName>
    <definedName name="外部資料_580" localSheetId="17">PKB!#REF!</definedName>
    <definedName name="外部資料_580" localSheetId="18">PKC!#REF!</definedName>
    <definedName name="外部資料_580" localSheetId="4">公司債!#REF!</definedName>
    <definedName name="外部資料_580" localSheetId="14">評比系統!$T$1:$T$3</definedName>
    <definedName name="外部資料_5801" localSheetId="1">紅綠燈!#REF!</definedName>
    <definedName name="外部資料_5802" localSheetId="1">紅綠燈!#REF!</definedName>
    <definedName name="外部資料_5803" localSheetId="1">紅綠燈!#REF!</definedName>
    <definedName name="外部資料_5805" localSheetId="1">紅綠燈!#REF!</definedName>
    <definedName name="外部資料_5806" localSheetId="1">紅綠燈!#REF!</definedName>
    <definedName name="外部資料_5807" localSheetId="1">紅綠燈!#REF!</definedName>
    <definedName name="外部資料_5809" localSheetId="1">紅綠燈!#REF!</definedName>
    <definedName name="外部資料_581" localSheetId="16">PKA!#REF!</definedName>
    <definedName name="外部資料_581" localSheetId="17">PKB!#REF!</definedName>
    <definedName name="外部資料_581" localSheetId="18">PKC!#REF!</definedName>
    <definedName name="外部資料_581" localSheetId="4">公司債!#REF!</definedName>
    <definedName name="外部資料_581" localSheetId="14">評比系統!$T$1:$T$3</definedName>
    <definedName name="外部資料_5810" localSheetId="1">紅綠燈!#REF!</definedName>
    <definedName name="外部資料_5811" localSheetId="1">紅綠燈!#REF!</definedName>
    <definedName name="外部資料_5813" localSheetId="1">紅綠燈!#REF!</definedName>
    <definedName name="外部資料_5814" localSheetId="1">紅綠燈!#REF!</definedName>
    <definedName name="外部資料_5815" localSheetId="1">紅綠燈!#REF!</definedName>
    <definedName name="外部資料_5817" localSheetId="1">紅綠燈!#REF!</definedName>
    <definedName name="外部資料_5818" localSheetId="1">紅綠燈!#REF!</definedName>
    <definedName name="外部資料_5819" localSheetId="1">紅綠燈!#REF!</definedName>
    <definedName name="外部資料_582" localSheetId="16">PKA!#REF!</definedName>
    <definedName name="外部資料_582" localSheetId="17">PKB!#REF!</definedName>
    <definedName name="外部資料_582" localSheetId="18">PKC!#REF!</definedName>
    <definedName name="外部資料_582" localSheetId="4">公司債!#REF!</definedName>
    <definedName name="外部資料_582" localSheetId="14">評比系統!$T$1:$T$3</definedName>
    <definedName name="外部資料_5821" localSheetId="1">紅綠燈!#REF!</definedName>
    <definedName name="外部資料_5822" localSheetId="1">紅綠燈!#REF!</definedName>
    <definedName name="外部資料_5823" localSheetId="1">紅綠燈!#REF!</definedName>
    <definedName name="外部資料_5825" localSheetId="1">紅綠燈!#REF!</definedName>
    <definedName name="外部資料_5826" localSheetId="1">紅綠燈!#REF!</definedName>
    <definedName name="外部資料_5827" localSheetId="1">紅綠燈!#REF!</definedName>
    <definedName name="外部資料_5829" localSheetId="1">紅綠燈!#REF!</definedName>
    <definedName name="外部資料_583" localSheetId="16">PKA!#REF!</definedName>
    <definedName name="外部資料_583" localSheetId="17">PKB!#REF!</definedName>
    <definedName name="外部資料_583" localSheetId="18">PKC!#REF!</definedName>
    <definedName name="外部資料_583" localSheetId="4">公司債!#REF!</definedName>
    <definedName name="外部資料_583" localSheetId="14">評比系統!$T$1:$T$3</definedName>
    <definedName name="外部資料_5830" localSheetId="1">紅綠燈!#REF!</definedName>
    <definedName name="外部資料_5831" localSheetId="1">紅綠燈!#REF!</definedName>
    <definedName name="外部資料_5833" localSheetId="1">紅綠燈!#REF!</definedName>
    <definedName name="外部資料_5834" localSheetId="1">紅綠燈!#REF!</definedName>
    <definedName name="外部資料_5835" localSheetId="1">紅綠燈!#REF!</definedName>
    <definedName name="外部資料_5837" localSheetId="1">紅綠燈!#REF!</definedName>
    <definedName name="外部資料_5838" localSheetId="1">紅綠燈!#REF!</definedName>
    <definedName name="外部資料_5839" localSheetId="1">紅綠燈!#REF!</definedName>
    <definedName name="外部資料_584" localSheetId="16">PKA!#REF!</definedName>
    <definedName name="外部資料_584" localSheetId="17">PKB!#REF!</definedName>
    <definedName name="外部資料_584" localSheetId="18">PKC!#REF!</definedName>
    <definedName name="外部資料_584" localSheetId="4">公司債!#REF!</definedName>
    <definedName name="外部資料_584" localSheetId="14">評比系統!$T$1:$T$3</definedName>
    <definedName name="外部資料_5841" localSheetId="1">紅綠燈!#REF!</definedName>
    <definedName name="外部資料_5842" localSheetId="1">紅綠燈!#REF!</definedName>
    <definedName name="外部資料_5843" localSheetId="1">紅綠燈!#REF!</definedName>
    <definedName name="外部資料_5845" localSheetId="1">紅綠燈!#REF!</definedName>
    <definedName name="外部資料_5846" localSheetId="1">紅綠燈!#REF!</definedName>
    <definedName name="外部資料_5847" localSheetId="1">紅綠燈!#REF!</definedName>
    <definedName name="外部資料_5849" localSheetId="1">紅綠燈!#REF!</definedName>
    <definedName name="外部資料_585" localSheetId="16">PKA!#REF!</definedName>
    <definedName name="外部資料_585" localSheetId="17">PKB!#REF!</definedName>
    <definedName name="外部資料_585" localSheetId="18">PKC!#REF!</definedName>
    <definedName name="外部資料_585" localSheetId="4">公司債!#REF!</definedName>
    <definedName name="外部資料_585" localSheetId="14">評比系統!$T$1:$T$3</definedName>
    <definedName name="外部資料_5850" localSheetId="1">紅綠燈!#REF!</definedName>
    <definedName name="外部資料_5851" localSheetId="1">紅綠燈!#REF!</definedName>
    <definedName name="外部資料_5853" localSheetId="1">紅綠燈!#REF!</definedName>
    <definedName name="外部資料_5854" localSheetId="1">紅綠燈!#REF!</definedName>
    <definedName name="外部資料_5855" localSheetId="1">紅綠燈!#REF!</definedName>
    <definedName name="外部資料_5857" localSheetId="1">紅綠燈!#REF!</definedName>
    <definedName name="外部資料_5858" localSheetId="1">紅綠燈!#REF!</definedName>
    <definedName name="外部資料_5859" localSheetId="1">紅綠燈!#REF!</definedName>
    <definedName name="外部資料_586" localSheetId="16">PKA!#REF!</definedName>
    <definedName name="外部資料_586" localSheetId="17">PKB!#REF!</definedName>
    <definedName name="外部資料_586" localSheetId="18">PKC!#REF!</definedName>
    <definedName name="外部資料_586" localSheetId="4">公司債!#REF!</definedName>
    <definedName name="外部資料_586" localSheetId="14">評比系統!$T$1:$T$3</definedName>
    <definedName name="外部資料_5861" localSheetId="1">紅綠燈!#REF!</definedName>
    <definedName name="外部資料_5862" localSheetId="1">紅綠燈!#REF!</definedName>
    <definedName name="外部資料_5863" localSheetId="1">紅綠燈!#REF!</definedName>
    <definedName name="外部資料_5865" localSheetId="1">紅綠燈!#REF!</definedName>
    <definedName name="外部資料_5866" localSheetId="1">紅綠燈!#REF!</definedName>
    <definedName name="外部資料_5867" localSheetId="1">紅綠燈!#REF!</definedName>
    <definedName name="外部資料_5869" localSheetId="1">紅綠燈!#REF!</definedName>
    <definedName name="外部資料_587" localSheetId="16">PKA!#REF!</definedName>
    <definedName name="外部資料_587" localSheetId="17">PKB!#REF!</definedName>
    <definedName name="外部資料_587" localSheetId="18">PKC!#REF!</definedName>
    <definedName name="外部資料_587" localSheetId="4">公司債!#REF!</definedName>
    <definedName name="外部資料_587" localSheetId="14">評比系統!$T$1:$T$3</definedName>
    <definedName name="外部資料_5870" localSheetId="1">紅綠燈!#REF!</definedName>
    <definedName name="外部資料_5871" localSheetId="1">紅綠燈!#REF!</definedName>
    <definedName name="外部資料_5873" localSheetId="1">紅綠燈!#REF!</definedName>
    <definedName name="外部資料_5874" localSheetId="1">紅綠燈!#REF!</definedName>
    <definedName name="外部資料_5875" localSheetId="1">紅綠燈!#REF!</definedName>
    <definedName name="外部資料_5877" localSheetId="1">紅綠燈!#REF!</definedName>
    <definedName name="外部資料_5878" localSheetId="1">紅綠燈!#REF!</definedName>
    <definedName name="外部資料_5879" localSheetId="1">紅綠燈!#REF!</definedName>
    <definedName name="外部資料_588" localSheetId="16">PKA!#REF!</definedName>
    <definedName name="外部資料_588" localSheetId="17">PKB!#REF!</definedName>
    <definedName name="外部資料_588" localSheetId="18">PKC!#REF!</definedName>
    <definedName name="外部資料_588" localSheetId="4">公司債!#REF!</definedName>
    <definedName name="外部資料_588" localSheetId="14">評比系統!$T$1:$T$3</definedName>
    <definedName name="外部資料_5881" localSheetId="1">紅綠燈!#REF!</definedName>
    <definedName name="外部資料_5882" localSheetId="1">紅綠燈!#REF!</definedName>
    <definedName name="外部資料_5884" localSheetId="1">紅綠燈!#REF!</definedName>
    <definedName name="外部資料_5885" localSheetId="1">紅綠燈!#REF!</definedName>
    <definedName name="外部資料_5886" localSheetId="1">紅綠燈!#REF!</definedName>
    <definedName name="外部資料_5888" localSheetId="1">紅綠燈!#REF!</definedName>
    <definedName name="外部資料_5889" localSheetId="1">紅綠燈!#REF!</definedName>
    <definedName name="外部資料_589" localSheetId="16">PKA!#REF!</definedName>
    <definedName name="外部資料_589" localSheetId="17">PKB!#REF!</definedName>
    <definedName name="外部資料_589" localSheetId="18">PKC!#REF!</definedName>
    <definedName name="外部資料_589" localSheetId="4">公司債!#REF!</definedName>
    <definedName name="外部資料_589" localSheetId="14">評比系統!$T$1:$T$3</definedName>
    <definedName name="外部資料_5890" localSheetId="1">紅綠燈!#REF!</definedName>
    <definedName name="外部資料_5892" localSheetId="1">紅綠燈!#REF!</definedName>
    <definedName name="外部資料_5893" localSheetId="1">紅綠燈!#REF!</definedName>
    <definedName name="外部資料_5894" localSheetId="1">紅綠燈!#REF!</definedName>
    <definedName name="外部資料_5896" localSheetId="1">紅綠燈!#REF!</definedName>
    <definedName name="外部資料_5897" localSheetId="1">紅綠燈!#REF!</definedName>
    <definedName name="外部資料_5898" localSheetId="1">紅綠燈!#REF!</definedName>
    <definedName name="外部資料_59" localSheetId="16">PKA!#REF!</definedName>
    <definedName name="外部資料_59" localSheetId="17">PKB!#REF!</definedName>
    <definedName name="外部資料_59" localSheetId="18">PKC!#REF!</definedName>
    <definedName name="外部資料_59" localSheetId="9">PSR!#REF!</definedName>
    <definedName name="外部資料_59" localSheetId="4">公司債!#REF!</definedName>
    <definedName name="外部資料_59" localSheetId="14">評比系統!$T$1:$T$3</definedName>
    <definedName name="外部資料_59" localSheetId="7">營收搶先報!#REF!</definedName>
    <definedName name="外部資料_590" localSheetId="16">PKA!#REF!</definedName>
    <definedName name="外部資料_590" localSheetId="17">PKB!#REF!</definedName>
    <definedName name="外部資料_590" localSheetId="18">PKC!#REF!</definedName>
    <definedName name="外部資料_590" localSheetId="4">公司債!#REF!</definedName>
    <definedName name="外部資料_590" localSheetId="14">評比系統!$T$1:$T$3</definedName>
    <definedName name="外部資料_5900" localSheetId="1">紅綠燈!#REF!</definedName>
    <definedName name="外部資料_5901" localSheetId="1">紅綠燈!#REF!</definedName>
    <definedName name="外部資料_5902" localSheetId="1">紅綠燈!#REF!</definedName>
    <definedName name="外部資料_5904" localSheetId="1">紅綠燈!#REF!</definedName>
    <definedName name="外部資料_5905" localSheetId="1">紅綠燈!#REF!</definedName>
    <definedName name="外部資料_5906" localSheetId="1">紅綠燈!#REF!</definedName>
    <definedName name="外部資料_5908" localSheetId="1">紅綠燈!#REF!</definedName>
    <definedName name="外部資料_5909" localSheetId="1">紅綠燈!#REF!</definedName>
    <definedName name="外部資料_591" localSheetId="16">PKA!#REF!</definedName>
    <definedName name="外部資料_591" localSheetId="17">PKB!#REF!</definedName>
    <definedName name="外部資料_591" localSheetId="18">PKC!#REF!</definedName>
    <definedName name="外部資料_591" localSheetId="4">公司債!#REF!</definedName>
    <definedName name="外部資料_591" localSheetId="14">評比系統!$T$1:$T$3</definedName>
    <definedName name="外部資料_5910" localSheetId="1">紅綠燈!#REF!</definedName>
    <definedName name="外部資料_5912" localSheetId="1">紅綠燈!#REF!</definedName>
    <definedName name="外部資料_5913" localSheetId="1">紅綠燈!#REF!</definedName>
    <definedName name="外部資料_5914" localSheetId="1">紅綠燈!#REF!</definedName>
    <definedName name="外部資料_5916" localSheetId="1">紅綠燈!#REF!</definedName>
    <definedName name="外部資料_5917" localSheetId="1">紅綠燈!#REF!</definedName>
    <definedName name="外部資料_5918" localSheetId="1">紅綠燈!#REF!</definedName>
    <definedName name="外部資料_592" localSheetId="16">PKA!#REF!</definedName>
    <definedName name="外部資料_592" localSheetId="17">PKB!#REF!</definedName>
    <definedName name="外部資料_592" localSheetId="18">PKC!#REF!</definedName>
    <definedName name="外部資料_592" localSheetId="4">公司債!#REF!</definedName>
    <definedName name="外部資料_592" localSheetId="14">評比系統!$T$1:$T$3</definedName>
    <definedName name="外部資料_5920" localSheetId="1">紅綠燈!#REF!</definedName>
    <definedName name="外部資料_5921" localSheetId="1">紅綠燈!#REF!</definedName>
    <definedName name="外部資料_5922" localSheetId="1">紅綠燈!#REF!</definedName>
    <definedName name="外部資料_5924" localSheetId="1">紅綠燈!#REF!</definedName>
    <definedName name="外部資料_5925" localSheetId="1">紅綠燈!#REF!</definedName>
    <definedName name="外部資料_5926" localSheetId="1">紅綠燈!#REF!</definedName>
    <definedName name="外部資料_5928" localSheetId="1">紅綠燈!#REF!</definedName>
    <definedName name="外部資料_5929" localSheetId="1">紅綠燈!#REF!</definedName>
    <definedName name="外部資料_593" localSheetId="16">PKA!#REF!</definedName>
    <definedName name="外部資料_593" localSheetId="17">PKB!#REF!</definedName>
    <definedName name="外部資料_593" localSheetId="18">PKC!#REF!</definedName>
    <definedName name="外部資料_593" localSheetId="4">公司債!#REF!</definedName>
    <definedName name="外部資料_593" localSheetId="14">評比系統!$T$1:$T$3</definedName>
    <definedName name="外部資料_5930" localSheetId="1">紅綠燈!#REF!</definedName>
    <definedName name="外部資料_5932" localSheetId="1">紅綠燈!#REF!</definedName>
    <definedName name="外部資料_5933" localSheetId="1">紅綠燈!#REF!</definedName>
    <definedName name="外部資料_5934" localSheetId="1">紅綠燈!#REF!</definedName>
    <definedName name="外部資料_5936" localSheetId="1">紅綠燈!#REF!</definedName>
    <definedName name="外部資料_5937" localSheetId="1">紅綠燈!#REF!</definedName>
    <definedName name="外部資料_5939" localSheetId="1">紅綠燈!#REF!</definedName>
    <definedName name="外部資料_594" localSheetId="16">PKA!#REF!</definedName>
    <definedName name="外部資料_594" localSheetId="17">PKB!#REF!</definedName>
    <definedName name="外部資料_594" localSheetId="18">PKC!#REF!</definedName>
    <definedName name="外部資料_594" localSheetId="4">公司債!#REF!</definedName>
    <definedName name="外部資料_594" localSheetId="14">評比系統!$T$1:$T$3</definedName>
    <definedName name="外部資料_5940" localSheetId="1">紅綠燈!#REF!</definedName>
    <definedName name="外部資料_5941" localSheetId="1">紅綠燈!#REF!</definedName>
    <definedName name="外部資料_5943" localSheetId="1">紅綠燈!#REF!</definedName>
    <definedName name="外部資料_5944" localSheetId="1">紅綠燈!#REF!</definedName>
    <definedName name="外部資料_5945" localSheetId="1">紅綠燈!#REF!</definedName>
    <definedName name="外部資料_5947" localSheetId="1">紅綠燈!#REF!</definedName>
    <definedName name="外部資料_5948" localSheetId="1">紅綠燈!#REF!</definedName>
    <definedName name="外部資料_5949" localSheetId="1">紅綠燈!#REF!</definedName>
    <definedName name="外部資料_595" localSheetId="16">PKA!#REF!</definedName>
    <definedName name="外部資料_595" localSheetId="17">PKB!#REF!</definedName>
    <definedName name="外部資料_595" localSheetId="18">PKC!#REF!</definedName>
    <definedName name="外部資料_595" localSheetId="4">公司債!#REF!</definedName>
    <definedName name="外部資料_595" localSheetId="14">評比系統!$T$1:$T$3</definedName>
    <definedName name="外部資料_5951" localSheetId="1">紅綠燈!#REF!</definedName>
    <definedName name="外部資料_5952" localSheetId="1">紅綠燈!#REF!</definedName>
    <definedName name="外部資料_5953" localSheetId="1">紅綠燈!#REF!</definedName>
    <definedName name="外部資料_5955" localSheetId="1">紅綠燈!#REF!</definedName>
    <definedName name="外部資料_5956" localSheetId="1">紅綠燈!#REF!</definedName>
    <definedName name="外部資料_5957" localSheetId="1">紅綠燈!#REF!</definedName>
    <definedName name="外部資料_5959" localSheetId="1">紅綠燈!#REF!</definedName>
    <definedName name="外部資料_596" localSheetId="16">PKA!#REF!</definedName>
    <definedName name="外部資料_596" localSheetId="17">PKB!#REF!</definedName>
    <definedName name="外部資料_596" localSheetId="18">PKC!#REF!</definedName>
    <definedName name="外部資料_596" localSheetId="4">公司債!#REF!</definedName>
    <definedName name="外部資料_596" localSheetId="14">評比系統!$T$1:$T$3</definedName>
    <definedName name="外部資料_5960" localSheetId="1">紅綠燈!#REF!</definedName>
    <definedName name="外部資料_5961" localSheetId="1">紅綠燈!#REF!</definedName>
    <definedName name="外部資料_5963" localSheetId="1">紅綠燈!#REF!</definedName>
    <definedName name="外部資料_5964" localSheetId="1">紅綠燈!#REF!</definedName>
    <definedName name="外部資料_5965" localSheetId="1">紅綠燈!#REF!</definedName>
    <definedName name="外部資料_5967" localSheetId="1">紅綠燈!#REF!</definedName>
    <definedName name="外部資料_5968" localSheetId="1">紅綠燈!#REF!</definedName>
    <definedName name="外部資料_5969" localSheetId="1">紅綠燈!#REF!</definedName>
    <definedName name="外部資料_597" localSheetId="16">PKA!#REF!</definedName>
    <definedName name="外部資料_597" localSheetId="17">PKB!#REF!</definedName>
    <definedName name="外部資料_597" localSheetId="18">PKC!#REF!</definedName>
    <definedName name="外部資料_597" localSheetId="4">公司債!#REF!</definedName>
    <definedName name="外部資料_597" localSheetId="14">評比系統!$T$1:$T$3</definedName>
    <definedName name="外部資料_5971" localSheetId="1">紅綠燈!#REF!</definedName>
    <definedName name="外部資料_5972" localSheetId="1">紅綠燈!#REF!</definedName>
    <definedName name="外部資料_5973" localSheetId="1">紅綠燈!#REF!</definedName>
    <definedName name="外部資料_5975" localSheetId="1">紅綠燈!#REF!</definedName>
    <definedName name="外部資料_5976" localSheetId="1">紅綠燈!#REF!</definedName>
    <definedName name="外部資料_5977" localSheetId="1">紅綠燈!#REF!</definedName>
    <definedName name="外部資料_5979" localSheetId="1">紅綠燈!#REF!</definedName>
    <definedName name="外部資料_598" localSheetId="16">PKA!#REF!</definedName>
    <definedName name="外部資料_598" localSheetId="17">PKB!#REF!</definedName>
    <definedName name="外部資料_598" localSheetId="18">PKC!#REF!</definedName>
    <definedName name="外部資料_598" localSheetId="4">公司債!#REF!</definedName>
    <definedName name="外部資料_598" localSheetId="14">評比系統!$T$1:$T$3</definedName>
    <definedName name="外部資料_5980" localSheetId="1">紅綠燈!#REF!</definedName>
    <definedName name="外部資料_5981" localSheetId="1">紅綠燈!#REF!</definedName>
    <definedName name="外部資料_5983" localSheetId="1">紅綠燈!#REF!</definedName>
    <definedName name="外部資料_5984" localSheetId="1">紅綠燈!#REF!</definedName>
    <definedName name="外部資料_5985" localSheetId="1">紅綠燈!#REF!</definedName>
    <definedName name="外部資料_5987" localSheetId="1">紅綠燈!#REF!</definedName>
    <definedName name="外部資料_5988" localSheetId="1">紅綠燈!#REF!</definedName>
    <definedName name="外部資料_5989" localSheetId="1">紅綠燈!#REF!</definedName>
    <definedName name="外部資料_599" localSheetId="16">PKA!#REF!</definedName>
    <definedName name="外部資料_599" localSheetId="17">PKB!#REF!</definedName>
    <definedName name="外部資料_599" localSheetId="18">PKC!#REF!</definedName>
    <definedName name="外部資料_599" localSheetId="4">公司債!#REF!</definedName>
    <definedName name="外部資料_599" localSheetId="14">評比系統!$T$1:$T$3</definedName>
    <definedName name="外部資料_5991" localSheetId="1">紅綠燈!#REF!</definedName>
    <definedName name="外部資料_5992" localSheetId="1">紅綠燈!#REF!</definedName>
    <definedName name="外部資料_5993" localSheetId="1">紅綠燈!#REF!</definedName>
    <definedName name="外部資料_6" localSheetId="16">PKA!#REF!</definedName>
    <definedName name="外部資料_6" localSheetId="17">PKB!#REF!</definedName>
    <definedName name="外部資料_6" localSheetId="18">PKC!#REF!</definedName>
    <definedName name="外部資料_6" localSheetId="9">PSR!#REF!</definedName>
    <definedName name="外部資料_6" localSheetId="1">紅綠燈!#REF!</definedName>
    <definedName name="外部資料_6" localSheetId="14">評比系統!#REF!</definedName>
    <definedName name="外部資料_6" localSheetId="5">篩股系統!#REF!</definedName>
    <definedName name="外部資料_6" localSheetId="7">營收搶先報!#REF!</definedName>
    <definedName name="外部資料_60" localSheetId="16">PKA!#REF!</definedName>
    <definedName name="外部資料_60" localSheetId="17">PKB!#REF!</definedName>
    <definedName name="外部資料_60" localSheetId="18">PKC!#REF!</definedName>
    <definedName name="外部資料_60" localSheetId="9">PSR!#REF!</definedName>
    <definedName name="外部資料_60" localSheetId="4">公司債!#REF!</definedName>
    <definedName name="外部資料_60" localSheetId="14">評比系統!$T$1:$T$3</definedName>
    <definedName name="外部資料_60" localSheetId="7">營收搶先報!#REF!</definedName>
    <definedName name="外部資料_600" localSheetId="16">PKA!#REF!</definedName>
    <definedName name="外部資料_600" localSheetId="17">PKB!#REF!</definedName>
    <definedName name="外部資料_600" localSheetId="18">PKC!#REF!</definedName>
    <definedName name="外部資料_600" localSheetId="4">公司債!#REF!</definedName>
    <definedName name="外部資料_600" localSheetId="14">評比系統!$T$1:$T$3</definedName>
    <definedName name="外部資料_601" localSheetId="16">PKA!#REF!</definedName>
    <definedName name="外部資料_601" localSheetId="17">PKB!#REF!</definedName>
    <definedName name="外部資料_601" localSheetId="18">PKC!$A$1:$K$65</definedName>
    <definedName name="外部資料_601" localSheetId="4">公司債!#REF!</definedName>
    <definedName name="外部資料_601" localSheetId="14">評比系統!$T$1:$T$3</definedName>
    <definedName name="外部資料_602" localSheetId="16">PKA!#REF!</definedName>
    <definedName name="外部資料_602" localSheetId="17">PKB!#REF!</definedName>
    <definedName name="外部資料_602" localSheetId="18">PKC!$A$100:$K$160</definedName>
    <definedName name="外部資料_602" localSheetId="4">公司債!#REF!</definedName>
    <definedName name="外部資料_602" localSheetId="14">評比系統!$T$1:$T$3</definedName>
    <definedName name="外部資料_603" localSheetId="16">PKA!#REF!</definedName>
    <definedName name="外部資料_603" localSheetId="17">PKB!#REF!</definedName>
    <definedName name="外部資料_603" localSheetId="18">PKC!$A$200:$K$247</definedName>
    <definedName name="外部資料_603" localSheetId="4">公司債!#REF!</definedName>
    <definedName name="外部資料_603" localSheetId="14">評比系統!$T$1:$T$3</definedName>
    <definedName name="外部資料_604" localSheetId="16">PKA!#REF!</definedName>
    <definedName name="外部資料_604" localSheetId="17">PKB!#REF!</definedName>
    <definedName name="外部資料_604" localSheetId="4">公司債!#REF!</definedName>
    <definedName name="外部資料_604" localSheetId="14">評比系統!$T$1:$T$3</definedName>
    <definedName name="外部資料_605" localSheetId="16">PKA!#REF!</definedName>
    <definedName name="外部資料_605" localSheetId="17">PKB!#REF!</definedName>
    <definedName name="外部資料_605" localSheetId="4">公司債!#REF!</definedName>
    <definedName name="外部資料_605" localSheetId="14">評比系統!$T$1:$T$3</definedName>
    <definedName name="外部資料_606" localSheetId="16">PKA!#REF!</definedName>
    <definedName name="外部資料_606" localSheetId="17">PKB!#REF!</definedName>
    <definedName name="外部資料_606" localSheetId="4">公司債!#REF!</definedName>
    <definedName name="外部資料_606" localSheetId="14">評比系統!$T$1:$T$3</definedName>
    <definedName name="外部資料_607" localSheetId="16">PKA!#REF!</definedName>
    <definedName name="外部資料_607" localSheetId="17">PKB!#REF!</definedName>
    <definedName name="外部資料_607" localSheetId="4">公司債!#REF!</definedName>
    <definedName name="外部資料_607" localSheetId="14">評比系統!$T$1:$T$3</definedName>
    <definedName name="外部資料_608" localSheetId="16">PKA!#REF!</definedName>
    <definedName name="外部資料_608" localSheetId="17">PKB!#REF!</definedName>
    <definedName name="外部資料_608" localSheetId="4">公司債!#REF!</definedName>
    <definedName name="外部資料_608" localSheetId="14">評比系統!$T$1:$T$3</definedName>
    <definedName name="外部資料_609" localSheetId="16">PKA!#REF!</definedName>
    <definedName name="外部資料_609" localSheetId="17">PKB!#REF!</definedName>
    <definedName name="外部資料_609" localSheetId="4">公司債!#REF!</definedName>
    <definedName name="外部資料_609" localSheetId="14">評比系統!$T$1:$T$3</definedName>
    <definedName name="外部資料_61" localSheetId="16">PKA!#REF!</definedName>
    <definedName name="外部資料_61" localSheetId="17">PKB!#REF!</definedName>
    <definedName name="外部資料_61" localSheetId="18">PKC!#REF!</definedName>
    <definedName name="外部資料_61" localSheetId="9">PSR!#REF!</definedName>
    <definedName name="外部資料_61" localSheetId="4">公司債!#REF!</definedName>
    <definedName name="外部資料_61" localSheetId="14">評比系統!$T$1:$T$3</definedName>
    <definedName name="外部資料_61" localSheetId="7">營收搶先報!#REF!</definedName>
    <definedName name="外部資料_610" localSheetId="16">PKA!#REF!</definedName>
    <definedName name="外部資料_610" localSheetId="17">PKB!#REF!</definedName>
    <definedName name="外部資料_610" localSheetId="4">公司債!#REF!</definedName>
    <definedName name="外部資料_610" localSheetId="14">評比系統!$T$1:$T$3</definedName>
    <definedName name="外部資料_611" localSheetId="16">PKA!#REF!</definedName>
    <definedName name="外部資料_611" localSheetId="17">PKB!#REF!</definedName>
    <definedName name="外部資料_611" localSheetId="4">公司債!#REF!</definedName>
    <definedName name="外部資料_611" localSheetId="14">評比系統!$T$1:$T$3</definedName>
    <definedName name="外部資料_612" localSheetId="16">PKA!#REF!</definedName>
    <definedName name="外部資料_612" localSheetId="17">PKB!#REF!</definedName>
    <definedName name="外部資料_612" localSheetId="4">公司債!#REF!</definedName>
    <definedName name="外部資料_612" localSheetId="14">評比系統!$T$1:$T$3</definedName>
    <definedName name="外部資料_613" localSheetId="16">PKA!#REF!</definedName>
    <definedName name="外部資料_613" localSheetId="17">PKB!#REF!</definedName>
    <definedName name="外部資料_613" localSheetId="4">公司債!#REF!</definedName>
    <definedName name="外部資料_613" localSheetId="14">評比系統!$T$1:$T$3</definedName>
    <definedName name="外部資料_614" localSheetId="16">PKA!#REF!</definedName>
    <definedName name="外部資料_614" localSheetId="17">PKB!#REF!</definedName>
    <definedName name="外部資料_614" localSheetId="4">公司債!#REF!</definedName>
    <definedName name="外部資料_614" localSheetId="14">評比系統!$T$1:$T$3</definedName>
    <definedName name="外部資料_615" localSheetId="16">PKA!#REF!</definedName>
    <definedName name="外部資料_615" localSheetId="17">PKB!#REF!</definedName>
    <definedName name="外部資料_615" localSheetId="4">公司債!#REF!</definedName>
    <definedName name="外部資料_615" localSheetId="14">評比系統!$T$1:$T$3</definedName>
    <definedName name="外部資料_616" localSheetId="16">PKA!#REF!</definedName>
    <definedName name="外部資料_616" localSheetId="17">PKB!#REF!</definedName>
    <definedName name="外部資料_616" localSheetId="4">公司債!#REF!</definedName>
    <definedName name="外部資料_616" localSheetId="14">評比系統!$T$1:$T$3</definedName>
    <definedName name="外部資料_617" localSheetId="16">PKA!#REF!</definedName>
    <definedName name="外部資料_617" localSheetId="17">PKB!#REF!</definedName>
    <definedName name="外部資料_617" localSheetId="4">公司債!#REF!</definedName>
    <definedName name="外部資料_617" localSheetId="14">評比系統!$T$1:$T$3</definedName>
    <definedName name="外部資料_618" localSheetId="16">PKA!#REF!</definedName>
    <definedName name="外部資料_618" localSheetId="17">PKB!#REF!</definedName>
    <definedName name="外部資料_618" localSheetId="4">公司債!#REF!</definedName>
    <definedName name="外部資料_618" localSheetId="14">評比系統!$T$1:$T$3</definedName>
    <definedName name="外部資料_619" localSheetId="16">PKA!#REF!</definedName>
    <definedName name="外部資料_619" localSheetId="17">PKB!#REF!</definedName>
    <definedName name="外部資料_619" localSheetId="4">公司債!#REF!</definedName>
    <definedName name="外部資料_619" localSheetId="14">評比系統!$T$1:$T$3</definedName>
    <definedName name="外部資料_62" localSheetId="16">PKA!#REF!</definedName>
    <definedName name="外部資料_62" localSheetId="17">PKB!#REF!</definedName>
    <definedName name="外部資料_62" localSheetId="18">PKC!#REF!</definedName>
    <definedName name="外部資料_62" localSheetId="9">PSR!#REF!</definedName>
    <definedName name="外部資料_62" localSheetId="4">公司債!#REF!</definedName>
    <definedName name="外部資料_62" localSheetId="14">評比系統!$T$1:$T$3</definedName>
    <definedName name="外部資料_62" localSheetId="7">營收搶先報!#REF!</definedName>
    <definedName name="外部資料_620" localSheetId="16">PKA!#REF!</definedName>
    <definedName name="外部資料_620" localSheetId="17">PKB!#REF!</definedName>
    <definedName name="外部資料_620" localSheetId="4">公司債!#REF!</definedName>
    <definedName name="外部資料_620" localSheetId="14">評比系統!$T$1:$T$3</definedName>
    <definedName name="外部資料_621" localSheetId="16">PKA!#REF!</definedName>
    <definedName name="外部資料_621" localSheetId="17">PKB!#REF!</definedName>
    <definedName name="外部資料_621" localSheetId="4">公司債!#REF!</definedName>
    <definedName name="外部資料_621" localSheetId="14">評比系統!$T$1:$T$3</definedName>
    <definedName name="外部資料_622" localSheetId="16">PKA!#REF!</definedName>
    <definedName name="外部資料_622" localSheetId="17">PKB!#REF!</definedName>
    <definedName name="外部資料_622" localSheetId="4">公司債!#REF!</definedName>
    <definedName name="外部資料_622" localSheetId="14">評比系統!$T$1:$T$3</definedName>
    <definedName name="外部資料_623" localSheetId="16">PKA!#REF!</definedName>
    <definedName name="外部資料_623" localSheetId="17">PKB!#REF!</definedName>
    <definedName name="外部資料_623" localSheetId="4">公司債!#REF!</definedName>
    <definedName name="外部資料_623" localSheetId="14">評比系統!$T$1:$T$3</definedName>
    <definedName name="外部資料_624" localSheetId="16">PKA!#REF!</definedName>
    <definedName name="外部資料_624" localSheetId="17">PKB!#REF!</definedName>
    <definedName name="外部資料_624" localSheetId="4">公司債!#REF!</definedName>
    <definedName name="外部資料_624" localSheetId="14">評比系統!$T$1:$T$3</definedName>
    <definedName name="外部資料_625" localSheetId="16">PKA!#REF!</definedName>
    <definedName name="外部資料_625" localSheetId="17">PKB!#REF!</definedName>
    <definedName name="外部資料_625" localSheetId="4">公司債!#REF!</definedName>
    <definedName name="外部資料_625" localSheetId="14">評比系統!$T$1:$T$3</definedName>
    <definedName name="外部資料_626" localSheetId="16">PKA!#REF!</definedName>
    <definedName name="外部資料_626" localSheetId="17">PKB!#REF!</definedName>
    <definedName name="外部資料_626" localSheetId="4">公司債!#REF!</definedName>
    <definedName name="外部資料_626" localSheetId="14">評比系統!$T$1:$T$3</definedName>
    <definedName name="外部資料_627" localSheetId="16">PKA!#REF!</definedName>
    <definedName name="外部資料_627" localSheetId="17">PKB!#REF!</definedName>
    <definedName name="外部資料_627" localSheetId="4">公司債!#REF!</definedName>
    <definedName name="外部資料_627" localSheetId="14">評比系統!$T$1:$T$3</definedName>
    <definedName name="外部資料_628" localSheetId="16">PKA!#REF!</definedName>
    <definedName name="外部資料_628" localSheetId="17">PKB!#REF!</definedName>
    <definedName name="外部資料_628" localSheetId="4">公司債!#REF!</definedName>
    <definedName name="外部資料_628" localSheetId="14">評比系統!$T$1:$T$3</definedName>
    <definedName name="外部資料_629" localSheetId="16">PKA!#REF!</definedName>
    <definedName name="外部資料_629" localSheetId="17">PKB!#REF!</definedName>
    <definedName name="外部資料_629" localSheetId="4">公司債!#REF!</definedName>
    <definedName name="外部資料_629" localSheetId="14">評比系統!$T$1:$T$3</definedName>
    <definedName name="外部資料_63" localSheetId="16">PKA!#REF!</definedName>
    <definedName name="外部資料_63" localSheetId="17">PKB!#REF!</definedName>
    <definedName name="外部資料_63" localSheetId="18">PKC!#REF!</definedName>
    <definedName name="外部資料_63" localSheetId="9">PSR!#REF!</definedName>
    <definedName name="外部資料_63" localSheetId="4">公司債!#REF!</definedName>
    <definedName name="外部資料_63" localSheetId="14">評比系統!$T$1:$T$3</definedName>
    <definedName name="外部資料_63" localSheetId="7">營收搶先報!#REF!</definedName>
    <definedName name="外部資料_630" localSheetId="16">PKA!#REF!</definedName>
    <definedName name="外部資料_630" localSheetId="17">PKB!#REF!</definedName>
    <definedName name="外部資料_630" localSheetId="4">公司債!#REF!</definedName>
    <definedName name="外部資料_630" localSheetId="14">評比系統!$T$1:$T$3</definedName>
    <definedName name="外部資料_631" localSheetId="16">PKA!#REF!</definedName>
    <definedName name="外部資料_631" localSheetId="17">PKB!#REF!</definedName>
    <definedName name="外部資料_631" localSheetId="4">公司債!#REF!</definedName>
    <definedName name="外部資料_631" localSheetId="14">評比系統!$T$1:$T$3</definedName>
    <definedName name="外部資料_632" localSheetId="16">PKA!#REF!</definedName>
    <definedName name="外部資料_632" localSheetId="17">PKB!#REF!</definedName>
    <definedName name="外部資料_632" localSheetId="4">公司債!#REF!</definedName>
    <definedName name="外部資料_632" localSheetId="14">評比系統!$T$1:$T$3</definedName>
    <definedName name="外部資料_633" localSheetId="16">PKA!#REF!</definedName>
    <definedName name="外部資料_633" localSheetId="17">PKB!#REF!</definedName>
    <definedName name="外部資料_633" localSheetId="4">公司債!#REF!</definedName>
    <definedName name="外部資料_633" localSheetId="14">評比系統!$T$1:$T$3</definedName>
    <definedName name="外部資料_634" localSheetId="16">PKA!#REF!</definedName>
    <definedName name="外部資料_634" localSheetId="17">PKB!#REF!</definedName>
    <definedName name="外部資料_634" localSheetId="4">公司債!#REF!</definedName>
    <definedName name="外部資料_634" localSheetId="14">評比系統!$T$1:$T$3</definedName>
    <definedName name="外部資料_635" localSheetId="16">PKA!#REF!</definedName>
    <definedName name="外部資料_635" localSheetId="17">PKB!#REF!</definedName>
    <definedName name="外部資料_635" localSheetId="4">公司債!#REF!</definedName>
    <definedName name="外部資料_635" localSheetId="14">評比系統!$T$1:$T$3</definedName>
    <definedName name="外部資料_636" localSheetId="16">PKA!#REF!</definedName>
    <definedName name="外部資料_636" localSheetId="17">PKB!#REF!</definedName>
    <definedName name="外部資料_636" localSheetId="4">公司債!#REF!</definedName>
    <definedName name="外部資料_636" localSheetId="14">評比系統!$T$1:$T$3</definedName>
    <definedName name="外部資料_637" localSheetId="16">PKA!#REF!</definedName>
    <definedName name="外部資料_637" localSheetId="17">PKB!#REF!</definedName>
    <definedName name="外部資料_637" localSheetId="4">公司債!#REF!</definedName>
    <definedName name="外部資料_637" localSheetId="14">評比系統!$T$1:$T$3</definedName>
    <definedName name="外部資料_638" localSheetId="16">PKA!#REF!</definedName>
    <definedName name="外部資料_638" localSheetId="17">PKB!#REF!</definedName>
    <definedName name="外部資料_638" localSheetId="4">公司債!#REF!</definedName>
    <definedName name="外部資料_638" localSheetId="14">評比系統!$T$1:$T$3</definedName>
    <definedName name="外部資料_639" localSheetId="16">PKA!#REF!</definedName>
    <definedName name="外部資料_639" localSheetId="17">PKB!#REF!</definedName>
    <definedName name="外部資料_639" localSheetId="4">公司債!#REF!</definedName>
    <definedName name="外部資料_639" localSheetId="14">評比系統!$T$1:$T$3</definedName>
    <definedName name="外部資料_64" localSheetId="16">PKA!#REF!</definedName>
    <definedName name="外部資料_64" localSheetId="17">PKB!#REF!</definedName>
    <definedName name="外部資料_64" localSheetId="18">PKC!#REF!</definedName>
    <definedName name="外部資料_64" localSheetId="9">PSR!#REF!</definedName>
    <definedName name="外部資料_64" localSheetId="4">公司債!#REF!</definedName>
    <definedName name="外部資料_64" localSheetId="14">評比系統!$T$1:$T$3</definedName>
    <definedName name="外部資料_64" localSheetId="7">營收搶先報!#REF!</definedName>
    <definedName name="外部資料_640" localSheetId="16">PKA!#REF!</definedName>
    <definedName name="外部資料_640" localSheetId="17">PKB!#REF!</definedName>
    <definedName name="外部資料_640" localSheetId="4">公司債!#REF!</definedName>
    <definedName name="外部資料_640" localSheetId="14">評比系統!$T$1:$T$3</definedName>
    <definedName name="外部資料_641" localSheetId="16">PKA!#REF!</definedName>
    <definedName name="外部資料_641" localSheetId="17">PKB!#REF!</definedName>
    <definedName name="外部資料_641" localSheetId="4">公司債!#REF!</definedName>
    <definedName name="外部資料_641" localSheetId="14">評比系統!$T$1:$T$3</definedName>
    <definedName name="外部資料_642" localSheetId="16">PKA!#REF!</definedName>
    <definedName name="外部資料_642" localSheetId="17">PKB!#REF!</definedName>
    <definedName name="外部資料_642" localSheetId="4">公司債!#REF!</definedName>
    <definedName name="外部資料_642" localSheetId="14">評比系統!$T$1:$T$3</definedName>
    <definedName name="外部資料_643" localSheetId="16">PKA!#REF!</definedName>
    <definedName name="外部資料_643" localSheetId="17">PKB!#REF!</definedName>
    <definedName name="外部資料_643" localSheetId="4">公司債!#REF!</definedName>
    <definedName name="外部資料_643" localSheetId="14">評比系統!$T$1:$T$3</definedName>
    <definedName name="外部資料_644" localSheetId="16">PKA!#REF!</definedName>
    <definedName name="外部資料_644" localSheetId="17">PKB!#REF!</definedName>
    <definedName name="外部資料_644" localSheetId="4">公司債!#REF!</definedName>
    <definedName name="外部資料_644" localSheetId="14">評比系統!$T$1:$T$3</definedName>
    <definedName name="外部資料_645" localSheetId="16">PKA!#REF!</definedName>
    <definedName name="外部資料_645" localSheetId="17">PKB!#REF!</definedName>
    <definedName name="外部資料_645" localSheetId="4">公司債!#REF!</definedName>
    <definedName name="外部資料_645" localSheetId="14">評比系統!$T$1:$T$3</definedName>
    <definedName name="外部資料_646" localSheetId="16">PKA!#REF!</definedName>
    <definedName name="外部資料_646" localSheetId="17">PKB!#REF!</definedName>
    <definedName name="外部資料_646" localSheetId="14">評比系統!$T$1:$T$3</definedName>
    <definedName name="外部資料_647" localSheetId="16">PKA!#REF!</definedName>
    <definedName name="外部資料_647" localSheetId="17">PKB!#REF!</definedName>
    <definedName name="外部資料_647" localSheetId="4">公司債!#REF!</definedName>
    <definedName name="外部資料_647" localSheetId="14">評比系統!$T$1:$T$3</definedName>
    <definedName name="外部資料_648" localSheetId="16">PKA!#REF!</definedName>
    <definedName name="外部資料_648" localSheetId="17">PKB!#REF!</definedName>
    <definedName name="外部資料_648" localSheetId="4">公司債!#REF!</definedName>
    <definedName name="外部資料_648" localSheetId="14">評比系統!$T$1:$T$3</definedName>
    <definedName name="外部資料_649" localSheetId="16">PKA!#REF!</definedName>
    <definedName name="外部資料_649" localSheetId="17">PKB!#REF!</definedName>
    <definedName name="外部資料_649" localSheetId="4">公司債!#REF!</definedName>
    <definedName name="外部資料_649" localSheetId="14">評比系統!$T$1:$T$3</definedName>
    <definedName name="外部資料_65" localSheetId="16">PKA!#REF!</definedName>
    <definedName name="外部資料_65" localSheetId="17">PKB!#REF!</definedName>
    <definedName name="外部資料_65" localSheetId="18">PKC!#REF!</definedName>
    <definedName name="外部資料_65" localSheetId="9">PSR!#REF!</definedName>
    <definedName name="外部資料_65" localSheetId="4">公司債!#REF!</definedName>
    <definedName name="外部資料_65" localSheetId="14">評比系統!$T$1:$T$3</definedName>
    <definedName name="外部資料_65" localSheetId="7">營收搶先報!#REF!</definedName>
    <definedName name="外部資料_650" localSheetId="16">PKA!#REF!</definedName>
    <definedName name="外部資料_650" localSheetId="17">PKB!#REF!</definedName>
    <definedName name="外部資料_650" localSheetId="4">公司債!#REF!</definedName>
    <definedName name="外部資料_650" localSheetId="14">評比系統!$T$1:$T$3</definedName>
    <definedName name="外部資料_651" localSheetId="16">PKA!#REF!</definedName>
    <definedName name="外部資料_651" localSheetId="17">PKB!#REF!</definedName>
    <definedName name="外部資料_651" localSheetId="4">公司債!#REF!</definedName>
    <definedName name="外部資料_651" localSheetId="14">評比系統!$T$1:$T$3</definedName>
    <definedName name="外部資料_652" localSheetId="16">PKA!#REF!</definedName>
    <definedName name="外部資料_652" localSheetId="17">PKB!#REF!</definedName>
    <definedName name="外部資料_652" localSheetId="4">公司債!#REF!</definedName>
    <definedName name="外部資料_652" localSheetId="14">評比系統!$T$1:$T$3</definedName>
    <definedName name="外部資料_653" localSheetId="16">PKA!#REF!</definedName>
    <definedName name="外部資料_653" localSheetId="17">PKB!#REF!</definedName>
    <definedName name="外部資料_653" localSheetId="4">公司債!#REF!</definedName>
    <definedName name="外部資料_653" localSheetId="14">評比系統!$T$1:$T$3</definedName>
    <definedName name="外部資料_654" localSheetId="16">PKA!#REF!</definedName>
    <definedName name="外部資料_654" localSheetId="17">PKB!#REF!</definedName>
    <definedName name="外部資料_654" localSheetId="4">公司債!#REF!</definedName>
    <definedName name="外部資料_654" localSheetId="14">評比系統!$T$1:$T$3</definedName>
    <definedName name="外部資料_655" localSheetId="16">PKA!#REF!</definedName>
    <definedName name="外部資料_655" localSheetId="17">PKB!#REF!</definedName>
    <definedName name="外部資料_655" localSheetId="4">公司債!#REF!</definedName>
    <definedName name="外部資料_655" localSheetId="14">評比系統!$T$1:$T$3</definedName>
    <definedName name="外部資料_656" localSheetId="16">PKA!#REF!</definedName>
    <definedName name="外部資料_656" localSheetId="17">PKB!#REF!</definedName>
    <definedName name="外部資料_656" localSheetId="4">公司債!#REF!</definedName>
    <definedName name="外部資料_656" localSheetId="14">評比系統!$T$1:$T$3</definedName>
    <definedName name="外部資料_657" localSheetId="16">PKA!#REF!</definedName>
    <definedName name="外部資料_657" localSheetId="17">PKB!#REF!</definedName>
    <definedName name="外部資料_657" localSheetId="4">公司債!#REF!</definedName>
    <definedName name="外部資料_657" localSheetId="14">評比系統!$T$1:$T$3</definedName>
    <definedName name="外部資料_658" localSheetId="16">PKA!#REF!</definedName>
    <definedName name="外部資料_658" localSheetId="17">PKB!#REF!</definedName>
    <definedName name="外部資料_658" localSheetId="4">公司債!#REF!</definedName>
    <definedName name="外部資料_658" localSheetId="14">評比系統!$T$1:$T$3</definedName>
    <definedName name="外部資料_659" localSheetId="16">PKA!#REF!</definedName>
    <definedName name="外部資料_659" localSheetId="17">PKB!#REF!</definedName>
    <definedName name="外部資料_659" localSheetId="4">公司債!#REF!</definedName>
    <definedName name="外部資料_659" localSheetId="14">評比系統!$T$1:$T$3</definedName>
    <definedName name="外部資料_66" localSheetId="16">PKA!#REF!</definedName>
    <definedName name="外部資料_66" localSheetId="17">PKB!#REF!</definedName>
    <definedName name="外部資料_66" localSheetId="18">PKC!#REF!</definedName>
    <definedName name="外部資料_66" localSheetId="9">PSR!#REF!</definedName>
    <definedName name="外部資料_66" localSheetId="4">公司債!#REF!</definedName>
    <definedName name="外部資料_66" localSheetId="14">評比系統!$T$1:$T$3</definedName>
    <definedName name="外部資料_66" localSheetId="7">營收搶先報!#REF!</definedName>
    <definedName name="外部資料_660" localSheetId="16">PKA!#REF!</definedName>
    <definedName name="外部資料_660" localSheetId="17">PKB!#REF!</definedName>
    <definedName name="外部資料_660" localSheetId="4">公司債!#REF!</definedName>
    <definedName name="外部資料_660" localSheetId="14">評比系統!$T$1:$T$3</definedName>
    <definedName name="外部資料_661" localSheetId="16">PKA!#REF!</definedName>
    <definedName name="外部資料_661" localSheetId="17">PKB!#REF!</definedName>
    <definedName name="外部資料_661" localSheetId="4">公司債!#REF!</definedName>
    <definedName name="外部資料_661" localSheetId="14">評比系統!$T$1:$T$3</definedName>
    <definedName name="外部資料_662" localSheetId="16">PKA!#REF!</definedName>
    <definedName name="外部資料_662" localSheetId="17">PKB!#REF!</definedName>
    <definedName name="外部資料_662" localSheetId="4">公司債!#REF!</definedName>
    <definedName name="外部資料_662" localSheetId="14">評比系統!$T$1:$T$3</definedName>
    <definedName name="外部資料_663" localSheetId="16">PKA!#REF!</definedName>
    <definedName name="外部資料_663" localSheetId="17">PKB!#REF!</definedName>
    <definedName name="外部資料_663" localSheetId="4">公司債!#REF!</definedName>
    <definedName name="外部資料_663" localSheetId="14">評比系統!$T$1:$T$3</definedName>
    <definedName name="外部資料_664" localSheetId="16">PKA!#REF!</definedName>
    <definedName name="外部資料_664" localSheetId="17">PKB!#REF!</definedName>
    <definedName name="外部資料_664" localSheetId="4">公司債!#REF!</definedName>
    <definedName name="外部資料_664" localSheetId="14">評比系統!$T$1:$T$3</definedName>
    <definedName name="外部資料_665" localSheetId="16">PKA!#REF!</definedName>
    <definedName name="外部資料_665" localSheetId="17">PKB!#REF!</definedName>
    <definedName name="外部資料_665" localSheetId="4">公司債!#REF!</definedName>
    <definedName name="外部資料_665" localSheetId="14">評比系統!$T$1:$T$3</definedName>
    <definedName name="外部資料_666" localSheetId="16">PKA!#REF!</definedName>
    <definedName name="外部資料_666" localSheetId="17">PKB!#REF!</definedName>
    <definedName name="外部資料_666" localSheetId="4">公司債!#REF!</definedName>
    <definedName name="外部資料_666" localSheetId="14">評比系統!$T$1:$T$3</definedName>
    <definedName name="外部資料_667" localSheetId="16">PKA!#REF!</definedName>
    <definedName name="外部資料_667" localSheetId="17">PKB!#REF!</definedName>
    <definedName name="外部資料_667" localSheetId="4">公司債!#REF!</definedName>
    <definedName name="外部資料_667" localSheetId="14">評比系統!$T$1:$T$3</definedName>
    <definedName name="外部資料_668" localSheetId="16">PKA!#REF!</definedName>
    <definedName name="外部資料_668" localSheetId="17">PKB!#REF!</definedName>
    <definedName name="外部資料_668" localSheetId="4">公司債!#REF!</definedName>
    <definedName name="外部資料_668" localSheetId="14">評比系統!$T$1:$T$3</definedName>
    <definedName name="外部資料_669" localSheetId="16">PKA!#REF!</definedName>
    <definedName name="外部資料_669" localSheetId="17">PKB!#REF!</definedName>
    <definedName name="外部資料_669" localSheetId="4">公司債!#REF!</definedName>
    <definedName name="外部資料_669" localSheetId="14">評比系統!$T$1:$T$3</definedName>
    <definedName name="外部資料_67" localSheetId="16">PKA!#REF!</definedName>
    <definedName name="外部資料_67" localSheetId="17">PKB!#REF!</definedName>
    <definedName name="外部資料_67" localSheetId="18">PKC!#REF!</definedName>
    <definedName name="外部資料_67" localSheetId="9">PSR!#REF!</definedName>
    <definedName name="外部資料_67" localSheetId="4">公司債!#REF!</definedName>
    <definedName name="外部資料_67" localSheetId="14">評比系統!$T$1:$T$3</definedName>
    <definedName name="外部資料_67" localSheetId="7">營收搶先報!#REF!</definedName>
    <definedName name="外部資料_670" localSheetId="16">PKA!#REF!</definedName>
    <definedName name="外部資料_670" localSheetId="17">PKB!#REF!</definedName>
    <definedName name="外部資料_670" localSheetId="4">公司債!#REF!</definedName>
    <definedName name="外部資料_670" localSheetId="14">評比系統!$T$1:$T$3</definedName>
    <definedName name="外部資料_671" localSheetId="16">PKA!#REF!</definedName>
    <definedName name="外部資料_671" localSheetId="17">PKB!#REF!</definedName>
    <definedName name="外部資料_671" localSheetId="4">公司債!#REF!</definedName>
    <definedName name="外部資料_671" localSheetId="14">評比系統!$T$1:$T$3</definedName>
    <definedName name="外部資料_671" localSheetId="5">篩股系統!#REF!</definedName>
    <definedName name="外部資料_672" localSheetId="16">PKA!#REF!</definedName>
    <definedName name="外部資料_672" localSheetId="17">PKB!#REF!</definedName>
    <definedName name="外部資料_672" localSheetId="4">公司債!#REF!</definedName>
    <definedName name="外部資料_672" localSheetId="14">評比系統!$T$1:$T$3</definedName>
    <definedName name="外部資料_673" localSheetId="16">PKA!#REF!</definedName>
    <definedName name="外部資料_673" localSheetId="17">PKB!#REF!</definedName>
    <definedName name="外部資料_673" localSheetId="4">公司債!#REF!</definedName>
    <definedName name="外部資料_673" localSheetId="14">評比系統!$T$1:$T$3</definedName>
    <definedName name="外部資料_674" localSheetId="16">PKA!#REF!</definedName>
    <definedName name="外部資料_674" localSheetId="17">PKB!#REF!</definedName>
    <definedName name="外部資料_674" localSheetId="4">公司債!#REF!</definedName>
    <definedName name="外部資料_674" localSheetId="14">評比系統!$T$1:$T$3</definedName>
    <definedName name="外部資料_675" localSheetId="16">PKA!#REF!</definedName>
    <definedName name="外部資料_675" localSheetId="17">PKB!#REF!</definedName>
    <definedName name="外部資料_675" localSheetId="4">公司債!#REF!</definedName>
    <definedName name="外部資料_675" localSheetId="14">評比系統!$T$1:$T$3</definedName>
    <definedName name="外部資料_676" localSheetId="16">PKA!#REF!</definedName>
    <definedName name="外部資料_676" localSheetId="17">PKB!#REF!</definedName>
    <definedName name="外部資料_676" localSheetId="14">評比系統!$T$1:$T$3</definedName>
    <definedName name="外部資料_677" localSheetId="16">PKA!#REF!</definedName>
    <definedName name="外部資料_677" localSheetId="17">PKB!#REF!</definedName>
    <definedName name="外部資料_677" localSheetId="14">評比系統!$T$1:$T$3</definedName>
    <definedName name="外部資料_678" localSheetId="16">PKA!#REF!</definedName>
    <definedName name="外部資料_678" localSheetId="17">PKB!#REF!</definedName>
    <definedName name="外部資料_678" localSheetId="14">評比系統!$T$1:$T$3</definedName>
    <definedName name="外部資料_679" localSheetId="16">PKA!#REF!</definedName>
    <definedName name="外部資料_679" localSheetId="17">PKB!#REF!</definedName>
    <definedName name="外部資料_679" localSheetId="14">評比系統!$T$1:$T$3</definedName>
    <definedName name="外部資料_68" localSheetId="16">PKA!#REF!</definedName>
    <definedName name="外部資料_68" localSheetId="17">PKB!#REF!</definedName>
    <definedName name="外部資料_68" localSheetId="18">PKC!#REF!</definedName>
    <definedName name="外部資料_68" localSheetId="9">PSR!#REF!</definedName>
    <definedName name="外部資料_68" localSheetId="4">公司債!#REF!</definedName>
    <definedName name="外部資料_68" localSheetId="14">評比系統!$T$1:$T$3</definedName>
    <definedName name="外部資料_68" localSheetId="7">營收搶先報!#REF!</definedName>
    <definedName name="外部資料_680" localSheetId="16">PKA!#REF!</definedName>
    <definedName name="外部資料_680" localSheetId="17">PKB!#REF!</definedName>
    <definedName name="外部資料_680" localSheetId="14">評比系統!$T$1:$T$3</definedName>
    <definedName name="外部資料_681" localSheetId="16">PKA!#REF!</definedName>
    <definedName name="外部資料_681" localSheetId="17">PKB!#REF!</definedName>
    <definedName name="外部資料_681" localSheetId="14">評比系統!$T$1:$T$3</definedName>
    <definedName name="外部資料_682" localSheetId="16">PKA!#REF!</definedName>
    <definedName name="外部資料_682" localSheetId="17">PKB!#REF!</definedName>
    <definedName name="外部資料_682" localSheetId="14">評比系統!$T$1:$T$3</definedName>
    <definedName name="外部資料_683" localSheetId="16">PKA!#REF!</definedName>
    <definedName name="外部資料_683" localSheetId="17">PKB!#REF!</definedName>
    <definedName name="外部資料_683" localSheetId="14">評比系統!$T$1:$T$3</definedName>
    <definedName name="外部資料_684" localSheetId="16">PKA!#REF!</definedName>
    <definedName name="外部資料_684" localSheetId="17">PKB!#REF!</definedName>
    <definedName name="外部資料_684" localSheetId="14">評比系統!$T$1:$T$3</definedName>
    <definedName name="外部資料_685" localSheetId="16">PKA!#REF!</definedName>
    <definedName name="外部資料_685" localSheetId="17">PKB!#REF!</definedName>
    <definedName name="外部資料_685" localSheetId="14">評比系統!$T$1:$T$3</definedName>
    <definedName name="外部資料_686" localSheetId="16">PKA!#REF!</definedName>
    <definedName name="外部資料_686" localSheetId="17">PKB!#REF!</definedName>
    <definedName name="外部資料_686" localSheetId="14">評比系統!$T$1:$T$3</definedName>
    <definedName name="外部資料_687" localSheetId="16">PKA!#REF!</definedName>
    <definedName name="外部資料_687" localSheetId="17">PKB!#REF!</definedName>
    <definedName name="外部資料_687" localSheetId="14">評比系統!$T$1:$T$3</definedName>
    <definedName name="外部資料_688" localSheetId="16">PKA!#REF!</definedName>
    <definedName name="外部資料_688" localSheetId="17">PKB!#REF!</definedName>
    <definedName name="外部資料_688" localSheetId="14">評比系統!$T$1:$T$3</definedName>
    <definedName name="外部資料_689" localSheetId="16">PKA!#REF!</definedName>
    <definedName name="外部資料_689" localSheetId="17">PKB!#REF!</definedName>
    <definedName name="外部資料_689" localSheetId="14">評比系統!$T$1:$T$3</definedName>
    <definedName name="外部資料_69" localSheetId="16">PKA!#REF!</definedName>
    <definedName name="外部資料_69" localSheetId="17">PKB!#REF!</definedName>
    <definedName name="外部資料_69" localSheetId="18">PKC!#REF!</definedName>
    <definedName name="外部資料_69" localSheetId="9">PSR!#REF!</definedName>
    <definedName name="外部資料_69" localSheetId="4">公司債!#REF!</definedName>
    <definedName name="外部資料_69" localSheetId="14">評比系統!$T$1:$T$3</definedName>
    <definedName name="外部資料_69" localSheetId="7">營收搶先報!#REF!</definedName>
    <definedName name="外部資料_690" localSheetId="16">PKA!#REF!</definedName>
    <definedName name="外部資料_690" localSheetId="17">PKB!#REF!</definedName>
    <definedName name="外部資料_690" localSheetId="14">評比系統!$T$1:$T$3</definedName>
    <definedName name="外部資料_691" localSheetId="16">PKA!#REF!</definedName>
    <definedName name="外部資料_691" localSheetId="17">PKB!#REF!</definedName>
    <definedName name="外部資料_691" localSheetId="14">評比系統!$T$1:$T$3</definedName>
    <definedName name="外部資料_692" localSheetId="16">PKA!#REF!</definedName>
    <definedName name="外部資料_692" localSheetId="17">PKB!#REF!</definedName>
    <definedName name="外部資料_692" localSheetId="14">評比系統!$T$1:$T$3</definedName>
    <definedName name="外部資料_693" localSheetId="16">PKA!#REF!</definedName>
    <definedName name="外部資料_693" localSheetId="17">PKB!#REF!</definedName>
    <definedName name="外部資料_693" localSheetId="14">評比系統!$T$1:$T$3</definedName>
    <definedName name="外部資料_694" localSheetId="16">PKA!#REF!</definedName>
    <definedName name="外部資料_694" localSheetId="17">PKB!#REF!</definedName>
    <definedName name="外部資料_694" localSheetId="14">評比系統!$T$1:$T$3</definedName>
    <definedName name="外部資料_695" localSheetId="16">PKA!#REF!</definedName>
    <definedName name="外部資料_695" localSheetId="17">PKB!#REF!</definedName>
    <definedName name="外部資料_695" localSheetId="14">評比系統!$T$1:$T$3</definedName>
    <definedName name="外部資料_696" localSheetId="16">PKA!#REF!</definedName>
    <definedName name="外部資料_696" localSheetId="17">PKB!#REF!</definedName>
    <definedName name="外部資料_696" localSheetId="14">評比系統!$T$1:$T$3</definedName>
    <definedName name="外部資料_697" localSheetId="16">PKA!#REF!</definedName>
    <definedName name="外部資料_697" localSheetId="17">PKB!#REF!</definedName>
    <definedName name="外部資料_697" localSheetId="14">評比系統!$T$1:$T$3</definedName>
    <definedName name="外部資料_698" localSheetId="16">PKA!#REF!</definedName>
    <definedName name="外部資料_698" localSheetId="17">PKB!#REF!</definedName>
    <definedName name="外部資料_698" localSheetId="14">評比系統!$T$1:$T$3</definedName>
    <definedName name="外部資料_699" localSheetId="16">PKA!#REF!</definedName>
    <definedName name="外部資料_699" localSheetId="17">PKB!#REF!</definedName>
    <definedName name="外部資料_699" localSheetId="14">評比系統!$T$1:$T$3</definedName>
    <definedName name="外部資料_7" localSheetId="16">PKA!#REF!</definedName>
    <definedName name="外部資料_7" localSheetId="17">PKB!#REF!</definedName>
    <definedName name="外部資料_7" localSheetId="18">PKC!#REF!</definedName>
    <definedName name="外部資料_7" localSheetId="9">PSR!#REF!</definedName>
    <definedName name="外部資料_7" localSheetId="4">公司債!#REF!</definedName>
    <definedName name="外部資料_7" localSheetId="1">紅綠燈!#REF!</definedName>
    <definedName name="外部資料_7" localSheetId="14">評比系統!#REF!</definedName>
    <definedName name="外部資料_7" localSheetId="5">篩股系統!#REF!</definedName>
    <definedName name="外部資料_7" localSheetId="7">營收搶先報!#REF!</definedName>
    <definedName name="外部資料_70" localSheetId="16">PKA!#REF!</definedName>
    <definedName name="外部資料_70" localSheetId="17">PKB!#REF!</definedName>
    <definedName name="外部資料_70" localSheetId="18">PKC!#REF!</definedName>
    <definedName name="外部資料_70" localSheetId="9">PSR!#REF!</definedName>
    <definedName name="外部資料_70" localSheetId="4">公司債!#REF!</definedName>
    <definedName name="外部資料_70" localSheetId="14">評比系統!$T$1:$T$3</definedName>
    <definedName name="外部資料_70" localSheetId="7">營收搶先報!#REF!</definedName>
    <definedName name="外部資料_700" localSheetId="16">PKA!#REF!</definedName>
    <definedName name="外部資料_700" localSheetId="17">PKB!#REF!</definedName>
    <definedName name="外部資料_700" localSheetId="14">評比系統!$T$1:$T$3</definedName>
    <definedName name="外部資料_701" localSheetId="16">PKA!#REF!</definedName>
    <definedName name="外部資料_701" localSheetId="17">PKB!#REF!</definedName>
    <definedName name="外部資料_701" localSheetId="14">評比系統!$T$1:$T$3</definedName>
    <definedName name="外部資料_702" localSheetId="16">PKA!#REF!</definedName>
    <definedName name="外部資料_702" localSheetId="17">PKB!#REF!</definedName>
    <definedName name="外部資料_702" localSheetId="14">評比系統!$T$1:$T$3</definedName>
    <definedName name="外部資料_703" localSheetId="16">PKA!#REF!</definedName>
    <definedName name="外部資料_703" localSheetId="17">PKB!#REF!</definedName>
    <definedName name="外部資料_703" localSheetId="14">評比系統!$T$1:$T$3</definedName>
    <definedName name="外部資料_704" localSheetId="16">PKA!#REF!</definedName>
    <definedName name="外部資料_704" localSheetId="17">PKB!#REF!</definedName>
    <definedName name="外部資料_704" localSheetId="14">評比系統!$T$1:$T$3</definedName>
    <definedName name="外部資料_705" localSheetId="16">PKA!#REF!</definedName>
    <definedName name="外部資料_705" localSheetId="17">PKB!#REF!</definedName>
    <definedName name="外部資料_705" localSheetId="14">評比系統!$T$1:$T$3</definedName>
    <definedName name="外部資料_706" localSheetId="16">PKA!#REF!</definedName>
    <definedName name="外部資料_706" localSheetId="17">PKB!#REF!</definedName>
    <definedName name="外部資料_706" localSheetId="14">評比系統!$T$1:$T$3</definedName>
    <definedName name="外部資料_707" localSheetId="16">PKA!#REF!</definedName>
    <definedName name="外部資料_707" localSheetId="17">PKB!#REF!</definedName>
    <definedName name="外部資料_707" localSheetId="14">評比系統!$T$1:$T$3</definedName>
    <definedName name="外部資料_708" localSheetId="16">PKA!#REF!</definedName>
    <definedName name="外部資料_708" localSheetId="17">PKB!#REF!</definedName>
    <definedName name="外部資料_708" localSheetId="14">評比系統!$T$1:$T$3</definedName>
    <definedName name="外部資料_709" localSheetId="16">PKA!#REF!</definedName>
    <definedName name="外部資料_709" localSheetId="17">PKB!#REF!</definedName>
    <definedName name="外部資料_709" localSheetId="14">評比系統!$T$1:$T$3</definedName>
    <definedName name="外部資料_71" localSheetId="16">PKA!#REF!</definedName>
    <definedName name="外部資料_71" localSheetId="17">PKB!#REF!</definedName>
    <definedName name="外部資料_71" localSheetId="18">PKC!#REF!</definedName>
    <definedName name="外部資料_71" localSheetId="9">PSR!#REF!</definedName>
    <definedName name="外部資料_71" localSheetId="4">公司債!#REF!</definedName>
    <definedName name="外部資料_71" localSheetId="14">評比系統!$T$1:$T$3</definedName>
    <definedName name="外部資料_71" localSheetId="7">營收搶先報!#REF!</definedName>
    <definedName name="外部資料_710" localSheetId="16">PKA!#REF!</definedName>
    <definedName name="外部資料_710" localSheetId="17">PKB!#REF!</definedName>
    <definedName name="外部資料_710" localSheetId="14">評比系統!$T$1:$T$3</definedName>
    <definedName name="外部資料_711" localSheetId="16">PKA!#REF!</definedName>
    <definedName name="外部資料_711" localSheetId="17">PKB!#REF!</definedName>
    <definedName name="外部資料_711" localSheetId="14">評比系統!$T$1:$T$3</definedName>
    <definedName name="外部資料_712" localSheetId="16">PKA!#REF!</definedName>
    <definedName name="外部資料_712" localSheetId="17">PKB!#REF!</definedName>
    <definedName name="外部資料_712" localSheetId="14">評比系統!$T$1:$T$3</definedName>
    <definedName name="外部資料_713" localSheetId="16">PKA!#REF!</definedName>
    <definedName name="外部資料_713" localSheetId="17">PKB!#REF!</definedName>
    <definedName name="外部資料_713" localSheetId="14">評比系統!$T$1:$T$3</definedName>
    <definedName name="外部資料_714" localSheetId="16">PKA!#REF!</definedName>
    <definedName name="外部資料_714" localSheetId="17">PKB!#REF!</definedName>
    <definedName name="外部資料_714" localSheetId="14">評比系統!$T$1:$T$3</definedName>
    <definedName name="外部資料_715" localSheetId="16">PKA!#REF!</definedName>
    <definedName name="外部資料_715" localSheetId="17">PKB!#REF!</definedName>
    <definedName name="外部資料_715" localSheetId="14">評比系統!$T$1:$T$3</definedName>
    <definedName name="外部資料_716" localSheetId="16">PKA!#REF!</definedName>
    <definedName name="外部資料_716" localSheetId="17">PKB!#REF!</definedName>
    <definedName name="外部資料_716" localSheetId="14">評比系統!$T$1:$T$3</definedName>
    <definedName name="外部資料_717" localSheetId="16">PKA!#REF!</definedName>
    <definedName name="外部資料_717" localSheetId="17">PKB!#REF!</definedName>
    <definedName name="外部資料_717" localSheetId="14">評比系統!$T$1:$T$3</definedName>
    <definedName name="外部資料_718" localSheetId="16">PKA!#REF!</definedName>
    <definedName name="外部資料_718" localSheetId="17">PKB!#REF!</definedName>
    <definedName name="外部資料_718" localSheetId="14">評比系統!$T$1:$T$3</definedName>
    <definedName name="外部資料_719" localSheetId="16">PKA!#REF!</definedName>
    <definedName name="外部資料_719" localSheetId="17">PKB!#REF!</definedName>
    <definedName name="外部資料_719" localSheetId="14">評比系統!$T$1:$T$3</definedName>
    <definedName name="外部資料_72" localSheetId="16">PKA!#REF!</definedName>
    <definedName name="外部資料_72" localSheetId="17">PKB!#REF!</definedName>
    <definedName name="外部資料_72" localSheetId="18">PKC!#REF!</definedName>
    <definedName name="外部資料_72" localSheetId="9">PSR!#REF!</definedName>
    <definedName name="外部資料_72" localSheetId="14">評比系統!$T$1:$T$3</definedName>
    <definedName name="外部資料_72" localSheetId="7">營收搶先報!#REF!</definedName>
    <definedName name="外部資料_720" localSheetId="16">PKA!#REF!</definedName>
    <definedName name="外部資料_720" localSheetId="17">PKB!#REF!</definedName>
    <definedName name="外部資料_720" localSheetId="14">評比系統!$T$1:$T$3</definedName>
    <definedName name="外部資料_721" localSheetId="16">PKA!#REF!</definedName>
    <definedName name="外部資料_721" localSheetId="17">PKB!#REF!</definedName>
    <definedName name="外部資料_721" localSheetId="14">評比系統!$T$1:$T$3</definedName>
    <definedName name="外部資料_722" localSheetId="16">PKA!#REF!</definedName>
    <definedName name="外部資料_722" localSheetId="17">PKB!#REF!</definedName>
    <definedName name="外部資料_722" localSheetId="14">評比系統!$T$1:$T$3</definedName>
    <definedName name="外部資料_723" localSheetId="16">PKA!#REF!</definedName>
    <definedName name="外部資料_723" localSheetId="17">PKB!#REF!</definedName>
    <definedName name="外部資料_723" localSheetId="14">評比系統!$T$1:$T$3</definedName>
    <definedName name="外部資料_724" localSheetId="16">PKA!#REF!</definedName>
    <definedName name="外部資料_724" localSheetId="17">PKB!#REF!</definedName>
    <definedName name="外部資料_724" localSheetId="14">評比系統!$T$1:$T$3</definedName>
    <definedName name="外部資料_725" localSheetId="16">PKA!#REF!</definedName>
    <definedName name="外部資料_725" localSheetId="17">PKB!#REF!</definedName>
    <definedName name="外部資料_725" localSheetId="14">評比系統!$T$1:$T$3</definedName>
    <definedName name="外部資料_726" localSheetId="16">PKA!#REF!</definedName>
    <definedName name="外部資料_726" localSheetId="17">PKB!#REF!</definedName>
    <definedName name="外部資料_726" localSheetId="14">評比系統!$T$1:$T$3</definedName>
    <definedName name="外部資料_727" localSheetId="16">PKA!#REF!</definedName>
    <definedName name="外部資料_727" localSheetId="17">PKB!#REF!</definedName>
    <definedName name="外部資料_727" localSheetId="14">評比系統!$T$1:$T$3</definedName>
    <definedName name="外部資料_728" localSheetId="16">PKA!#REF!</definedName>
    <definedName name="外部資料_728" localSheetId="17">PKB!#REF!</definedName>
    <definedName name="外部資料_728" localSheetId="14">評比系統!$T$1:$T$3</definedName>
    <definedName name="外部資料_729" localSheetId="16">PKA!#REF!</definedName>
    <definedName name="外部資料_729" localSheetId="17">PKB!#REF!</definedName>
    <definedName name="外部資料_729" localSheetId="14">評比系統!$T$1:$T$3</definedName>
    <definedName name="外部資料_73" localSheetId="16">PKA!#REF!</definedName>
    <definedName name="外部資料_73" localSheetId="17">PKB!#REF!</definedName>
    <definedName name="外部資料_73" localSheetId="18">PKC!#REF!</definedName>
    <definedName name="外部資料_73" localSheetId="9">PSR!#REF!</definedName>
    <definedName name="外部資料_73" localSheetId="4">公司債!#REF!</definedName>
    <definedName name="外部資料_73" localSheetId="14">評比系統!$T$1:$T$3</definedName>
    <definedName name="外部資料_73" localSheetId="7">營收搶先報!#REF!</definedName>
    <definedName name="外部資料_730" localSheetId="16">PKA!#REF!</definedName>
    <definedName name="外部資料_730" localSheetId="17">PKB!#REF!</definedName>
    <definedName name="外部資料_730" localSheetId="14">評比系統!$T$1:$T$3</definedName>
    <definedName name="外部資料_731" localSheetId="16">PKA!#REF!</definedName>
    <definedName name="外部資料_731" localSheetId="17">PKB!#REF!</definedName>
    <definedName name="外部資料_731" localSheetId="14">評比系統!$T$1:$T$3</definedName>
    <definedName name="外部資料_732" localSheetId="16">PKA!#REF!</definedName>
    <definedName name="外部資料_732" localSheetId="17">PKB!#REF!</definedName>
    <definedName name="外部資料_732" localSheetId="14">評比系統!$T$1:$T$3</definedName>
    <definedName name="外部資料_733" localSheetId="16">PKA!#REF!</definedName>
    <definedName name="外部資料_733" localSheetId="17">PKB!#REF!</definedName>
    <definedName name="外部資料_733" localSheetId="14">評比系統!$T$1:$T$3</definedName>
    <definedName name="外部資料_734" localSheetId="16">PKA!#REF!</definedName>
    <definedName name="外部資料_734" localSheetId="17">PKB!#REF!</definedName>
    <definedName name="外部資料_734" localSheetId="14">評比系統!$T$1:$T$3</definedName>
    <definedName name="外部資料_735" localSheetId="16">PKA!#REF!</definedName>
    <definedName name="外部資料_735" localSheetId="17">PKB!#REF!</definedName>
    <definedName name="外部資料_735" localSheetId="14">評比系統!$T$1:$T$3</definedName>
    <definedName name="外部資料_736" localSheetId="16">PKA!#REF!</definedName>
    <definedName name="外部資料_736" localSheetId="17">PKB!#REF!</definedName>
    <definedName name="外部資料_736" localSheetId="14">評比系統!$T$1:$T$3</definedName>
    <definedName name="外部資料_737" localSheetId="16">PKA!#REF!</definedName>
    <definedName name="外部資料_737" localSheetId="17">PKB!#REF!</definedName>
    <definedName name="外部資料_737" localSheetId="14">評比系統!$T$1:$T$3</definedName>
    <definedName name="外部資料_738" localSheetId="16">PKA!#REF!</definedName>
    <definedName name="外部資料_738" localSheetId="17">PKB!#REF!</definedName>
    <definedName name="外部資料_738" localSheetId="14">評比系統!$T$1:$T$3</definedName>
    <definedName name="外部資料_739" localSheetId="16">PKA!#REF!</definedName>
    <definedName name="外部資料_739" localSheetId="17">PKB!#REF!</definedName>
    <definedName name="外部資料_739" localSheetId="14">評比系統!$T$1:$T$3</definedName>
    <definedName name="外部資料_74" localSheetId="16">PKA!#REF!</definedName>
    <definedName name="外部資料_74" localSheetId="17">PKB!#REF!</definedName>
    <definedName name="外部資料_74" localSheetId="18">PKC!#REF!</definedName>
    <definedName name="外部資料_74" localSheetId="9">PSR!#REF!</definedName>
    <definedName name="外部資料_74" localSheetId="4">公司債!#REF!</definedName>
    <definedName name="外部資料_74" localSheetId="14">評比系統!$T$1:$T$3</definedName>
    <definedName name="外部資料_74" localSheetId="7">營收搶先報!#REF!</definedName>
    <definedName name="外部資料_740" localSheetId="16">PKA!#REF!</definedName>
    <definedName name="外部資料_740" localSheetId="17">PKB!#REF!</definedName>
    <definedName name="外部資料_740" localSheetId="14">評比系統!$T$1:$T$3</definedName>
    <definedName name="外部資料_741" localSheetId="16">PKA!#REF!</definedName>
    <definedName name="外部資料_741" localSheetId="17">PKB!#REF!</definedName>
    <definedName name="外部資料_741" localSheetId="14">評比系統!$T$1:$T$3</definedName>
    <definedName name="外部資料_742" localSheetId="16">PKA!#REF!</definedName>
    <definedName name="外部資料_742" localSheetId="17">PKB!#REF!</definedName>
    <definedName name="外部資料_742" localSheetId="14">評比系統!$T$1:$T$3</definedName>
    <definedName name="外部資料_743" localSheetId="16">PKA!#REF!</definedName>
    <definedName name="外部資料_743" localSheetId="17">PKB!#REF!</definedName>
    <definedName name="外部資料_743" localSheetId="14">評比系統!$T$1:$T$3</definedName>
    <definedName name="外部資料_744" localSheetId="16">PKA!#REF!</definedName>
    <definedName name="外部資料_744" localSheetId="17">PKB!#REF!</definedName>
    <definedName name="外部資料_744" localSheetId="14">評比系統!$T$1:$T$3</definedName>
    <definedName name="外部資料_745" localSheetId="16">PKA!#REF!</definedName>
    <definedName name="外部資料_745" localSheetId="17">PKB!#REF!</definedName>
    <definedName name="外部資料_745" localSheetId="14">評比系統!$T$1:$T$3</definedName>
    <definedName name="外部資料_746" localSheetId="16">PKA!#REF!</definedName>
    <definedName name="外部資料_746" localSheetId="17">PKB!#REF!</definedName>
    <definedName name="外部資料_746" localSheetId="14">評比系統!$T$1:$T$3</definedName>
    <definedName name="外部資料_747" localSheetId="16">PKA!#REF!</definedName>
    <definedName name="外部資料_747" localSheetId="17">PKB!#REF!</definedName>
    <definedName name="外部資料_747" localSheetId="14">評比系統!$T$1:$T$3</definedName>
    <definedName name="外部資料_748" localSheetId="16">PKA!#REF!</definedName>
    <definedName name="外部資料_748" localSheetId="17">PKB!#REF!</definedName>
    <definedName name="外部資料_748" localSheetId="14">評比系統!$T$1:$T$3</definedName>
    <definedName name="外部資料_749" localSheetId="16">PKA!#REF!</definedName>
    <definedName name="外部資料_749" localSheetId="17">PKB!#REF!</definedName>
    <definedName name="外部資料_749" localSheetId="14">評比系統!$T$1:$T$3</definedName>
    <definedName name="外部資料_75" localSheetId="16">PKA!#REF!</definedName>
    <definedName name="外部資料_75" localSheetId="17">PKB!#REF!</definedName>
    <definedName name="外部資料_75" localSheetId="18">PKC!#REF!</definedName>
    <definedName name="外部資料_75" localSheetId="9">PSR!#REF!</definedName>
    <definedName name="外部資料_75" localSheetId="4">公司債!#REF!</definedName>
    <definedName name="外部資料_75" localSheetId="14">評比系統!$T$1:$T$3</definedName>
    <definedName name="外部資料_75" localSheetId="7">營收搶先報!#REF!</definedName>
    <definedName name="外部資料_750" localSheetId="16">PKA!#REF!</definedName>
    <definedName name="外部資料_750" localSheetId="17">PKB!#REF!</definedName>
    <definedName name="外部資料_750" localSheetId="14">評比系統!$T$1:$T$3</definedName>
    <definedName name="外部資料_751" localSheetId="16">PKA!#REF!</definedName>
    <definedName name="外部資料_751" localSheetId="17">PKB!#REF!</definedName>
    <definedName name="外部資料_751" localSheetId="14">評比系統!$T$1:$T$3</definedName>
    <definedName name="外部資料_752" localSheetId="16">PKA!#REF!</definedName>
    <definedName name="外部資料_752" localSheetId="17">PKB!#REF!</definedName>
    <definedName name="外部資料_752" localSheetId="14">評比系統!$T$1:$T$3</definedName>
    <definedName name="外部資料_753" localSheetId="16">PKA!#REF!</definedName>
    <definedName name="外部資料_753" localSheetId="17">PKB!#REF!</definedName>
    <definedName name="外部資料_753" localSheetId="14">評比系統!$T$1:$T$3</definedName>
    <definedName name="外部資料_754" localSheetId="16">PKA!$A$1:$K$65</definedName>
    <definedName name="外部資料_754" localSheetId="17">PKB!#REF!</definedName>
    <definedName name="外部資料_754" localSheetId="14">評比系統!$T$1:$T$3</definedName>
    <definedName name="外部資料_755" localSheetId="16">PKA!$A$100:$K$160</definedName>
    <definedName name="外部資料_755" localSheetId="17">PKB!#REF!</definedName>
    <definedName name="外部資料_755" localSheetId="14">評比系統!$T$1:$T$3</definedName>
    <definedName name="外部資料_7550" localSheetId="1">紅綠燈!#REF!</definedName>
    <definedName name="外部資料_7551" localSheetId="1">紅綠燈!#REF!</definedName>
    <definedName name="外部資料_7552" localSheetId="1">紅綠燈!#REF!</definedName>
    <definedName name="外部資料_7554" localSheetId="1">紅綠燈!#REF!</definedName>
    <definedName name="外部資料_7555" localSheetId="1">紅綠燈!#REF!</definedName>
    <definedName name="外部資料_7556" localSheetId="1">紅綠燈!#REF!</definedName>
    <definedName name="外部資料_7559" localSheetId="1">紅綠燈!#REF!</definedName>
    <definedName name="外部資料_756" localSheetId="16">PKA!$A$200:$K$247</definedName>
    <definedName name="外部資料_756" localSheetId="17">PKB!#REF!</definedName>
    <definedName name="外部資料_756" localSheetId="14">評比系統!$T$1:$T$3</definedName>
    <definedName name="外部資料_7560" localSheetId="1">紅綠燈!#REF!</definedName>
    <definedName name="外部資料_7562" localSheetId="1">紅綠燈!#REF!</definedName>
    <definedName name="外部資料_7563" localSheetId="1">紅綠燈!#REF!</definedName>
    <definedName name="外部資料_7564" localSheetId="1">紅綠燈!#REF!</definedName>
    <definedName name="外部資料_7566" localSheetId="1">紅綠燈!#REF!</definedName>
    <definedName name="外部資料_7567" localSheetId="1">紅綠燈!#REF!</definedName>
    <definedName name="外部資料_7568" localSheetId="1">紅綠燈!#REF!</definedName>
    <definedName name="外部資料_757" localSheetId="17">PKB!#REF!</definedName>
    <definedName name="外部資料_757" localSheetId="14">評比系統!$T$1:$T$3</definedName>
    <definedName name="外部資料_7570" localSheetId="1">紅綠燈!#REF!</definedName>
    <definedName name="外部資料_7571" localSheetId="1">紅綠燈!#REF!</definedName>
    <definedName name="外部資料_7572" localSheetId="1">紅綠燈!#REF!</definedName>
    <definedName name="外部資料_7574" localSheetId="1">紅綠燈!#REF!</definedName>
    <definedName name="外部資料_7575" localSheetId="1">紅綠燈!#REF!</definedName>
    <definedName name="外部資料_7576" localSheetId="1">紅綠燈!#REF!</definedName>
    <definedName name="外部資料_7578" localSheetId="1">紅綠燈!#REF!</definedName>
    <definedName name="外部資料_7579" localSheetId="1">紅綠燈!#REF!</definedName>
    <definedName name="外部資料_758" localSheetId="17">PKB!$A$1:$K$65</definedName>
    <definedName name="外部資料_758" localSheetId="14">評比系統!$T$1:$T$3</definedName>
    <definedName name="外部資料_7580" localSheetId="1">紅綠燈!#REF!</definedName>
    <definedName name="外部資料_7582" localSheetId="1">紅綠燈!#REF!</definedName>
    <definedName name="外部資料_7583" localSheetId="1">紅綠燈!#REF!</definedName>
    <definedName name="外部資料_7585" localSheetId="1">紅綠燈!#REF!</definedName>
    <definedName name="外部資料_7586" localSheetId="1">紅綠燈!#REF!</definedName>
    <definedName name="外部資料_7587" localSheetId="1">紅綠燈!#REF!</definedName>
    <definedName name="外部資料_7589" localSheetId="1">紅綠燈!#REF!</definedName>
    <definedName name="外部資料_759" localSheetId="17">PKB!$A$100:$K$160</definedName>
    <definedName name="外部資料_759" localSheetId="14">評比系統!$T$1:$T$3</definedName>
    <definedName name="外部資料_7590" localSheetId="1">紅綠燈!#REF!</definedName>
    <definedName name="外部資料_7591" localSheetId="1">紅綠燈!#REF!</definedName>
    <definedName name="外部資料_7593" localSheetId="1">紅綠燈!#REF!</definedName>
    <definedName name="外部資料_7594" localSheetId="1">紅綠燈!#REF!</definedName>
    <definedName name="外部資料_7596" localSheetId="1">紅綠燈!#REF!</definedName>
    <definedName name="外部資料_7597" localSheetId="1">紅綠燈!#REF!</definedName>
    <definedName name="外部資料_7598" localSheetId="1">紅綠燈!#REF!</definedName>
    <definedName name="外部資料_76" localSheetId="16">PKA!#REF!</definedName>
    <definedName name="外部資料_76" localSheetId="17">PKB!#REF!</definedName>
    <definedName name="外部資料_76" localSheetId="18">PKC!#REF!</definedName>
    <definedName name="外部資料_76" localSheetId="9">PSR!#REF!</definedName>
    <definedName name="外部資料_76" localSheetId="4">公司債!#REF!</definedName>
    <definedName name="外部資料_76" localSheetId="14">評比系統!$T$1:$T$3</definedName>
    <definedName name="外部資料_76" localSheetId="5">篩股系統!#REF!</definedName>
    <definedName name="外部資料_76" localSheetId="7">營收搶先報!#REF!</definedName>
    <definedName name="外部資料_760" localSheetId="17">PKB!$A$200:$K$247</definedName>
    <definedName name="外部資料_760" localSheetId="14">評比系統!$T$1:$T$3</definedName>
    <definedName name="外部資料_7600" localSheetId="1">紅綠燈!#REF!</definedName>
    <definedName name="外部資料_7601" localSheetId="1">紅綠燈!#REF!</definedName>
    <definedName name="外部資料_7602" localSheetId="1">紅綠燈!#REF!</definedName>
    <definedName name="外部資料_7604" localSheetId="1">紅綠燈!#REF!</definedName>
    <definedName name="外部資料_7605" localSheetId="1">紅綠燈!#REF!</definedName>
    <definedName name="外部資料_7606" localSheetId="1">紅綠燈!#REF!</definedName>
    <definedName name="外部資料_7608" localSheetId="1">紅綠燈!#REF!</definedName>
    <definedName name="外部資料_7609" localSheetId="1">紅綠燈!#REF!</definedName>
    <definedName name="外部資料_761" localSheetId="14">評比系統!$T$1:$T$3</definedName>
    <definedName name="外部資料_7610" localSheetId="1">紅綠燈!#REF!</definedName>
    <definedName name="外部資料_7612" localSheetId="1">紅綠燈!#REF!</definedName>
    <definedName name="外部資料_7613" localSheetId="1">紅綠燈!#REF!</definedName>
    <definedName name="外部資料_7614" localSheetId="1">紅綠燈!#REF!</definedName>
    <definedName name="外部資料_7616" localSheetId="1">紅綠燈!#REF!</definedName>
    <definedName name="外部資料_7617" localSheetId="1">紅綠燈!#REF!</definedName>
    <definedName name="外部資料_7618" localSheetId="1">紅綠燈!#REF!</definedName>
    <definedName name="外部資料_762" localSheetId="14">評比系統!$T$1:$T$3</definedName>
    <definedName name="外部資料_7620" localSheetId="1">紅綠燈!#REF!</definedName>
    <definedName name="外部資料_7621" localSheetId="1">紅綠燈!#REF!</definedName>
    <definedName name="外部資料_7622" localSheetId="1">紅綠燈!#REF!</definedName>
    <definedName name="外部資料_7624" localSheetId="1">紅綠燈!#REF!</definedName>
    <definedName name="外部資料_7625" localSheetId="1">紅綠燈!#REF!</definedName>
    <definedName name="外部資料_7626" localSheetId="1">紅綠燈!#REF!</definedName>
    <definedName name="外部資料_7628" localSheetId="1">紅綠燈!#REF!</definedName>
    <definedName name="外部資料_7629" localSheetId="1">紅綠燈!#REF!</definedName>
    <definedName name="外部資料_763" localSheetId="14">評比系統!$T$1:$T$3</definedName>
    <definedName name="外部資料_7630" localSheetId="1">紅綠燈!#REF!</definedName>
    <definedName name="外部資料_7632" localSheetId="1">紅綠燈!#REF!</definedName>
    <definedName name="外部資料_7633" localSheetId="1">紅綠燈!#REF!</definedName>
    <definedName name="外部資料_7634" localSheetId="1">紅綠燈!#REF!</definedName>
    <definedName name="外部資料_7636" localSheetId="1">紅綠燈!#REF!</definedName>
    <definedName name="外部資料_7637" localSheetId="1">紅綠燈!#REF!</definedName>
    <definedName name="外部資料_7638" localSheetId="1">紅綠燈!#REF!</definedName>
    <definedName name="外部資料_764" localSheetId="14">評比系統!$T$1:$T$3</definedName>
    <definedName name="外部資料_7640" localSheetId="1">紅綠燈!#REF!</definedName>
    <definedName name="外部資料_7641" localSheetId="1">紅綠燈!#REF!</definedName>
    <definedName name="外部資料_7642" localSheetId="1">紅綠燈!#REF!</definedName>
    <definedName name="外部資料_7644" localSheetId="1">紅綠燈!#REF!</definedName>
    <definedName name="外部資料_7645" localSheetId="1">紅綠燈!#REF!</definedName>
    <definedName name="外部資料_7646" localSheetId="1">紅綠燈!#REF!</definedName>
    <definedName name="外部資料_7648" localSheetId="1">紅綠燈!#REF!</definedName>
    <definedName name="外部資料_7649" localSheetId="1">紅綠燈!#REF!</definedName>
    <definedName name="外部資料_765" localSheetId="14">評比系統!$T$1:$T$3</definedName>
    <definedName name="外部資料_7650" localSheetId="1">紅綠燈!#REF!</definedName>
    <definedName name="外部資料_7652" localSheetId="1">紅綠燈!#REF!</definedName>
    <definedName name="外部資料_7653" localSheetId="1">紅綠燈!#REF!</definedName>
    <definedName name="外部資料_7654" localSheetId="1">紅綠燈!#REF!</definedName>
    <definedName name="外部資料_7656" localSheetId="1">紅綠燈!#REF!</definedName>
    <definedName name="外部資料_7657" localSheetId="1">紅綠燈!#REF!</definedName>
    <definedName name="外部資料_7658" localSheetId="1">紅綠燈!#REF!</definedName>
    <definedName name="外部資料_766" localSheetId="14">評比系統!$T$1:$T$3</definedName>
    <definedName name="外部資料_7660" localSheetId="1">紅綠燈!#REF!</definedName>
    <definedName name="外部資料_7661" localSheetId="1">紅綠燈!#REF!</definedName>
    <definedName name="外部資料_7662" localSheetId="1">紅綠燈!#REF!</definedName>
    <definedName name="外部資料_7664" localSheetId="1">紅綠燈!#REF!</definedName>
    <definedName name="外部資料_7665" localSheetId="1">紅綠燈!#REF!</definedName>
    <definedName name="外部資料_7666" localSheetId="1">紅綠燈!#REF!</definedName>
    <definedName name="外部資料_7668" localSheetId="1">紅綠燈!#REF!</definedName>
    <definedName name="外部資料_7669" localSheetId="1">紅綠燈!#REF!</definedName>
    <definedName name="外部資料_767" localSheetId="14">評比系統!$T$1:$T$3</definedName>
    <definedName name="外部資料_7670" localSheetId="1">紅綠燈!#REF!</definedName>
    <definedName name="外部資料_7672" localSheetId="1">紅綠燈!#REF!</definedName>
    <definedName name="外部資料_7673" localSheetId="1">紅綠燈!#REF!</definedName>
    <definedName name="外部資料_7674" localSheetId="1">紅綠燈!#REF!</definedName>
    <definedName name="外部資料_7676" localSheetId="1">紅綠燈!#REF!</definedName>
    <definedName name="外部資料_7677" localSheetId="1">紅綠燈!#REF!</definedName>
    <definedName name="外部資料_7678" localSheetId="1">紅綠燈!#REF!</definedName>
    <definedName name="外部資料_768" localSheetId="14">評比系統!$T$1:$T$3</definedName>
    <definedName name="外部資料_7680" localSheetId="1">紅綠燈!#REF!</definedName>
    <definedName name="外部資料_7681" localSheetId="1">紅綠燈!#REF!</definedName>
    <definedName name="外部資料_7682" localSheetId="1">紅綠燈!#REF!</definedName>
    <definedName name="外部資料_7684" localSheetId="1">紅綠燈!#REF!</definedName>
    <definedName name="外部資料_7685" localSheetId="1">紅綠燈!#REF!</definedName>
    <definedName name="外部資料_7687" localSheetId="1">紅綠燈!#REF!</definedName>
    <definedName name="外部資料_7688" localSheetId="1">紅綠燈!#REF!</definedName>
    <definedName name="外部資料_7689" localSheetId="1">紅綠燈!#REF!</definedName>
    <definedName name="外部資料_769" localSheetId="14">評比系統!$T$1:$T$3</definedName>
    <definedName name="外部資料_7691" localSheetId="1">紅綠燈!#REF!</definedName>
    <definedName name="外部資料_7692" localSheetId="1">紅綠燈!#REF!</definedName>
    <definedName name="外部資料_7693" localSheetId="1">紅綠燈!#REF!</definedName>
    <definedName name="外部資料_7695" localSheetId="1">紅綠燈!#REF!</definedName>
    <definedName name="外部資料_7696" localSheetId="1">紅綠燈!#REF!</definedName>
    <definedName name="外部資料_7697" localSheetId="1">紅綠燈!#REF!</definedName>
    <definedName name="外部資料_7699" localSheetId="1">紅綠燈!#REF!</definedName>
    <definedName name="外部資料_77" localSheetId="16">PKA!#REF!</definedName>
    <definedName name="外部資料_77" localSheetId="17">PKB!#REF!</definedName>
    <definedName name="外部資料_77" localSheetId="18">PKC!#REF!</definedName>
    <definedName name="外部資料_77" localSheetId="9">PSR!#REF!</definedName>
    <definedName name="外部資料_77" localSheetId="4">公司債!#REF!</definedName>
    <definedName name="外部資料_77" localSheetId="14">評比系統!$T$1:$T$3</definedName>
    <definedName name="外部資料_77" localSheetId="7">營收搶先報!#REF!</definedName>
    <definedName name="外部資料_770" localSheetId="14">評比系統!$T$1:$T$3</definedName>
    <definedName name="外部資料_7700" localSheetId="1">紅綠燈!#REF!</definedName>
    <definedName name="外部資料_7701" localSheetId="1">紅綠燈!#REF!</definedName>
    <definedName name="外部資料_7703" localSheetId="1">紅綠燈!#REF!</definedName>
    <definedName name="外部資料_7704" localSheetId="1">紅綠燈!#REF!</definedName>
    <definedName name="外部資料_7705" localSheetId="1">紅綠燈!#REF!</definedName>
    <definedName name="外部資料_7707" localSheetId="1">紅綠燈!#REF!</definedName>
    <definedName name="外部資料_7708" localSheetId="1">紅綠燈!#REF!</definedName>
    <definedName name="外部資料_7709" localSheetId="1">紅綠燈!#REF!</definedName>
    <definedName name="外部資料_771" localSheetId="14">評比系統!$T$1:$T$3</definedName>
    <definedName name="外部資料_7711" localSheetId="1">紅綠燈!#REF!</definedName>
    <definedName name="外部資料_7712" localSheetId="1">紅綠燈!#REF!</definedName>
    <definedName name="外部資料_7713" localSheetId="1">紅綠燈!#REF!</definedName>
    <definedName name="外部資料_7715" localSheetId="1">紅綠燈!#REF!</definedName>
    <definedName name="外部資料_7716" localSheetId="1">紅綠燈!#REF!</definedName>
    <definedName name="外部資料_7717" localSheetId="1">紅綠燈!#REF!</definedName>
    <definedName name="外部資料_7719" localSheetId="1">紅綠燈!#REF!</definedName>
    <definedName name="外部資料_772" localSheetId="14">評比系統!$T$1:$T$3</definedName>
    <definedName name="外部資料_7720" localSheetId="1">紅綠燈!#REF!</definedName>
    <definedName name="外部資料_7721" localSheetId="1">紅綠燈!#REF!</definedName>
    <definedName name="外部資料_7723" localSheetId="1">紅綠燈!#REF!</definedName>
    <definedName name="外部資料_7724" localSheetId="1">紅綠燈!#REF!</definedName>
    <definedName name="外部資料_7725" localSheetId="1">紅綠燈!#REF!</definedName>
    <definedName name="外部資料_7727" localSheetId="1">紅綠燈!#REF!</definedName>
    <definedName name="外部資料_7728" localSheetId="1">紅綠燈!#REF!</definedName>
    <definedName name="外部資料_7729" localSheetId="1">紅綠燈!#REF!</definedName>
    <definedName name="外部資料_773" localSheetId="14">評比系統!$T$1:$T$3</definedName>
    <definedName name="外部資料_7731" localSheetId="1">紅綠燈!#REF!</definedName>
    <definedName name="外部資料_7732" localSheetId="1">紅綠燈!#REF!</definedName>
    <definedName name="外部資料_7733" localSheetId="1">紅綠燈!#REF!</definedName>
    <definedName name="外部資料_7735" localSheetId="1">紅綠燈!#REF!</definedName>
    <definedName name="外部資料_7736" localSheetId="1">紅綠燈!#REF!</definedName>
    <definedName name="外部資料_7737" localSheetId="1">紅綠燈!#REF!</definedName>
    <definedName name="外部資料_7739" localSheetId="1">紅綠燈!#REF!</definedName>
    <definedName name="外部資料_774" localSheetId="14">評比系統!$T$1:$T$3</definedName>
    <definedName name="外部資料_7740" localSheetId="1">紅綠燈!#REF!</definedName>
    <definedName name="外部資料_7741" localSheetId="1">紅綠燈!#REF!</definedName>
    <definedName name="外部資料_7743" localSheetId="1">紅綠燈!#REF!</definedName>
    <definedName name="外部資料_7744" localSheetId="1">紅綠燈!#REF!</definedName>
    <definedName name="外部資料_7745" localSheetId="1">紅綠燈!#REF!</definedName>
    <definedName name="外部資料_7747" localSheetId="1">紅綠燈!#REF!</definedName>
    <definedName name="外部資料_7748" localSheetId="1">紅綠燈!#REF!</definedName>
    <definedName name="外部資料_7749" localSheetId="1">紅綠燈!#REF!</definedName>
    <definedName name="外部資料_775" localSheetId="14">評比系統!$T$1:$T$3</definedName>
    <definedName name="外部資料_7751" localSheetId="1">紅綠燈!#REF!</definedName>
    <definedName name="外部資料_7752" localSheetId="1">紅綠燈!#REF!</definedName>
    <definedName name="外部資料_7753" localSheetId="1">紅綠燈!#REF!</definedName>
    <definedName name="外部資料_7755" localSheetId="1">紅綠燈!#REF!</definedName>
    <definedName name="外部資料_7756" localSheetId="1">紅綠燈!#REF!</definedName>
    <definedName name="外部資料_7757" localSheetId="1">紅綠燈!#REF!</definedName>
    <definedName name="外部資料_7759" localSheetId="1">紅綠燈!#REF!</definedName>
    <definedName name="外部資料_776" localSheetId="14">評比系統!$T$1:$T$3</definedName>
    <definedName name="外部資料_7760" localSheetId="1">紅綠燈!#REF!</definedName>
    <definedName name="外部資料_7761" localSheetId="1">紅綠燈!#REF!</definedName>
    <definedName name="外部資料_7763" localSheetId="1">紅綠燈!#REF!</definedName>
    <definedName name="外部資料_7764" localSheetId="1">紅綠燈!#REF!</definedName>
    <definedName name="外部資料_7765" localSheetId="1">紅綠燈!#REF!</definedName>
    <definedName name="外部資料_7767" localSheetId="1">紅綠燈!#REF!</definedName>
    <definedName name="外部資料_7768" localSheetId="1">紅綠燈!#REF!</definedName>
    <definedName name="外部資料_7769" localSheetId="1">紅綠燈!#REF!</definedName>
    <definedName name="外部資料_777" localSheetId="14">評比系統!$T$1:$T$3</definedName>
    <definedName name="外部資料_7771" localSheetId="1">紅綠燈!#REF!</definedName>
    <definedName name="外部資料_7772" localSheetId="1">紅綠燈!#REF!</definedName>
    <definedName name="外部資料_7773" localSheetId="1">紅綠燈!#REF!</definedName>
    <definedName name="外部資料_7775" localSheetId="1">紅綠燈!#REF!</definedName>
    <definedName name="外部資料_7776" localSheetId="1">紅綠燈!#REF!</definedName>
    <definedName name="外部資料_7777" localSheetId="1">紅綠燈!#REF!</definedName>
    <definedName name="外部資料_7779" localSheetId="1">紅綠燈!#REF!</definedName>
    <definedName name="外部資料_778" localSheetId="14">評比系統!$T$1:$T$3</definedName>
    <definedName name="外部資料_7780" localSheetId="1">紅綠燈!#REF!</definedName>
    <definedName name="外部資料_7781" localSheetId="1">紅綠燈!#REF!</definedName>
    <definedName name="外部資料_7783" localSheetId="1">紅綠燈!#REF!</definedName>
    <definedName name="外部資料_7784" localSheetId="1">紅綠燈!#REF!</definedName>
    <definedName name="外部資料_7785" localSheetId="1">紅綠燈!#REF!</definedName>
    <definedName name="外部資料_7787" localSheetId="1">紅綠燈!#REF!</definedName>
    <definedName name="外部資料_7788" localSheetId="1">紅綠燈!#REF!</definedName>
    <definedName name="外部資料_7789" localSheetId="1">紅綠燈!#REF!</definedName>
    <definedName name="外部資料_779" localSheetId="14">評比系統!$T$1:$T$3</definedName>
    <definedName name="外部資料_7791" localSheetId="1">紅綠燈!#REF!</definedName>
    <definedName name="外部資料_7792" localSheetId="1">紅綠燈!#REF!</definedName>
    <definedName name="外部資料_7793" localSheetId="1">紅綠燈!#REF!</definedName>
    <definedName name="外部資料_7795" localSheetId="1">紅綠燈!#REF!</definedName>
    <definedName name="外部資料_7796" localSheetId="1">紅綠燈!#REF!</definedName>
    <definedName name="外部資料_7797" localSheetId="1">紅綠燈!#REF!</definedName>
    <definedName name="外部資料_7799" localSheetId="1">紅綠燈!#REF!</definedName>
    <definedName name="外部資料_78" localSheetId="16">PKA!#REF!</definedName>
    <definedName name="外部資料_78" localSheetId="17">PKB!#REF!</definedName>
    <definedName name="外部資料_78" localSheetId="18">PKC!#REF!</definedName>
    <definedName name="外部資料_78" localSheetId="9">PSR!#REF!</definedName>
    <definedName name="外部資料_78" localSheetId="4">公司債!#REF!</definedName>
    <definedName name="外部資料_78" localSheetId="14">評比系統!$T$1:$T$3</definedName>
    <definedName name="外部資料_78" localSheetId="7">營收搶先報!#REF!</definedName>
    <definedName name="外部資料_780" localSheetId="14">評比系統!$T$1:$T$3</definedName>
    <definedName name="外部資料_7800" localSheetId="1">紅綠燈!#REF!</definedName>
    <definedName name="外部資料_7801" localSheetId="1">紅綠燈!#REF!</definedName>
    <definedName name="外部資料_7803" localSheetId="1">紅綠燈!#REF!</definedName>
    <definedName name="外部資料_7804" localSheetId="1">紅綠燈!#REF!</definedName>
    <definedName name="外部資料_7805" localSheetId="1">紅綠燈!#REF!</definedName>
    <definedName name="外部資料_7807" localSheetId="1">紅綠燈!#REF!</definedName>
    <definedName name="外部資料_7808" localSheetId="1">紅綠燈!#REF!</definedName>
    <definedName name="外部資料_7809" localSheetId="1">紅綠燈!#REF!</definedName>
    <definedName name="外部資料_781" localSheetId="14">評比系統!$T$1:$T$3</definedName>
    <definedName name="外部資料_7811" localSheetId="1">紅綠燈!#REF!</definedName>
    <definedName name="外部資料_7812" localSheetId="1">紅綠燈!#REF!</definedName>
    <definedName name="外部資料_7813" localSheetId="1">紅綠燈!#REF!</definedName>
    <definedName name="外部資料_7815" localSheetId="1">紅綠燈!#REF!</definedName>
    <definedName name="外部資料_7816" localSheetId="1">紅綠燈!#REF!</definedName>
    <definedName name="外部資料_7817" localSheetId="1">紅綠燈!#REF!</definedName>
    <definedName name="外部資料_7819" localSheetId="1">紅綠燈!#REF!</definedName>
    <definedName name="外部資料_782" localSheetId="14">評比系統!$T$1:$T$3</definedName>
    <definedName name="外部資料_7820" localSheetId="1">紅綠燈!#REF!</definedName>
    <definedName name="外部資料_7821" localSheetId="1">紅綠燈!#REF!</definedName>
    <definedName name="外部資料_7823" localSheetId="1">紅綠燈!#REF!</definedName>
    <definedName name="外部資料_7824" localSheetId="1">紅綠燈!#REF!</definedName>
    <definedName name="外部資料_7825" localSheetId="1">紅綠燈!#REF!</definedName>
    <definedName name="外部資料_7827" localSheetId="1">紅綠燈!#REF!</definedName>
    <definedName name="外部資料_7828" localSheetId="1">紅綠燈!#REF!</definedName>
    <definedName name="外部資料_7829" localSheetId="1">紅綠燈!#REF!</definedName>
    <definedName name="外部資料_783" localSheetId="14">評比系統!$T$1:$T$3</definedName>
    <definedName name="外部資料_7831" localSheetId="1">紅綠燈!#REF!</definedName>
    <definedName name="外部資料_7832" localSheetId="1">紅綠燈!#REF!</definedName>
    <definedName name="外部資料_7833" localSheetId="1">紅綠燈!#REF!</definedName>
    <definedName name="外部資料_7835" localSheetId="1">紅綠燈!#REF!</definedName>
    <definedName name="外部資料_7836" localSheetId="1">紅綠燈!#REF!</definedName>
    <definedName name="外部資料_7837" localSheetId="1">紅綠燈!#REF!</definedName>
    <definedName name="外部資料_7839" localSheetId="1">紅綠燈!#REF!</definedName>
    <definedName name="外部資料_784" localSheetId="14">評比系統!$T$1:$T$3</definedName>
    <definedName name="外部資料_7840" localSheetId="1">紅綠燈!#REF!</definedName>
    <definedName name="外部資料_7841" localSheetId="1">紅綠燈!#REF!</definedName>
    <definedName name="外部資料_7843" localSheetId="1">紅綠燈!#REF!</definedName>
    <definedName name="外部資料_7844" localSheetId="1">紅綠燈!#REF!</definedName>
    <definedName name="外部資料_7845" localSheetId="1">紅綠燈!#REF!</definedName>
    <definedName name="外部資料_7847" localSheetId="1">紅綠燈!#REF!</definedName>
    <definedName name="外部資料_7848" localSheetId="1">紅綠燈!#REF!</definedName>
    <definedName name="外部資料_7849" localSheetId="1">紅綠燈!#REF!</definedName>
    <definedName name="外部資料_785" localSheetId="14">評比系統!$T$1:$T$3</definedName>
    <definedName name="外部資料_7851" localSheetId="1">紅綠燈!#REF!</definedName>
    <definedName name="外部資料_7852" localSheetId="1">紅綠燈!#REF!</definedName>
    <definedName name="外部資料_7853" localSheetId="1">紅綠燈!#REF!</definedName>
    <definedName name="外部資料_7855" localSheetId="1">紅綠燈!#REF!</definedName>
    <definedName name="外部資料_7856" localSheetId="1">紅綠燈!#REF!</definedName>
    <definedName name="外部資料_7857" localSheetId="1">紅綠燈!#REF!</definedName>
    <definedName name="外部資料_7859" localSheetId="1">紅綠燈!#REF!</definedName>
    <definedName name="外部資料_786" localSheetId="14">評比系統!$T$1:$T$3</definedName>
    <definedName name="外部資料_7860" localSheetId="1">紅綠燈!#REF!</definedName>
    <definedName name="外部資料_7861" localSheetId="1">紅綠燈!#REF!</definedName>
    <definedName name="外部資料_7863" localSheetId="1">紅綠燈!#REF!</definedName>
    <definedName name="外部資料_7864" localSheetId="1">紅綠燈!#REF!</definedName>
    <definedName name="外部資料_7865" localSheetId="1">紅綠燈!#REF!</definedName>
    <definedName name="外部資料_7867" localSheetId="1">紅綠燈!#REF!</definedName>
    <definedName name="外部資料_7868" localSheetId="1">紅綠燈!#REF!</definedName>
    <definedName name="外部資料_7869" localSheetId="1">紅綠燈!#REF!</definedName>
    <definedName name="外部資料_787" localSheetId="14">評比系統!$T$1:$T$3</definedName>
    <definedName name="外部資料_7871" localSheetId="1">紅綠燈!#REF!</definedName>
    <definedName name="外部資料_7872" localSheetId="1">紅綠燈!#REF!</definedName>
    <definedName name="外部資料_7873" localSheetId="1">紅綠燈!#REF!</definedName>
    <definedName name="外部資料_7875" localSheetId="1">紅綠燈!#REF!</definedName>
    <definedName name="外部資料_7876" localSheetId="1">紅綠燈!#REF!</definedName>
    <definedName name="外部資料_7877" localSheetId="1">紅綠燈!#REF!</definedName>
    <definedName name="外部資料_7879" localSheetId="1">紅綠燈!#REF!</definedName>
    <definedName name="外部資料_788" localSheetId="14">評比系統!$T$1:$T$3</definedName>
    <definedName name="外部資料_7880" localSheetId="1">紅綠燈!#REF!</definedName>
    <definedName name="外部資料_7881" localSheetId="1">紅綠燈!#REF!</definedName>
    <definedName name="外部資料_7883" localSheetId="1">紅綠燈!#REF!</definedName>
    <definedName name="外部資料_7884" localSheetId="1">紅綠燈!#REF!</definedName>
    <definedName name="外部資料_7885" localSheetId="1">紅綠燈!#REF!</definedName>
    <definedName name="外部資料_7887" localSheetId="1">紅綠燈!#REF!</definedName>
    <definedName name="外部資料_7888" localSheetId="1">紅綠燈!#REF!</definedName>
    <definedName name="外部資料_7889" localSheetId="1">紅綠燈!#REF!</definedName>
    <definedName name="外部資料_789" localSheetId="14">評比系統!$T$1:$T$3</definedName>
    <definedName name="外部資料_7891" localSheetId="1">紅綠燈!#REF!</definedName>
    <definedName name="外部資料_7892" localSheetId="1">紅綠燈!#REF!</definedName>
    <definedName name="外部資料_7893" localSheetId="1">紅綠燈!#REF!</definedName>
    <definedName name="外部資料_7895" localSheetId="1">紅綠燈!#REF!</definedName>
    <definedName name="外部資料_7896" localSheetId="1">紅綠燈!#REF!</definedName>
    <definedName name="外部資料_7897" localSheetId="1">紅綠燈!#REF!</definedName>
    <definedName name="外部資料_7899" localSheetId="1">紅綠燈!#REF!</definedName>
    <definedName name="外部資料_79" localSheetId="16">PKA!#REF!</definedName>
    <definedName name="外部資料_79" localSheetId="17">PKB!#REF!</definedName>
    <definedName name="外部資料_79" localSheetId="18">PKC!#REF!</definedName>
    <definedName name="外部資料_79" localSheetId="9">PSR!#REF!</definedName>
    <definedName name="外部資料_79" localSheetId="4">公司債!#REF!</definedName>
    <definedName name="外部資料_79" localSheetId="14">評比系統!$T$1:$T$3</definedName>
    <definedName name="外部資料_79" localSheetId="7">營收搶先報!#REF!</definedName>
    <definedName name="外部資料_790" localSheetId="14">評比系統!$T$1:$T$3</definedName>
    <definedName name="外部資料_7900" localSheetId="1">紅綠燈!#REF!</definedName>
    <definedName name="外部資料_7901" localSheetId="1">紅綠燈!#REF!</definedName>
    <definedName name="外部資料_7903" localSheetId="1">紅綠燈!#REF!</definedName>
    <definedName name="外部資料_7904" localSheetId="1">紅綠燈!#REF!</definedName>
    <definedName name="外部資料_7905" localSheetId="1">紅綠燈!#REF!</definedName>
    <definedName name="外部資料_7907" localSheetId="1">紅綠燈!#REF!</definedName>
    <definedName name="外部資料_7908" localSheetId="1">紅綠燈!#REF!</definedName>
    <definedName name="外部資料_7909" localSheetId="1">紅綠燈!#REF!</definedName>
    <definedName name="外部資料_791" localSheetId="14">評比系統!$T$1:$T$3</definedName>
    <definedName name="外部資料_7911" localSheetId="1">紅綠燈!#REF!</definedName>
    <definedName name="外部資料_7912" localSheetId="1">紅綠燈!#REF!</definedName>
    <definedName name="外部資料_7913" localSheetId="1">紅綠燈!#REF!</definedName>
    <definedName name="外部資料_7915" localSheetId="1">紅綠燈!#REF!</definedName>
    <definedName name="外部資料_7916" localSheetId="1">紅綠燈!#REF!</definedName>
    <definedName name="外部資料_7917" localSheetId="1">紅綠燈!#REF!</definedName>
    <definedName name="外部資料_7919" localSheetId="1">紅綠燈!#REF!</definedName>
    <definedName name="外部資料_792" localSheetId="14">評比系統!$T$1:$T$3</definedName>
    <definedName name="外部資料_7920" localSheetId="1">紅綠燈!#REF!</definedName>
    <definedName name="外部資料_7921" localSheetId="1">紅綠燈!#REF!</definedName>
    <definedName name="外部資料_7923" localSheetId="1">紅綠燈!#REF!</definedName>
    <definedName name="外部資料_7924" localSheetId="1">紅綠燈!#REF!</definedName>
    <definedName name="外部資料_7925" localSheetId="1">紅綠燈!#REF!</definedName>
    <definedName name="外部資料_7927" localSheetId="1">紅綠燈!#REF!</definedName>
    <definedName name="外部資料_7928" localSheetId="1">紅綠燈!#REF!</definedName>
    <definedName name="外部資料_7929" localSheetId="1">紅綠燈!#REF!</definedName>
    <definedName name="外部資料_793" localSheetId="14">評比系統!$T$1:$T$3</definedName>
    <definedName name="外部資料_7931" localSheetId="1">紅綠燈!#REF!</definedName>
    <definedName name="外部資料_7932" localSheetId="1">紅綠燈!#REF!</definedName>
    <definedName name="外部資料_7933" localSheetId="1">紅綠燈!#REF!</definedName>
    <definedName name="外部資料_7935" localSheetId="1">紅綠燈!#REF!</definedName>
    <definedName name="外部資料_7936" localSheetId="1">紅綠燈!#REF!</definedName>
    <definedName name="外部資料_7937" localSheetId="1">紅綠燈!#REF!</definedName>
    <definedName name="外部資料_7939" localSheetId="1">紅綠燈!#REF!</definedName>
    <definedName name="外部資料_794" localSheetId="14">評比系統!$T$1:$T$3</definedName>
    <definedName name="外部資料_7940" localSheetId="1">紅綠燈!#REF!</definedName>
    <definedName name="外部資料_7941" localSheetId="1">紅綠燈!#REF!</definedName>
    <definedName name="外部資料_7943" localSheetId="1">紅綠燈!#REF!</definedName>
    <definedName name="外部資料_7944" localSheetId="1">紅綠燈!#REF!</definedName>
    <definedName name="外部資料_7945" localSheetId="1">紅綠燈!#REF!</definedName>
    <definedName name="外部資料_7947" localSheetId="1">紅綠燈!#REF!</definedName>
    <definedName name="外部資料_7948" localSheetId="1">紅綠燈!#REF!</definedName>
    <definedName name="外部資料_7949" localSheetId="1">紅綠燈!#REF!</definedName>
    <definedName name="外部資料_795" localSheetId="14">評比系統!$T$1:$T$3</definedName>
    <definedName name="外部資料_7951" localSheetId="1">紅綠燈!#REF!</definedName>
    <definedName name="外部資料_7952" localSheetId="1">紅綠燈!#REF!</definedName>
    <definedName name="外部資料_7953" localSheetId="1">紅綠燈!#REF!</definedName>
    <definedName name="外部資料_7955" localSheetId="1">紅綠燈!#REF!</definedName>
    <definedName name="外部資料_7956" localSheetId="1">紅綠燈!#REF!</definedName>
    <definedName name="外部資料_7957" localSheetId="1">紅綠燈!#REF!</definedName>
    <definedName name="外部資料_7959" localSheetId="1">紅綠燈!#REF!</definedName>
    <definedName name="外部資料_796" localSheetId="14">評比系統!$T$1:$T$3</definedName>
    <definedName name="外部資料_7960" localSheetId="1">紅綠燈!#REF!</definedName>
    <definedName name="外部資料_7961" localSheetId="1">紅綠燈!#REF!</definedName>
    <definedName name="外部資料_7963" localSheetId="1">紅綠燈!#REF!</definedName>
    <definedName name="外部資料_7964" localSheetId="1">紅綠燈!#REF!</definedName>
    <definedName name="外部資料_7965" localSheetId="1">紅綠燈!#REF!</definedName>
    <definedName name="外部資料_7967" localSheetId="1">紅綠燈!#REF!</definedName>
    <definedName name="外部資料_7968" localSheetId="1">紅綠燈!#REF!</definedName>
    <definedName name="外部資料_7969" localSheetId="1">紅綠燈!#REF!</definedName>
    <definedName name="外部資料_797" localSheetId="14">評比系統!$T$1:$T$3</definedName>
    <definedName name="外部資料_7971" localSheetId="1">紅綠燈!#REF!</definedName>
    <definedName name="外部資料_7972" localSheetId="1">紅綠燈!#REF!</definedName>
    <definedName name="外部資料_7973" localSheetId="1">紅綠燈!#REF!</definedName>
    <definedName name="外部資料_7975" localSheetId="1">紅綠燈!#REF!</definedName>
    <definedName name="外部資料_7976" localSheetId="1">紅綠燈!#REF!</definedName>
    <definedName name="外部資料_7977" localSheetId="1">紅綠燈!#REF!</definedName>
    <definedName name="外部資料_7979" localSheetId="1">紅綠燈!#REF!</definedName>
    <definedName name="外部資料_798" localSheetId="14">評比系統!$T$1:$T$3</definedName>
    <definedName name="外部資料_7980" localSheetId="1">紅綠燈!#REF!</definedName>
    <definedName name="外部資料_7981" localSheetId="1">紅綠燈!#REF!</definedName>
    <definedName name="外部資料_7983" localSheetId="1">紅綠燈!#REF!</definedName>
    <definedName name="外部資料_7984" localSheetId="1">紅綠燈!#REF!</definedName>
    <definedName name="外部資料_7985" localSheetId="1">紅綠燈!#REF!</definedName>
    <definedName name="外部資料_7987" localSheetId="1">紅綠燈!#REF!</definedName>
    <definedName name="外部資料_7988" localSheetId="1">紅綠燈!#REF!</definedName>
    <definedName name="外部資料_7989" localSheetId="1">紅綠燈!#REF!</definedName>
    <definedName name="外部資料_799" localSheetId="14">評比系統!$T$1:$T$3</definedName>
    <definedName name="外部資料_7991" localSheetId="1">紅綠燈!#REF!</definedName>
    <definedName name="外部資料_7992" localSheetId="1">紅綠燈!#REF!</definedName>
    <definedName name="外部資料_7993" localSheetId="1">紅綠燈!#REF!</definedName>
    <definedName name="外部資料_7995" localSheetId="1">紅綠燈!#REF!</definedName>
    <definedName name="外部資料_7996" localSheetId="1">紅綠燈!#REF!</definedName>
    <definedName name="外部資料_7997" localSheetId="1">紅綠燈!#REF!</definedName>
    <definedName name="外部資料_7999" localSheetId="1">紅綠燈!#REF!</definedName>
    <definedName name="外部資料_8" localSheetId="16">PKA!#REF!</definedName>
    <definedName name="外部資料_8" localSheetId="17">PKB!#REF!</definedName>
    <definedName name="外部資料_8" localSheetId="18">PKC!#REF!</definedName>
    <definedName name="外部資料_8" localSheetId="9">PSR!#REF!</definedName>
    <definedName name="外部資料_8" localSheetId="4">公司債!#REF!</definedName>
    <definedName name="外部資料_8" localSheetId="1">紅綠燈!#REF!</definedName>
    <definedName name="外部資料_8" localSheetId="14">評比系統!#REF!</definedName>
    <definedName name="外部資料_8" localSheetId="5">篩股系統!#REF!</definedName>
    <definedName name="外部資料_8" localSheetId="7">營收搶先報!#REF!</definedName>
    <definedName name="外部資料_80" localSheetId="16">PKA!#REF!</definedName>
    <definedName name="外部資料_80" localSheetId="17">PKB!#REF!</definedName>
    <definedName name="外部資料_80" localSheetId="18">PKC!#REF!</definedName>
    <definedName name="外部資料_80" localSheetId="9">PSR!#REF!</definedName>
    <definedName name="外部資料_80" localSheetId="4">公司債!#REF!</definedName>
    <definedName name="外部資料_80" localSheetId="14">評比系統!$T$1:$T$3</definedName>
    <definedName name="外部資料_80" localSheetId="7">營收搶先報!#REF!</definedName>
    <definedName name="外部資料_800" localSheetId="14">評比系統!$T$1:$T$3</definedName>
    <definedName name="外部資料_8000" localSheetId="1">紅綠燈!#REF!</definedName>
    <definedName name="外部資料_8001" localSheetId="1">紅綠燈!#REF!</definedName>
    <definedName name="外部資料_8003" localSheetId="1">紅綠燈!#REF!</definedName>
    <definedName name="外部資料_8004" localSheetId="1">紅綠燈!#REF!</definedName>
    <definedName name="外部資料_8005" localSheetId="1">紅綠燈!#REF!</definedName>
    <definedName name="外部資料_8007" localSheetId="1">紅綠燈!#REF!</definedName>
    <definedName name="外部資料_8008" localSheetId="1">紅綠燈!#REF!</definedName>
    <definedName name="外部資料_8009" localSheetId="1">紅綠燈!#REF!</definedName>
    <definedName name="外部資料_801" localSheetId="14">評比系統!$T$1:$T$3</definedName>
    <definedName name="外部資料_8011" localSheetId="1">紅綠燈!#REF!</definedName>
    <definedName name="外部資料_8012" localSheetId="1">紅綠燈!#REF!</definedName>
    <definedName name="外部資料_8013" localSheetId="1">紅綠燈!#REF!</definedName>
    <definedName name="外部資料_8015" localSheetId="1">紅綠燈!#REF!</definedName>
    <definedName name="外部資料_8016" localSheetId="1">紅綠燈!#REF!</definedName>
    <definedName name="外部資料_8017" localSheetId="1">紅綠燈!#REF!</definedName>
    <definedName name="外部資料_8019" localSheetId="1">紅綠燈!#REF!</definedName>
    <definedName name="外部資料_802" localSheetId="14">評比系統!$T$1:$T$3</definedName>
    <definedName name="外部資料_8020" localSheetId="1">紅綠燈!#REF!</definedName>
    <definedName name="外部資料_8021" localSheetId="1">紅綠燈!#REF!</definedName>
    <definedName name="外部資料_8023" localSheetId="1">紅綠燈!#REF!</definedName>
    <definedName name="外部資料_8024" localSheetId="1">紅綠燈!#REF!</definedName>
    <definedName name="外部資料_8025" localSheetId="1">紅綠燈!#REF!</definedName>
    <definedName name="外部資料_8027" localSheetId="1">紅綠燈!#REF!</definedName>
    <definedName name="外部資料_8028" localSheetId="1">紅綠燈!#REF!</definedName>
    <definedName name="外部資料_8029" localSheetId="1">紅綠燈!#REF!</definedName>
    <definedName name="外部資料_803" localSheetId="14">評比系統!$T$1:$T$3</definedName>
    <definedName name="外部資料_8031" localSheetId="1">紅綠燈!#REF!</definedName>
    <definedName name="外部資料_8032" localSheetId="1">紅綠燈!#REF!</definedName>
    <definedName name="外部資料_8033" localSheetId="1">紅綠燈!#REF!</definedName>
    <definedName name="外部資料_8035" localSheetId="1">紅綠燈!#REF!</definedName>
    <definedName name="外部資料_8036" localSheetId="1">紅綠燈!#REF!</definedName>
    <definedName name="外部資料_8037" localSheetId="1">紅綠燈!#REF!</definedName>
    <definedName name="外部資料_8039" localSheetId="1">紅綠燈!#REF!</definedName>
    <definedName name="外部資料_804" localSheetId="14">評比系統!$T$1:$T$3</definedName>
    <definedName name="外部資料_8040" localSheetId="1">紅綠燈!#REF!</definedName>
    <definedName name="外部資料_8041" localSheetId="1">紅綠燈!#REF!</definedName>
    <definedName name="外部資料_8043" localSheetId="1">紅綠燈!#REF!</definedName>
    <definedName name="外部資料_8044" localSheetId="1">紅綠燈!#REF!</definedName>
    <definedName name="外部資料_8045" localSheetId="1">紅綠燈!#REF!</definedName>
    <definedName name="外部資料_8047" localSheetId="1">紅綠燈!#REF!</definedName>
    <definedName name="外部資料_8048" localSheetId="1">紅綠燈!#REF!</definedName>
    <definedName name="外部資料_8049" localSheetId="1">紅綠燈!#REF!</definedName>
    <definedName name="外部資料_805" localSheetId="14">評比系統!$T$1:$T$3</definedName>
    <definedName name="外部資料_8051" localSheetId="1">紅綠燈!#REF!</definedName>
    <definedName name="外部資料_8052" localSheetId="1">紅綠燈!#REF!</definedName>
    <definedName name="外部資料_8053" localSheetId="1">紅綠燈!#REF!</definedName>
    <definedName name="外部資料_8055" localSheetId="1">紅綠燈!#REF!</definedName>
    <definedName name="外部資料_8056" localSheetId="1">紅綠燈!#REF!</definedName>
    <definedName name="外部資料_8057" localSheetId="1">紅綠燈!#REF!</definedName>
    <definedName name="外部資料_8059" localSheetId="1">紅綠燈!#REF!</definedName>
    <definedName name="外部資料_806" localSheetId="14">評比系統!$T$1:$T$3</definedName>
    <definedName name="外部資料_8060" localSheetId="1">紅綠燈!#REF!</definedName>
    <definedName name="外部資料_8061" localSheetId="1">紅綠燈!#REF!</definedName>
    <definedName name="外部資料_8063" localSheetId="1">紅綠燈!#REF!</definedName>
    <definedName name="外部資料_8064" localSheetId="1">紅綠燈!#REF!</definedName>
    <definedName name="外部資料_8065" localSheetId="1">紅綠燈!#REF!</definedName>
    <definedName name="外部資料_8067" localSheetId="1">紅綠燈!#REF!</definedName>
    <definedName name="外部資料_8068" localSheetId="1">紅綠燈!#REF!</definedName>
    <definedName name="外部資料_8069" localSheetId="1">紅綠燈!#REF!</definedName>
    <definedName name="外部資料_807" localSheetId="14">評比系統!$T$1:$T$3</definedName>
    <definedName name="外部資料_8071" localSheetId="1">紅綠燈!#REF!</definedName>
    <definedName name="外部資料_8072" localSheetId="1">紅綠燈!#REF!</definedName>
    <definedName name="外部資料_8073" localSheetId="1">紅綠燈!#REF!</definedName>
    <definedName name="外部資料_8075" localSheetId="1">紅綠燈!#REF!</definedName>
    <definedName name="外部資料_8076" localSheetId="1">紅綠燈!#REF!</definedName>
    <definedName name="外部資料_8077" localSheetId="1">紅綠燈!#REF!</definedName>
    <definedName name="外部資料_8079" localSheetId="1">紅綠燈!#REF!</definedName>
    <definedName name="外部資料_808" localSheetId="14">評比系統!$T$1:$T$3</definedName>
    <definedName name="外部資料_8080" localSheetId="1">紅綠燈!#REF!</definedName>
    <definedName name="外部資料_8081" localSheetId="1">紅綠燈!#REF!</definedName>
    <definedName name="外部資料_8083" localSheetId="1">紅綠燈!#REF!</definedName>
    <definedName name="外部資料_8084" localSheetId="1">紅綠燈!#REF!</definedName>
    <definedName name="外部資料_8085" localSheetId="1">紅綠燈!#REF!</definedName>
    <definedName name="外部資料_8087" localSheetId="1">紅綠燈!#REF!</definedName>
    <definedName name="外部資料_8088" localSheetId="1">紅綠燈!#REF!</definedName>
    <definedName name="外部資料_8089" localSheetId="1">紅綠燈!#REF!</definedName>
    <definedName name="外部資料_809" localSheetId="14">評比系統!$T$1:$T$3</definedName>
    <definedName name="外部資料_8091" localSheetId="1">紅綠燈!#REF!</definedName>
    <definedName name="外部資料_8092" localSheetId="1">紅綠燈!#REF!</definedName>
    <definedName name="外部資料_8093" localSheetId="1">紅綠燈!#REF!</definedName>
    <definedName name="外部資料_8095" localSheetId="1">紅綠燈!#REF!</definedName>
    <definedName name="外部資料_8096" localSheetId="1">紅綠燈!#REF!</definedName>
    <definedName name="外部資料_8097" localSheetId="1">紅綠燈!#REF!</definedName>
    <definedName name="外部資料_8099" localSheetId="1">紅綠燈!#REF!</definedName>
    <definedName name="外部資料_81" localSheetId="16">PKA!#REF!</definedName>
    <definedName name="外部資料_81" localSheetId="17">PKB!#REF!</definedName>
    <definedName name="外部資料_81" localSheetId="18">PKC!#REF!</definedName>
    <definedName name="外部資料_81" localSheetId="9">PSR!#REF!</definedName>
    <definedName name="外部資料_81" localSheetId="4">公司債!#REF!</definedName>
    <definedName name="外部資料_81" localSheetId="14">評比系統!$T$1:$T$3</definedName>
    <definedName name="外部資料_81" localSheetId="7">營收搶先報!#REF!</definedName>
    <definedName name="外部資料_810" localSheetId="14">評比系統!$T$1:$T$3</definedName>
    <definedName name="外部資料_8100" localSheetId="1">紅綠燈!#REF!</definedName>
    <definedName name="外部資料_8101" localSheetId="1">紅綠燈!#REF!</definedName>
    <definedName name="外部資料_8103" localSheetId="1">紅綠燈!#REF!</definedName>
    <definedName name="外部資料_8104" localSheetId="1">紅綠燈!#REF!</definedName>
    <definedName name="外部資料_8105" localSheetId="1">紅綠燈!#REF!</definedName>
    <definedName name="外部資料_8107" localSheetId="1">紅綠燈!#REF!</definedName>
    <definedName name="外部資料_8108" localSheetId="1">紅綠燈!#REF!</definedName>
    <definedName name="外部資料_8109" localSheetId="1">紅綠燈!#REF!</definedName>
    <definedName name="外部資料_811" localSheetId="14">評比系統!$T$1:$T$3</definedName>
    <definedName name="外部資料_8111" localSheetId="1">紅綠燈!#REF!</definedName>
    <definedName name="外部資料_8112" localSheetId="1">紅綠燈!#REF!</definedName>
    <definedName name="外部資料_8113" localSheetId="1">紅綠燈!#REF!</definedName>
    <definedName name="外部資料_8115" localSheetId="1">紅綠燈!#REF!</definedName>
    <definedName name="外部資料_8116" localSheetId="1">紅綠燈!#REF!</definedName>
    <definedName name="外部資料_8117" localSheetId="1">紅綠燈!#REF!</definedName>
    <definedName name="外部資料_8119" localSheetId="1">紅綠燈!#REF!</definedName>
    <definedName name="外部資料_812" localSheetId="14">評比系統!$T$1:$T$3</definedName>
    <definedName name="外部資料_8120" localSheetId="1">紅綠燈!#REF!</definedName>
    <definedName name="外部資料_8121" localSheetId="1">紅綠燈!#REF!</definedName>
    <definedName name="外部資料_8123" localSheetId="1">紅綠燈!#REF!</definedName>
    <definedName name="外部資料_8124" localSheetId="1">紅綠燈!#REF!</definedName>
    <definedName name="外部資料_8125" localSheetId="1">紅綠燈!#REF!</definedName>
    <definedName name="外部資料_8127" localSheetId="1">紅綠燈!#REF!</definedName>
    <definedName name="外部資料_8128" localSheetId="1">紅綠燈!#REF!</definedName>
    <definedName name="外部資料_813" localSheetId="14">評比系統!$T$1:$T$3</definedName>
    <definedName name="外部資料_8130" localSheetId="1">紅綠燈!#REF!</definedName>
    <definedName name="外部資料_8131" localSheetId="1">紅綠燈!#REF!</definedName>
    <definedName name="外部資料_8132" localSheetId="1">紅綠燈!#REF!</definedName>
    <definedName name="外部資料_8134" localSheetId="1">紅綠燈!#REF!</definedName>
    <definedName name="外部資料_8135" localSheetId="1">紅綠燈!#REF!</definedName>
    <definedName name="外部資料_8136" localSheetId="1">紅綠燈!#REF!</definedName>
    <definedName name="外部資料_8138" localSheetId="1">紅綠燈!#REF!</definedName>
    <definedName name="外部資料_8139" localSheetId="1">紅綠燈!#REF!</definedName>
    <definedName name="外部資料_814" localSheetId="14">評比系統!$T$1:$T$3</definedName>
    <definedName name="外部資料_8140" localSheetId="1">紅綠燈!#REF!</definedName>
    <definedName name="外部資料_8142" localSheetId="1">紅綠燈!#REF!</definedName>
    <definedName name="外部資料_8143" localSheetId="1">紅綠燈!#REF!</definedName>
    <definedName name="外部資料_8145" localSheetId="1">紅綠燈!#REF!</definedName>
    <definedName name="外部資料_8146" localSheetId="1">紅綠燈!#REF!</definedName>
    <definedName name="外部資料_8147" localSheetId="1">紅綠燈!#REF!</definedName>
    <definedName name="外部資料_8149" localSheetId="1">紅綠燈!#REF!</definedName>
    <definedName name="外部資料_815" localSheetId="14">評比系統!$T$1:$T$3</definedName>
    <definedName name="外部資料_8150" localSheetId="1">紅綠燈!#REF!</definedName>
    <definedName name="外部資料_8151" localSheetId="1">紅綠燈!#REF!</definedName>
    <definedName name="外部資料_8153" localSheetId="1">紅綠燈!#REF!</definedName>
    <definedName name="外部資料_8154" localSheetId="1">紅綠燈!#REF!</definedName>
    <definedName name="外部資料_8155" localSheetId="1">紅綠燈!#REF!</definedName>
    <definedName name="外部資料_8157" localSheetId="1">紅綠燈!#REF!</definedName>
    <definedName name="外部資料_8158" localSheetId="1">紅綠燈!#REF!</definedName>
    <definedName name="外部資料_8159" localSheetId="1">紅綠燈!#REF!</definedName>
    <definedName name="外部資料_816" localSheetId="14">評比系統!$T$1:$T$3</definedName>
    <definedName name="外部資料_8161" localSheetId="1">紅綠燈!#REF!</definedName>
    <definedName name="外部資料_8162" localSheetId="1">紅綠燈!#REF!</definedName>
    <definedName name="外部資料_8163" localSheetId="1">紅綠燈!#REF!</definedName>
    <definedName name="外部資料_8165" localSheetId="1">紅綠燈!#REF!</definedName>
    <definedName name="外部資料_8166" localSheetId="1">紅綠燈!#REF!</definedName>
    <definedName name="外部資料_8167" localSheetId="1">紅綠燈!#REF!</definedName>
    <definedName name="外部資料_8169" localSheetId="1">紅綠燈!#REF!</definedName>
    <definedName name="外部資料_817" localSheetId="14">評比系統!$T$1:$T$3</definedName>
    <definedName name="外部資料_8170" localSheetId="1">紅綠燈!#REF!</definedName>
    <definedName name="外部資料_8171" localSheetId="1">紅綠燈!#REF!</definedName>
    <definedName name="外部資料_8173" localSheetId="1">紅綠燈!#REF!</definedName>
    <definedName name="外部資料_8174" localSheetId="1">紅綠燈!#REF!</definedName>
    <definedName name="外部資料_8175" localSheetId="1">紅綠燈!#REF!</definedName>
    <definedName name="外部資料_8177" localSheetId="1">紅綠燈!#REF!</definedName>
    <definedName name="外部資料_8178" localSheetId="1">紅綠燈!#REF!</definedName>
    <definedName name="外部資料_8179" localSheetId="1">紅綠燈!#REF!</definedName>
    <definedName name="外部資料_818" localSheetId="14">評比系統!$T$1:$T$3</definedName>
    <definedName name="外部資料_8181" localSheetId="1">紅綠燈!#REF!</definedName>
    <definedName name="外部資料_8182" localSheetId="1">紅綠燈!#REF!</definedName>
    <definedName name="外部資料_8183" localSheetId="1">紅綠燈!#REF!</definedName>
    <definedName name="外部資料_8185" localSheetId="1">紅綠燈!#REF!</definedName>
    <definedName name="外部資料_8186" localSheetId="1">紅綠燈!#REF!</definedName>
    <definedName name="外部資料_8187" localSheetId="1">紅綠燈!#REF!</definedName>
    <definedName name="外部資料_819" localSheetId="14">評比系統!$T$1:$T$3</definedName>
    <definedName name="外部資料_82" localSheetId="16">PKA!#REF!</definedName>
    <definedName name="外部資料_82" localSheetId="17">PKB!#REF!</definedName>
    <definedName name="外部資料_82" localSheetId="18">PKC!#REF!</definedName>
    <definedName name="外部資料_82" localSheetId="9">PSR!#REF!</definedName>
    <definedName name="外部資料_82" localSheetId="4">公司債!#REF!</definedName>
    <definedName name="外部資料_82" localSheetId="14">評比系統!$T$1:$T$3</definedName>
    <definedName name="外部資料_82" localSheetId="7">營收搶先報!#REF!</definedName>
    <definedName name="外部資料_820" localSheetId="14">評比系統!$T$1:$T$3</definedName>
    <definedName name="外部資料_821" localSheetId="14">評比系統!$T$1:$T$3</definedName>
    <definedName name="外部資料_822" localSheetId="14">評比系統!$T$1:$T$3</definedName>
    <definedName name="外部資料_823" localSheetId="14">評比系統!$T$1:$T$3</definedName>
    <definedName name="外部資料_824" localSheetId="14">評比系統!$T$1:$T$3</definedName>
    <definedName name="外部資料_825" localSheetId="14">評比系統!$T$1:$T$3</definedName>
    <definedName name="外部資料_826" localSheetId="14">評比系統!$T$1:$T$3</definedName>
    <definedName name="外部資料_827" localSheetId="14">評比系統!$T$1:$T$3</definedName>
    <definedName name="外部資料_828" localSheetId="14">評比系統!$T$1:$T$3</definedName>
    <definedName name="外部資料_829" localSheetId="14">評比系統!$T$1:$T$3</definedName>
    <definedName name="外部資料_83" localSheetId="16">PKA!#REF!</definedName>
    <definedName name="外部資料_83" localSheetId="17">PKB!#REF!</definedName>
    <definedName name="外部資料_83" localSheetId="18">PKC!#REF!</definedName>
    <definedName name="外部資料_83" localSheetId="9">PSR!#REF!</definedName>
    <definedName name="外部資料_83" localSheetId="4">公司債!#REF!</definedName>
    <definedName name="外部資料_83" localSheetId="14">評比系統!$T$1:$T$3</definedName>
    <definedName name="外部資料_83" localSheetId="5">篩股系統!#REF!</definedName>
    <definedName name="外部資料_83" localSheetId="7">營收搶先報!#REF!</definedName>
    <definedName name="外部資料_830" localSheetId="14">評比系統!$T$1:$T$3</definedName>
    <definedName name="外部資料_831" localSheetId="14">評比系統!$T$1:$T$3</definedName>
    <definedName name="外部資料_832" localSheetId="14">評比系統!$T$1:$T$3</definedName>
    <definedName name="外部資料_833" localSheetId="14">評比系統!$T$1:$T$3</definedName>
    <definedName name="外部資料_834" localSheetId="14">評比系統!$T$1:$T$3</definedName>
    <definedName name="外部資料_835" localSheetId="14">評比系統!$T$1:$T$3</definedName>
    <definedName name="外部資料_836" localSheetId="14">評比系統!$T$1:$T$3</definedName>
    <definedName name="外部資料_837" localSheetId="14">評比系統!$T$1:$T$3</definedName>
    <definedName name="外部資料_838" localSheetId="14">評比系統!$T$1:$T$3</definedName>
    <definedName name="外部資料_839" localSheetId="14">評比系統!$T$1:$T$3</definedName>
    <definedName name="外部資料_84" localSheetId="16">PKA!#REF!</definedName>
    <definedName name="外部資料_84" localSheetId="17">PKB!#REF!</definedName>
    <definedName name="外部資料_84" localSheetId="18">PKC!#REF!</definedName>
    <definedName name="外部資料_84" localSheetId="9">PSR!#REF!</definedName>
    <definedName name="外部資料_84" localSheetId="4">公司債!#REF!</definedName>
    <definedName name="外部資料_84" localSheetId="14">評比系統!$T$1:$T$3</definedName>
    <definedName name="外部資料_84" localSheetId="7">營收搶先報!#REF!</definedName>
    <definedName name="外部資料_840" localSheetId="14">評比系統!$T$1:$T$3</definedName>
    <definedName name="外部資料_841" localSheetId="14">評比系統!$T$1:$T$3</definedName>
    <definedName name="外部資料_842" localSheetId="14">評比系統!$T$1:$T$3</definedName>
    <definedName name="外部資料_843" localSheetId="14">評比系統!$T$1:$T$3</definedName>
    <definedName name="外部資料_844" localSheetId="14">評比系統!$T$1:$T$3</definedName>
    <definedName name="外部資料_845" localSheetId="14">評比系統!$T$1:$T$3</definedName>
    <definedName name="外部資料_846" localSheetId="14">評比系統!$T$1:$T$3</definedName>
    <definedName name="外部資料_847" localSheetId="14">評比系統!$T$1:$T$3</definedName>
    <definedName name="外部資料_848" localSheetId="14">評比系統!$T$1:$T$3</definedName>
    <definedName name="外部資料_849" localSheetId="14">評比系統!$T$1:$T$3</definedName>
    <definedName name="外部資料_85" localSheetId="16">PKA!#REF!</definedName>
    <definedName name="外部資料_85" localSheetId="17">PKB!#REF!</definedName>
    <definedName name="外部資料_85" localSheetId="18">PKC!#REF!</definedName>
    <definedName name="外部資料_85" localSheetId="9">PSR!#REF!</definedName>
    <definedName name="外部資料_85" localSheetId="4">公司債!#REF!</definedName>
    <definedName name="外部資料_85" localSheetId="14">評比系統!$T$1:$T$3</definedName>
    <definedName name="外部資料_85" localSheetId="7">營收搶先報!#REF!</definedName>
    <definedName name="外部資料_850" localSheetId="14">評比系統!$T$1:$T$3</definedName>
    <definedName name="外部資料_851" localSheetId="14">評比系統!$T$1:$T$3</definedName>
    <definedName name="外部資料_852" localSheetId="14">評比系統!$T$1:$T$3</definedName>
    <definedName name="外部資料_853" localSheetId="14">評比系統!$T$1:$T$3</definedName>
    <definedName name="外部資料_854" localSheetId="14">評比系統!$T$1:$T$3</definedName>
    <definedName name="外部資料_855" localSheetId="14">評比系統!$T$1:$T$3</definedName>
    <definedName name="外部資料_856" localSheetId="14">評比系統!$T$1:$T$3</definedName>
    <definedName name="外部資料_857" localSheetId="14">評比系統!$T$1:$T$3</definedName>
    <definedName name="外部資料_858" localSheetId="14">評比系統!$T$1:$T$3</definedName>
    <definedName name="外部資料_859" localSheetId="14">評比系統!$T$1:$T$3</definedName>
    <definedName name="外部資料_86" localSheetId="16">PKA!#REF!</definedName>
    <definedName name="外部資料_86" localSheetId="17">PKB!#REF!</definedName>
    <definedName name="外部資料_86" localSheetId="18">PKC!#REF!</definedName>
    <definedName name="外部資料_86" localSheetId="9">PSR!#REF!</definedName>
    <definedName name="外部資料_86" localSheetId="4">公司債!#REF!</definedName>
    <definedName name="外部資料_86" localSheetId="14">評比系統!$T$1:$T$3</definedName>
    <definedName name="外部資料_86" localSheetId="7">營收搶先報!#REF!</definedName>
    <definedName name="外部資料_860" localSheetId="14">評比系統!$T$1:$T$3</definedName>
    <definedName name="外部資料_861" localSheetId="14">評比系統!$T$1:$T$3</definedName>
    <definedName name="外部資料_862" localSheetId="14">評比系統!$T$1:$T$3</definedName>
    <definedName name="外部資料_863" localSheetId="14">評比系統!$T$1:$T$3</definedName>
    <definedName name="外部資料_864" localSheetId="14">評比系統!$T$1:$T$3</definedName>
    <definedName name="外部資料_865" localSheetId="14">評比系統!$T$1:$T$3</definedName>
    <definedName name="外部資料_866" localSheetId="14">評比系統!$T$1:$T$3</definedName>
    <definedName name="外部資料_867" localSheetId="14">評比系統!$T$1:$T$3</definedName>
    <definedName name="外部資料_868" localSheetId="14">評比系統!$T$1:$T$3</definedName>
    <definedName name="外部資料_869" localSheetId="14">評比系統!$T$1:$T$3</definedName>
    <definedName name="外部資料_87" localSheetId="16">PKA!#REF!</definedName>
    <definedName name="外部資料_87" localSheetId="17">PKB!#REF!</definedName>
    <definedName name="外部資料_87" localSheetId="18">PKC!#REF!</definedName>
    <definedName name="外部資料_87" localSheetId="9">PSR!#REF!</definedName>
    <definedName name="外部資料_87" localSheetId="4">公司債!#REF!</definedName>
    <definedName name="外部資料_87" localSheetId="14">評比系統!$T$1:$T$3</definedName>
    <definedName name="外部資料_87" localSheetId="7">營收搶先報!#REF!</definedName>
    <definedName name="外部資料_870" localSheetId="14">評比系統!$T$1:$T$3</definedName>
    <definedName name="外部資料_871" localSheetId="14">評比系統!$T$1:$T$3</definedName>
    <definedName name="外部資料_872" localSheetId="14">評比系統!$T$1:$T$3</definedName>
    <definedName name="外部資料_873" localSheetId="14">評比系統!$T$1:$T$3</definedName>
    <definedName name="外部資料_874" localSheetId="14">評比系統!$T$1:$T$3</definedName>
    <definedName name="外部資料_875" localSheetId="14">評比系統!$T$1:$T$3</definedName>
    <definedName name="外部資料_876" localSheetId="14">評比系統!$T$1:$T$3</definedName>
    <definedName name="外部資料_877" localSheetId="14">評比系統!$T$1:$T$3</definedName>
    <definedName name="外部資料_878" localSheetId="14">評比系統!$T$1:$T$3</definedName>
    <definedName name="外部資料_879" localSheetId="14">評比系統!$T$1:$T$3</definedName>
    <definedName name="外部資料_88" localSheetId="16">PKA!#REF!</definedName>
    <definedName name="外部資料_88" localSheetId="17">PKB!#REF!</definedName>
    <definedName name="外部資料_88" localSheetId="18">PKC!#REF!</definedName>
    <definedName name="外部資料_88" localSheetId="9">PSR!#REF!</definedName>
    <definedName name="外部資料_88" localSheetId="4">公司債!#REF!</definedName>
    <definedName name="外部資料_88" localSheetId="14">評比系統!$T$1:$T$3</definedName>
    <definedName name="外部資料_88" localSheetId="7">營收搶先報!#REF!</definedName>
    <definedName name="外部資料_880" localSheetId="14">評比系統!$T$1:$T$3</definedName>
    <definedName name="外部資料_881" localSheetId="14">評比系統!$T$1:$T$3</definedName>
    <definedName name="外部資料_882" localSheetId="14">評比系統!$T$1:$T$3</definedName>
    <definedName name="外部資料_883" localSheetId="14">評比系統!$T$1:$T$3</definedName>
    <definedName name="外部資料_884" localSheetId="14">評比系統!$T$1:$T$3</definedName>
    <definedName name="外部資料_885" localSheetId="14">評比系統!$T$1:$T$3</definedName>
    <definedName name="外部資料_886" localSheetId="14">評比系統!$T$1:$T$3</definedName>
    <definedName name="外部資料_887" localSheetId="14">評比系統!$T$1:$T$3</definedName>
    <definedName name="外部資料_888" localSheetId="14">評比系統!$T$1:$T$3</definedName>
    <definedName name="外部資料_889" localSheetId="14">評比系統!$T$1:$T$3</definedName>
    <definedName name="外部資料_89" localSheetId="16">PKA!#REF!</definedName>
    <definedName name="外部資料_89" localSheetId="17">PKB!#REF!</definedName>
    <definedName name="外部資料_89" localSheetId="18">PKC!#REF!</definedName>
    <definedName name="外部資料_89" localSheetId="9">PSR!#REF!</definedName>
    <definedName name="外部資料_89" localSheetId="4">公司債!#REF!</definedName>
    <definedName name="外部資料_89" localSheetId="14">評比系統!$T$1:$T$3</definedName>
    <definedName name="外部資料_89" localSheetId="7">營收搶先報!#REF!</definedName>
    <definedName name="外部資料_890" localSheetId="14">評比系統!$T$1:$T$3</definedName>
    <definedName name="外部資料_891" localSheetId="14">評比系統!$T$1:$T$3</definedName>
    <definedName name="外部資料_892" localSheetId="14">評比系統!$T$1:$T$3</definedName>
    <definedName name="外部資料_893" localSheetId="14">評比系統!$T$1:$T$3</definedName>
    <definedName name="外部資料_894" localSheetId="14">評比系統!$T$1:$T$3</definedName>
    <definedName name="外部資料_895" localSheetId="14">評比系統!$T$1:$T$3</definedName>
    <definedName name="外部資料_896" localSheetId="14">評比系統!$T$1:$T$3</definedName>
    <definedName name="外部資料_897" localSheetId="14">評比系統!$T$1:$T$3</definedName>
    <definedName name="外部資料_898" localSheetId="14">評比系統!$T$1:$T$3</definedName>
    <definedName name="外部資料_899" localSheetId="14">評比系統!$T$1:$T$3</definedName>
    <definedName name="外部資料_9" localSheetId="16">PKA!#REF!</definedName>
    <definedName name="外部資料_9" localSheetId="17">PKB!#REF!</definedName>
    <definedName name="外部資料_9" localSheetId="18">PKC!#REF!</definedName>
    <definedName name="外部資料_9" localSheetId="9">PSR!#REF!</definedName>
    <definedName name="外部資料_9" localSheetId="4">公司債!#REF!</definedName>
    <definedName name="外部資料_9" localSheetId="1">紅綠燈!#REF!</definedName>
    <definedName name="外部資料_9" localSheetId="14">評比系統!#REF!</definedName>
    <definedName name="外部資料_9" localSheetId="5">篩股系統!#REF!</definedName>
    <definedName name="外部資料_9" localSheetId="7">營收搶先報!#REF!</definedName>
    <definedName name="外部資料_90" localSheetId="16">PKA!#REF!</definedName>
    <definedName name="外部資料_90" localSheetId="17">PKB!#REF!</definedName>
    <definedName name="外部資料_90" localSheetId="18">PKC!#REF!</definedName>
    <definedName name="外部資料_90" localSheetId="9">PSR!#REF!</definedName>
    <definedName name="外部資料_90" localSheetId="4">公司債!#REF!</definedName>
    <definedName name="外部資料_90" localSheetId="14">評比系統!$T$1:$T$3</definedName>
    <definedName name="外部資料_90" localSheetId="7">營收搶先報!#REF!</definedName>
    <definedName name="外部資料_900" localSheetId="14">評比系統!$T$1:$T$3</definedName>
    <definedName name="外部資料_901" localSheetId="14">評比系統!$T$1:$T$3</definedName>
    <definedName name="外部資料_902" localSheetId="14">評比系統!$T$1:$T$3</definedName>
    <definedName name="外部資料_903" localSheetId="14">評比系統!$T$1:$T$3</definedName>
    <definedName name="外部資料_904" localSheetId="14">評比系統!$T$1:$T$3</definedName>
    <definedName name="外部資料_905" localSheetId="14">評比系統!$T$1:$T$3</definedName>
    <definedName name="外部資料_906" localSheetId="14">評比系統!$T$1:$T$3</definedName>
    <definedName name="外部資料_907" localSheetId="14">評比系統!$T$1:$T$3</definedName>
    <definedName name="外部資料_908" localSheetId="14">評比系統!$T$1:$T$3</definedName>
    <definedName name="外部資料_909" localSheetId="14">評比系統!$T$1:$T$3</definedName>
    <definedName name="外部資料_91" localSheetId="16">PKA!#REF!</definedName>
    <definedName name="外部資料_91" localSheetId="17">PKB!#REF!</definedName>
    <definedName name="外部資料_91" localSheetId="18">PKC!#REF!</definedName>
    <definedName name="外部資料_91" localSheetId="9">PSR!#REF!</definedName>
    <definedName name="外部資料_91" localSheetId="4">公司債!#REF!</definedName>
    <definedName name="外部資料_91" localSheetId="14">評比系統!$T$1:$T$3</definedName>
    <definedName name="外部資料_91" localSheetId="7">營收搶先報!#REF!</definedName>
    <definedName name="外部資料_910" localSheetId="14">評比系統!$T$1:$T$3</definedName>
    <definedName name="外部資料_911" localSheetId="14">評比系統!$T$1:$T$3</definedName>
    <definedName name="外部資料_912" localSheetId="14">評比系統!$T$1:$T$3</definedName>
    <definedName name="外部資料_913" localSheetId="14">評比系統!$T$1:$T$3</definedName>
    <definedName name="外部資料_914" localSheetId="14">評比系統!$T$1:$T$3</definedName>
    <definedName name="外部資料_915" localSheetId="14">評比系統!$T$1:$T$3</definedName>
    <definedName name="外部資料_916" localSheetId="14">評比系統!$T$1:$T$3</definedName>
    <definedName name="外部資料_917" localSheetId="14">評比系統!$T$1:$T$3</definedName>
    <definedName name="外部資料_918" localSheetId="14">評比系統!$T$1:$T$3</definedName>
    <definedName name="外部資料_919" localSheetId="14">評比系統!$T$1:$T$3</definedName>
    <definedName name="外部資料_92" localSheetId="16">PKA!#REF!</definedName>
    <definedName name="外部資料_92" localSheetId="17">PKB!#REF!</definedName>
    <definedName name="外部資料_92" localSheetId="18">PKC!#REF!</definedName>
    <definedName name="外部資料_92" localSheetId="9">PSR!#REF!</definedName>
    <definedName name="外部資料_92" localSheetId="4">公司債!#REF!</definedName>
    <definedName name="外部資料_92" localSheetId="14">評比系統!$T$1:$T$3</definedName>
    <definedName name="外部資料_92" localSheetId="7">營收搶先報!#REF!</definedName>
    <definedName name="外部資料_920" localSheetId="14">評比系統!$T$1:$T$3</definedName>
    <definedName name="外部資料_921" localSheetId="14">評比系統!$T$1:$T$3</definedName>
    <definedName name="外部資料_922" localSheetId="14">評比系統!$T$1:$T$3</definedName>
    <definedName name="外部資料_923" localSheetId="14">評比系統!$T$1:$T$3</definedName>
    <definedName name="外部資料_924" localSheetId="14">評比系統!$T$1:$T$3</definedName>
    <definedName name="外部資料_925" localSheetId="14">評比系統!$T$1:$T$3</definedName>
    <definedName name="外部資料_926" localSheetId="14">評比系統!$T$1:$T$3</definedName>
    <definedName name="外部資料_927" localSheetId="14">評比系統!$T$1:$T$3</definedName>
    <definedName name="外部資料_928" localSheetId="14">評比系統!$T$1:$T$3</definedName>
    <definedName name="外部資料_929" localSheetId="14">評比系統!$T$1:$T$3</definedName>
    <definedName name="外部資料_93" localSheetId="16">PKA!#REF!</definedName>
    <definedName name="外部資料_93" localSheetId="17">PKB!#REF!</definedName>
    <definedName name="外部資料_93" localSheetId="18">PKC!#REF!</definedName>
    <definedName name="外部資料_93" localSheetId="9">PSR!#REF!</definedName>
    <definedName name="外部資料_93" localSheetId="4">公司債!#REF!</definedName>
    <definedName name="外部資料_93" localSheetId="14">評比系統!$T$1:$T$3</definedName>
    <definedName name="外部資料_93" localSheetId="7">營收搶先報!#REF!</definedName>
    <definedName name="外部資料_930" localSheetId="14">評比系統!$T$1:$T$3</definedName>
    <definedName name="外部資料_931" localSheetId="14">評比系統!$T$1:$T$3</definedName>
    <definedName name="外部資料_932" localSheetId="14">評比系統!$T$1:$T$3</definedName>
    <definedName name="外部資料_933" localSheetId="14">評比系統!$T$1:$T$3</definedName>
    <definedName name="外部資料_934" localSheetId="14">評比系統!$T$1:$T$3</definedName>
    <definedName name="外部資料_935" localSheetId="14">評比系統!$T$1:$T$3</definedName>
    <definedName name="外部資料_936" localSheetId="14">評比系統!$T$1:$T$3</definedName>
    <definedName name="外部資料_937" localSheetId="14">評比系統!$T$1:$T$3</definedName>
    <definedName name="外部資料_938" localSheetId="14">評比系統!$T$1:$T$3</definedName>
    <definedName name="外部資料_939" localSheetId="14">評比系統!$T$1:$T$3</definedName>
    <definedName name="外部資料_94" localSheetId="16">PKA!#REF!</definedName>
    <definedName name="外部資料_94" localSheetId="17">PKB!#REF!</definedName>
    <definedName name="外部資料_94" localSheetId="18">PKC!#REF!</definedName>
    <definedName name="外部資料_94" localSheetId="9">PSR!#REF!</definedName>
    <definedName name="外部資料_94" localSheetId="4">公司債!#REF!</definedName>
    <definedName name="外部資料_94" localSheetId="14">評比系統!$T$1:$T$3</definedName>
    <definedName name="外部資料_94" localSheetId="7">營收搶先報!#REF!</definedName>
    <definedName name="外部資料_940" localSheetId="14">評比系統!$T$1:$T$3</definedName>
    <definedName name="外部資料_941" localSheetId="14">評比系統!$T$1:$T$3</definedName>
    <definedName name="外部資料_942" localSheetId="14">評比系統!$T$1:$T$3</definedName>
    <definedName name="外部資料_943" localSheetId="14">評比系統!$T$1:$T$3</definedName>
    <definedName name="外部資料_944" localSheetId="14">評比系統!$T$1:$T$3</definedName>
    <definedName name="外部資料_945" localSheetId="14">評比系統!$T$1:$T$3</definedName>
    <definedName name="外部資料_946" localSheetId="14">評比系統!$T$1:$T$3</definedName>
    <definedName name="外部資料_947" localSheetId="14">評比系統!$T$1:$T$3</definedName>
    <definedName name="外部資料_948" localSheetId="14">評比系統!$T$1:$T$3</definedName>
    <definedName name="外部資料_949" localSheetId="14">評比系統!$T$1:$T$3</definedName>
    <definedName name="外部資料_95" localSheetId="16">PKA!#REF!</definedName>
    <definedName name="外部資料_95" localSheetId="17">PKB!#REF!</definedName>
    <definedName name="外部資料_95" localSheetId="18">PKC!#REF!</definedName>
    <definedName name="外部資料_95" localSheetId="9">PSR!#REF!</definedName>
    <definedName name="外部資料_95" localSheetId="4">公司債!#REF!</definedName>
    <definedName name="外部資料_95" localSheetId="14">評比系統!$T$1:$T$3</definedName>
    <definedName name="外部資料_95" localSheetId="7">營收搶先報!#REF!</definedName>
    <definedName name="外部資料_950" localSheetId="14">評比系統!$T$1:$T$3</definedName>
    <definedName name="外部資料_951" localSheetId="14">評比系統!$T$1:$T$3</definedName>
    <definedName name="外部資料_952" localSheetId="14">評比系統!$T$1:$T$3</definedName>
    <definedName name="外部資料_953" localSheetId="14">評比系統!$T$1:$T$3</definedName>
    <definedName name="外部資料_954" localSheetId="14">評比系統!$T$1:$T$3</definedName>
    <definedName name="外部資料_955" localSheetId="14">評比系統!$T$1:$T$3</definedName>
    <definedName name="外部資料_956" localSheetId="14">評比系統!$T$1:$T$3</definedName>
    <definedName name="外部資料_957" localSheetId="14">評比系統!$T$1:$T$3</definedName>
    <definedName name="外部資料_958" localSheetId="14">評比系統!$T$1:$T$3</definedName>
    <definedName name="外部資料_959" localSheetId="14">評比系統!$T$1:$T$3</definedName>
    <definedName name="外部資料_96" localSheetId="16">PKA!#REF!</definedName>
    <definedName name="外部資料_96" localSheetId="17">PKB!#REF!</definedName>
    <definedName name="外部資料_96" localSheetId="18">PKC!#REF!</definedName>
    <definedName name="外部資料_96" localSheetId="9">PSR!#REF!</definedName>
    <definedName name="外部資料_96" localSheetId="4">公司債!#REF!</definedName>
    <definedName name="外部資料_96" localSheetId="14">評比系統!$T$1:$T$3</definedName>
    <definedName name="外部資料_96" localSheetId="7">營收搶先報!#REF!</definedName>
    <definedName name="外部資料_960" localSheetId="14">評比系統!$T$1:$T$3</definedName>
    <definedName name="外部資料_961" localSheetId="14">評比系統!$T$1:$T$3</definedName>
    <definedName name="外部資料_962" localSheetId="14">評比系統!$T$1:$T$3</definedName>
    <definedName name="外部資料_963" localSheetId="14">評比系統!$T$1:$T$3</definedName>
    <definedName name="外部資料_964" localSheetId="14">評比系統!$T$1:$T$3</definedName>
    <definedName name="外部資料_965" localSheetId="14">評比系統!$T$1:$T$3</definedName>
    <definedName name="外部資料_966" localSheetId="14">評比系統!$T$1:$T$3</definedName>
    <definedName name="外部資料_967" localSheetId="14">評比系統!$T$1:$T$3</definedName>
    <definedName name="外部資料_968" localSheetId="14">評比系統!$T$1:$T$3</definedName>
    <definedName name="外部資料_969" localSheetId="14">評比系統!$T$1:$T$3</definedName>
    <definedName name="外部資料_97" localSheetId="16">PKA!#REF!</definedName>
    <definedName name="外部資料_97" localSheetId="17">PKB!#REF!</definedName>
    <definedName name="外部資料_97" localSheetId="18">PKC!#REF!</definedName>
    <definedName name="外部資料_97" localSheetId="9">PSR!#REF!</definedName>
    <definedName name="外部資料_97" localSheetId="4">公司債!#REF!</definedName>
    <definedName name="外部資料_97" localSheetId="14">評比系統!$T$1:$T$3</definedName>
    <definedName name="外部資料_97" localSheetId="7">營收搶先報!#REF!</definedName>
    <definedName name="外部資料_970" localSheetId="14">評比系統!$T$1:$T$3</definedName>
    <definedName name="外部資料_971" localSheetId="14">評比系統!$T$1:$T$3</definedName>
    <definedName name="外部資料_972" localSheetId="14">評比系統!$T$1:$T$3</definedName>
    <definedName name="外部資料_973" localSheetId="14">評比系統!$T$1:$T$3</definedName>
    <definedName name="外部資料_974" localSheetId="14">評比系統!$T$1:$T$3</definedName>
    <definedName name="外部資料_975" localSheetId="14">評比系統!$T$1:$T$3</definedName>
    <definedName name="外部資料_976" localSheetId="14">評比系統!$T$1:$T$3</definedName>
    <definedName name="外部資料_977" localSheetId="14">評比系統!$T$1:$T$3</definedName>
    <definedName name="外部資料_978" localSheetId="14">評比系統!$T$1:$T$3</definedName>
    <definedName name="外部資料_979" localSheetId="14">評比系統!$T$1:$T$3</definedName>
    <definedName name="外部資料_98" localSheetId="16">PKA!#REF!</definedName>
    <definedName name="外部資料_98" localSheetId="17">PKB!#REF!</definedName>
    <definedName name="外部資料_98" localSheetId="18">PKC!#REF!</definedName>
    <definedName name="外部資料_98" localSheetId="9">PSR!#REF!</definedName>
    <definedName name="外部資料_98" localSheetId="4">公司債!#REF!</definedName>
    <definedName name="外部資料_98" localSheetId="14">評比系統!$T$1:$T$3</definedName>
    <definedName name="外部資料_98" localSheetId="7">營收搶先報!#REF!</definedName>
    <definedName name="外部資料_980" localSheetId="14">評比系統!$T$1:$T$3</definedName>
    <definedName name="外部資料_981" localSheetId="14">評比系統!$T$1:$T$3</definedName>
    <definedName name="外部資料_982" localSheetId="14">評比系統!$T$1:$T$3</definedName>
    <definedName name="外部資料_983" localSheetId="14">評比系統!$T$1:$T$3</definedName>
    <definedName name="外部資料_984" localSheetId="14">評比系統!$T$1:$T$3</definedName>
    <definedName name="外部資料_985" localSheetId="14">評比系統!$T$1:$T$3</definedName>
    <definedName name="外部資料_986" localSheetId="14">評比系統!$T$1:$T$3</definedName>
    <definedName name="外部資料_987" localSheetId="14">評比系統!$T$1:$T$3</definedName>
    <definedName name="外部資料_988" localSheetId="14">評比系統!$T$1:$T$3</definedName>
    <definedName name="外部資料_989" localSheetId="14">評比系統!$T$1:$T$3</definedName>
    <definedName name="外部資料_99" localSheetId="16">PKA!#REF!</definedName>
    <definedName name="外部資料_99" localSheetId="17">PKB!#REF!</definedName>
    <definedName name="外部資料_99" localSheetId="18">PKC!#REF!</definedName>
    <definedName name="外部資料_99" localSheetId="9">PSR!#REF!</definedName>
    <definedName name="外部資料_99" localSheetId="4">公司債!#REF!</definedName>
    <definedName name="外部資料_99" localSheetId="14">評比系統!$T$1:$T$3</definedName>
    <definedName name="外部資料_99" localSheetId="7">營收搶先報!#REF!</definedName>
    <definedName name="外部資料_990" localSheetId="14">評比系統!$T$1:$T$3</definedName>
    <definedName name="外部資料_991" localSheetId="14">評比系統!$T$1:$T$3</definedName>
    <definedName name="外部資料_992" localSheetId="14">評比系統!$T$1:$T$3</definedName>
    <definedName name="外部資料_993" localSheetId="14">評比系統!$T$1:$T$3</definedName>
    <definedName name="外部資料_994" localSheetId="14">評比系統!$T$1:$T$3</definedName>
    <definedName name="外部資料_995" localSheetId="14">評比系統!$T$1:$T$3</definedName>
    <definedName name="外部資料_996" localSheetId="14">評比系統!$T$1:$T$3</definedName>
    <definedName name="外部資料_997" localSheetId="14">評比系統!$T$1:$T$3</definedName>
    <definedName name="外部資料_998" localSheetId="14">評比系統!$T$1:$T$3</definedName>
    <definedName name="外部資料_999" localSheetId="14">評比系統!$T$1:$T$3</definedName>
    <definedName name="持股分佈" localSheetId="14">評比系統!$T$3</definedName>
    <definedName name="持股分佈_1" localSheetId="14">評比系統!#REF!</definedName>
    <definedName name="持股分佈_10" localSheetId="14">評比系統!#REF!</definedName>
    <definedName name="持股分佈_11" localSheetId="14">評比系統!$T$3</definedName>
    <definedName name="持股分佈_12" localSheetId="14">評比系統!#REF!</definedName>
    <definedName name="持股分佈_13" localSheetId="14">評比系統!#REF!</definedName>
    <definedName name="持股分佈_14" localSheetId="14">評比系統!$T$3</definedName>
    <definedName name="持股分佈_15" localSheetId="14">評比系統!#REF!</definedName>
    <definedName name="持股分佈_16" localSheetId="14">評比系統!#REF!</definedName>
    <definedName name="持股分佈_17" localSheetId="14">評比系統!$T$3</definedName>
    <definedName name="持股分佈_18" localSheetId="14">評比系統!#REF!</definedName>
    <definedName name="持股分佈_19" localSheetId="14">評比系統!#REF!</definedName>
    <definedName name="持股分佈_2" localSheetId="14">評比系統!#REF!</definedName>
    <definedName name="持股分佈_20" localSheetId="14">評比系統!$T$3</definedName>
    <definedName name="持股分佈_21" localSheetId="14">評比系統!#REF!</definedName>
    <definedName name="持股分佈_22" localSheetId="14">評比系統!#REF!</definedName>
    <definedName name="持股分佈_23" localSheetId="14">評比系統!$T$3</definedName>
    <definedName name="持股分佈_24" localSheetId="14">評比系統!#REF!</definedName>
    <definedName name="持股分佈_25" localSheetId="14">評比系統!#REF!</definedName>
    <definedName name="持股分佈_26" localSheetId="14">評比系統!$T$3</definedName>
    <definedName name="持股分佈_27" localSheetId="14">評比系統!#REF!</definedName>
    <definedName name="持股分佈_28" localSheetId="14">評比系統!#REF!</definedName>
    <definedName name="持股分佈_29" localSheetId="14">評比系統!$T$3</definedName>
    <definedName name="持股分佈_3" localSheetId="14">評比系統!#REF!</definedName>
    <definedName name="持股分佈_30" localSheetId="14">評比系統!#REF!</definedName>
    <definedName name="持股分佈_31" localSheetId="14">評比系統!#REF!</definedName>
    <definedName name="持股分佈_32" localSheetId="14">評比系統!$T$3</definedName>
    <definedName name="持股分佈_33" localSheetId="14">評比系統!#REF!</definedName>
    <definedName name="持股分佈_34" localSheetId="14">評比系統!#REF!</definedName>
    <definedName name="持股分佈_35" localSheetId="14">評比系統!$T$3</definedName>
    <definedName name="持股分佈_36" localSheetId="14">評比系統!#REF!</definedName>
    <definedName name="持股分佈_37" localSheetId="14">評比系統!#REF!</definedName>
    <definedName name="持股分佈_38" localSheetId="14">評比系統!$T$3</definedName>
    <definedName name="持股分佈_38" localSheetId="5">篩股系統!$H$2</definedName>
    <definedName name="持股分佈_39" localSheetId="14">評比系統!#REF!</definedName>
    <definedName name="持股分佈_4" localSheetId="14">評比系統!#REF!</definedName>
    <definedName name="持股分佈_40" localSheetId="14">評比系統!#REF!</definedName>
    <definedName name="持股分佈_41" localSheetId="14">評比系統!$T$3</definedName>
    <definedName name="持股分佈_42" localSheetId="14">評比系統!#REF!</definedName>
    <definedName name="持股分佈_43" localSheetId="14">評比系統!#REF!</definedName>
    <definedName name="持股分佈_44" localSheetId="14">評比系統!$T$3</definedName>
    <definedName name="持股分佈_45" localSheetId="14">評比系統!#REF!</definedName>
    <definedName name="持股分佈_46" localSheetId="14">評比系統!#REF!</definedName>
    <definedName name="持股分佈_47" localSheetId="14">評比系統!$T$3</definedName>
    <definedName name="持股分佈_48" localSheetId="14">評比系統!#REF!</definedName>
    <definedName name="持股分佈_49" localSheetId="14">評比系統!#REF!</definedName>
    <definedName name="持股分佈_5" localSheetId="14">評比系統!$T$3</definedName>
    <definedName name="持股分佈_50" localSheetId="14">評比系統!$T$3</definedName>
    <definedName name="持股分佈_51" localSheetId="14">評比系統!#REF!</definedName>
    <definedName name="持股分佈_52" localSheetId="14">評比系統!#REF!</definedName>
    <definedName name="持股分佈_53" localSheetId="14">評比系統!$T$3</definedName>
    <definedName name="持股分佈_54" localSheetId="14">評比系統!#REF!</definedName>
    <definedName name="持股分佈_55" localSheetId="14">評比系統!#REF!</definedName>
    <definedName name="持股分佈_56" localSheetId="14">評比系統!$T$3</definedName>
    <definedName name="持股分佈_57" localSheetId="14">評比系統!#REF!</definedName>
    <definedName name="持股分佈_58" localSheetId="14">評比系統!#REF!</definedName>
    <definedName name="持股分佈_59" localSheetId="14">評比系統!$T$3</definedName>
    <definedName name="持股分佈_6" localSheetId="14">評比系統!#REF!</definedName>
    <definedName name="持股分佈_60" localSheetId="14">評比系統!#REF!</definedName>
    <definedName name="持股分佈_61" localSheetId="14">評比系統!#REF!</definedName>
    <definedName name="持股分佈_62" localSheetId="14">評比系統!$T$3</definedName>
    <definedName name="持股分佈_63" localSheetId="14">評比系統!#REF!</definedName>
    <definedName name="持股分佈_64" localSheetId="14">評比系統!#REF!</definedName>
    <definedName name="持股分佈_65" localSheetId="14">評比系統!$T$3</definedName>
    <definedName name="持股分佈_66" localSheetId="14">評比系統!#REF!</definedName>
    <definedName name="持股分佈_67" localSheetId="14">評比系統!#REF!</definedName>
    <definedName name="持股分佈_68" localSheetId="14">評比系統!$T$3</definedName>
    <definedName name="持股分佈_69" localSheetId="14">評比系統!#REF!</definedName>
    <definedName name="持股分佈_7" localSheetId="14">評比系統!#REF!</definedName>
    <definedName name="持股分佈_70" localSheetId="14">評比系統!#REF!</definedName>
    <definedName name="持股分佈_71" localSheetId="14">評比系統!$T$3</definedName>
    <definedName name="持股分佈_72" localSheetId="14">評比系統!#REF!</definedName>
    <definedName name="持股分佈_73" localSheetId="14">評比系統!#REF!</definedName>
    <definedName name="持股分佈_74" localSheetId="14">評比系統!$T$3</definedName>
    <definedName name="持股分佈_75" localSheetId="14">評比系統!#REF!</definedName>
    <definedName name="持股分佈_76" localSheetId="14">評比系統!#REF!</definedName>
    <definedName name="持股分佈_77" localSheetId="14">評比系統!$T$3</definedName>
    <definedName name="持股分佈_78" localSheetId="14">評比系統!#REF!</definedName>
    <definedName name="持股分佈_79" localSheetId="14">評比系統!#REF!</definedName>
    <definedName name="持股分佈_8" localSheetId="14">評比系統!$T$3</definedName>
    <definedName name="持股分佈_80" localSheetId="14">評比系統!$T$3</definedName>
    <definedName name="持股分佈_81" localSheetId="14">評比系統!#REF!</definedName>
    <definedName name="持股分佈_82" localSheetId="14">評比系統!#REF!</definedName>
    <definedName name="持股分佈_83" localSheetId="14">評比系統!$T$3</definedName>
    <definedName name="持股分佈_84" localSheetId="14">評比系統!#REF!</definedName>
    <definedName name="持股分佈_85" localSheetId="14">評比系統!#REF!</definedName>
    <definedName name="持股分佈_86" localSheetId="14">評比系統!$T$3</definedName>
    <definedName name="持股分佈_87" localSheetId="14">評比系統!#REF!</definedName>
    <definedName name="持股分佈_88" localSheetId="14">評比系統!#REF!</definedName>
    <definedName name="持股分佈_89" localSheetId="14">評比系統!$T$3</definedName>
    <definedName name="持股分佈_9" localSheetId="14">評比系統!#REF!</definedName>
    <definedName name="持股分佈_90" localSheetId="14">評比系統!#REF!</definedName>
    <definedName name="國內上市" localSheetId="2">收盤價!$A$234:$B$918</definedName>
    <definedName name="國內上市_1" localSheetId="2">收盤價!#REF!</definedName>
    <definedName name="國內上市_10" localSheetId="2">收盤價!#REF!</definedName>
    <definedName name="國內上市_11" localSheetId="2">收盤價!#REF!</definedName>
    <definedName name="國內上市_12" localSheetId="2">收盤價!$A$2:$B$123</definedName>
    <definedName name="國內上市_13" localSheetId="2">收盤價!$A$2:$B$284</definedName>
    <definedName name="國內上市_14" localSheetId="2">收盤價!$A$2:$B$445</definedName>
    <definedName name="國內上市_15" localSheetId="2">收盤價!$A$2:$B$606</definedName>
    <definedName name="國內上市_16" localSheetId="2">收盤價!$A$80:$B$767</definedName>
    <definedName name="國內上市_17" localSheetId="2">收盤價!$A$397:$B$1086</definedName>
    <definedName name="國內上市_18" localSheetId="2">收盤價!$A$558:$B$1249</definedName>
    <definedName name="國內上市_19" localSheetId="2">收盤價!$A$719:$B$1412</definedName>
    <definedName name="國內上市_2" localSheetId="2">收盤價!#REF!</definedName>
    <definedName name="國內上市_20" localSheetId="2">收盤價!$A$880:$C$1575</definedName>
    <definedName name="國內上市_21" localSheetId="2">收盤價!$R$2:$AF$685</definedName>
    <definedName name="國內上市_22" localSheetId="2">收盤價!$R$2:$AF$685</definedName>
    <definedName name="國內上市_23" localSheetId="2">收盤價!$R$2:$AF$685</definedName>
    <definedName name="國內上市_24" localSheetId="2">收盤價!$R$2:$AF$686</definedName>
    <definedName name="國內上市_25" localSheetId="2">收盤價!$R$2:$AF$685</definedName>
    <definedName name="國內上市_26" localSheetId="2">收盤價!$R$2:$AF$686</definedName>
    <definedName name="國內上市_27" localSheetId="2">收盤價!$R$2:$AF$685</definedName>
    <definedName name="國內上市_28" localSheetId="2">收盤價!$R$2:$AF$685</definedName>
    <definedName name="國內上市_29" localSheetId="2">收盤價!$R$2:$AF$684</definedName>
    <definedName name="國內上市_3" localSheetId="2">收盤價!#REF!</definedName>
    <definedName name="國內上市_30" localSheetId="2">收盤價!$R$2:$AF$687</definedName>
    <definedName name="國內上市_31" localSheetId="2">收盤價!$R$2:$AF$687</definedName>
    <definedName name="國內上市_32" localSheetId="2">收盤價!$R$2:$AF$689</definedName>
    <definedName name="國內上市_33" localSheetId="2">收盤價!$R$2:$AF$689</definedName>
    <definedName name="國內上市_34" localSheetId="2">收盤價!$R$2:$AF$689</definedName>
    <definedName name="國內上市_35" localSheetId="2">收盤價!$R$2:$AF$689</definedName>
    <definedName name="國內上市_36" localSheetId="2">收盤價!$R$2:$AF$691</definedName>
    <definedName name="國內上市_37" localSheetId="2">收盤價!$R$2:$AF$691</definedName>
    <definedName name="國內上市_38" localSheetId="2">收盤價!$R$2:$AF$692</definedName>
    <definedName name="國內上市_39" localSheetId="2">收盤價!$R$2:$AF$691</definedName>
    <definedName name="國內上市_4" localSheetId="2">收盤價!#REF!</definedName>
    <definedName name="國內上市_40" localSheetId="2">收盤價!$R$2:$AF$694</definedName>
    <definedName name="國內上市_41" localSheetId="2">收盤價!$R$2:$AF$694</definedName>
    <definedName name="國內上市_42" localSheetId="2">收盤價!$R$2:$AF$702</definedName>
    <definedName name="國內上市_43" localSheetId="2">收盤價!$R$2:$AF$702</definedName>
    <definedName name="國內上市_44" localSheetId="2">收盤價!$R$2:$AF$702</definedName>
    <definedName name="國內上市_45" localSheetId="2">收盤價!$R$2:$AF$685</definedName>
    <definedName name="國內上市_46" localSheetId="2">收盤價!$R$2:$AF$685</definedName>
    <definedName name="國內上市_47" localSheetId="2">收盤價!$R$2:$AF$685</definedName>
    <definedName name="國內上市_48" localSheetId="2">收盤價!$R$2:$AF$685</definedName>
    <definedName name="國內上市_49" localSheetId="2">收盤價!$R$2:$AF$702</definedName>
    <definedName name="國內上市_5" localSheetId="2">收盤價!#REF!</definedName>
    <definedName name="國內上市_50" localSheetId="2">收盤價!$R$2:$AF$702</definedName>
    <definedName name="國內上市_51" localSheetId="2">收盤價!$R$2:$AF$702</definedName>
    <definedName name="國內上市_52" localSheetId="2">收盤價!$R$2:$AF$685</definedName>
    <definedName name="國內上市_53" localSheetId="2">收盤價!$R$2:$AF$702</definedName>
    <definedName name="國內上市_54" localSheetId="2">收盤價!$R$2:$AF$702</definedName>
    <definedName name="國內上市_55" localSheetId="2">收盤價!$R$2:$AF$702</definedName>
    <definedName name="國內上市_56" localSheetId="2">收盤價!$R$2:$AF$704</definedName>
    <definedName name="國內上市_57" localSheetId="2">收盤價!$R$2:$AF$712</definedName>
    <definedName name="國內上市_58" localSheetId="2">收盤價!$R$2:$AF$711</definedName>
    <definedName name="國內上市_59" localSheetId="2">收盤價!$R$2:$AF$711</definedName>
    <definedName name="國內上市_6" localSheetId="2">收盤價!#REF!</definedName>
    <definedName name="國內上市_60" localSheetId="2">收盤價!$R$3:$AF$719</definedName>
    <definedName name="國內上市_61" localSheetId="2">收盤價!$R$3:$AF$719</definedName>
    <definedName name="國內上市_62" localSheetId="2">收盤價!$R$3:$AF$719</definedName>
    <definedName name="國內上市_63" localSheetId="2">收盤價!$R$3</definedName>
    <definedName name="國內上市_64" localSheetId="2">收盤價!$R$3:$AF$719</definedName>
    <definedName name="國內上市_65" localSheetId="2">收盤價!$R$3:$AF$719</definedName>
    <definedName name="國內上市_66" localSheetId="2">收盤價!$R$3:$AF$721</definedName>
    <definedName name="國內上市_7" localSheetId="2">收盤價!#REF!</definedName>
    <definedName name="國內上市_8" localSheetId="2">收盤價!#REF!</definedName>
    <definedName name="國內上市_9" localSheetId="2">收盤價!#REF!</definedName>
  </definedNames>
  <calcPr calcId="152511"/>
</workbook>
</file>

<file path=xl/calcChain.xml><?xml version="1.0" encoding="utf-8"?>
<calcChain xmlns="http://schemas.openxmlformats.org/spreadsheetml/2006/main">
  <c r="AD10" i="1" l="1"/>
  <c r="AD9" i="1"/>
  <c r="AC10" i="1"/>
  <c r="AC9" i="1"/>
  <c r="AC8" i="1"/>
  <c r="V21" i="1"/>
  <c r="U21" i="1"/>
  <c r="T21" i="1"/>
  <c r="S21" i="1"/>
  <c r="R21" i="1"/>
  <c r="Q21" i="1"/>
  <c r="P21" i="1"/>
  <c r="O21" i="1"/>
  <c r="V20" i="1"/>
  <c r="U20" i="1"/>
  <c r="T20" i="1"/>
  <c r="S20" i="1"/>
  <c r="R20" i="1"/>
  <c r="Q20" i="1"/>
  <c r="P20" i="1"/>
  <c r="O20" i="1"/>
  <c r="V19" i="1"/>
  <c r="U19" i="1"/>
  <c r="T19" i="1"/>
  <c r="S19" i="1"/>
  <c r="R19" i="1"/>
  <c r="Q19" i="1"/>
  <c r="P19" i="1"/>
  <c r="O19" i="1"/>
  <c r="V18" i="1"/>
  <c r="U18" i="1"/>
  <c r="T18" i="1"/>
  <c r="S18" i="1"/>
  <c r="R18" i="1"/>
  <c r="Q18" i="1"/>
  <c r="P18" i="1"/>
  <c r="O18" i="1"/>
  <c r="V15" i="1"/>
  <c r="U15" i="1"/>
  <c r="T15" i="1"/>
  <c r="S15" i="1"/>
  <c r="R15" i="1"/>
  <c r="Q15" i="1"/>
  <c r="P15" i="1"/>
  <c r="O15" i="1"/>
  <c r="V14" i="1"/>
  <c r="U14" i="1"/>
  <c r="T14" i="1"/>
  <c r="S14" i="1"/>
  <c r="R14" i="1"/>
  <c r="Q14" i="1"/>
  <c r="P14" i="1"/>
  <c r="O14" i="1"/>
  <c r="V13" i="1"/>
  <c r="U13" i="1"/>
  <c r="T13" i="1"/>
  <c r="S13" i="1"/>
  <c r="R13" i="1"/>
  <c r="Q13" i="1"/>
  <c r="P13" i="1"/>
  <c r="O13" i="1"/>
  <c r="V12" i="1"/>
  <c r="U12" i="1"/>
  <c r="T12" i="1"/>
  <c r="S12" i="1"/>
  <c r="R12" i="1"/>
  <c r="Q12" i="1"/>
  <c r="P12" i="1"/>
  <c r="O12" i="1"/>
  <c r="V11" i="1"/>
  <c r="U11" i="1"/>
  <c r="T11" i="1"/>
  <c r="S11" i="1"/>
  <c r="R11" i="1"/>
  <c r="Q11" i="1"/>
  <c r="P11" i="1"/>
  <c r="O11" i="1"/>
  <c r="V10" i="1"/>
  <c r="U10" i="1"/>
  <c r="T10" i="1"/>
  <c r="S10" i="1"/>
  <c r="R10" i="1"/>
  <c r="Q10" i="1"/>
  <c r="P10" i="1"/>
  <c r="O10" i="1"/>
  <c r="V9" i="1"/>
  <c r="U9" i="1"/>
  <c r="T9" i="1"/>
  <c r="S9" i="1"/>
  <c r="R9" i="1"/>
  <c r="Q9" i="1"/>
  <c r="P9" i="1"/>
  <c r="O9" i="1"/>
  <c r="V8" i="1"/>
  <c r="U8" i="1"/>
  <c r="T8" i="1"/>
  <c r="S8" i="1"/>
  <c r="R8" i="1"/>
  <c r="Q8" i="1"/>
  <c r="P8" i="1"/>
  <c r="O8" i="1"/>
  <c r="V7" i="1"/>
  <c r="U7" i="1"/>
  <c r="T7" i="1"/>
  <c r="S7" i="1"/>
  <c r="R7" i="1"/>
  <c r="Q7" i="1"/>
  <c r="P7" i="1"/>
  <c r="O7" i="1"/>
  <c r="V6" i="1"/>
  <c r="U6" i="1"/>
  <c r="T6" i="1"/>
  <c r="S6" i="1"/>
  <c r="R6" i="1"/>
  <c r="Q6" i="1"/>
  <c r="P6" i="1"/>
  <c r="O6" i="1"/>
  <c r="V5" i="1"/>
  <c r="U5" i="1"/>
  <c r="T5" i="1"/>
  <c r="S5" i="1"/>
  <c r="R5" i="1"/>
  <c r="Q5" i="1"/>
  <c r="P5" i="1"/>
  <c r="O5" i="1"/>
  <c r="V4" i="1"/>
  <c r="U4" i="1"/>
  <c r="T4" i="1"/>
  <c r="S4" i="1"/>
  <c r="R4" i="1"/>
  <c r="Q4" i="1"/>
  <c r="P4" i="1"/>
  <c r="O4" i="1"/>
  <c r="V3" i="1"/>
  <c r="U3" i="1"/>
  <c r="T3" i="1"/>
  <c r="S3" i="1"/>
  <c r="R3" i="1"/>
  <c r="Q3" i="1"/>
  <c r="P3" i="1"/>
  <c r="O3" i="1"/>
  <c r="AJ4" i="1" l="1"/>
  <c r="AI4" i="1"/>
  <c r="AH4" i="1"/>
  <c r="AG4" i="1"/>
  <c r="AF4" i="1"/>
  <c r="R29" i="1" l="1"/>
  <c r="R30" i="1" s="1"/>
  <c r="R36" i="1"/>
  <c r="R34" i="1"/>
  <c r="R35" i="1" s="1"/>
  <c r="R25" i="1"/>
  <c r="R26" i="1"/>
  <c r="R23" i="1"/>
  <c r="S23" i="1"/>
  <c r="R27" i="1"/>
  <c r="R24" i="1"/>
  <c r="R22" i="1"/>
  <c r="R32" i="1"/>
  <c r="AK2" i="1"/>
  <c r="R31" i="1" l="1"/>
  <c r="R28" i="1"/>
  <c r="R37" i="1"/>
  <c r="R39" i="1" l="1"/>
  <c r="D1572" i="17"/>
  <c r="D1568" i="17"/>
  <c r="D1555" i="17"/>
  <c r="D1554" i="17"/>
  <c r="D1553" i="17"/>
  <c r="D168" i="17"/>
  <c r="D1486" i="17"/>
  <c r="D875" i="17"/>
  <c r="D475" i="17"/>
  <c r="D1552" i="17"/>
  <c r="D410" i="17"/>
  <c r="D1551" i="17"/>
  <c r="D1548" i="17"/>
  <c r="D1182" i="17"/>
  <c r="D1547" i="17"/>
  <c r="D1294" i="17"/>
  <c r="D1070" i="17"/>
  <c r="D1418" i="17"/>
  <c r="D1261" i="17"/>
  <c r="D894" i="17"/>
  <c r="D120" i="17"/>
  <c r="D1538" i="17"/>
  <c r="D1539" i="17"/>
  <c r="D1535" i="17"/>
  <c r="D1534" i="17"/>
  <c r="D1526" i="17"/>
  <c r="D1537" i="17"/>
  <c r="D1533" i="17"/>
  <c r="D1532" i="17"/>
  <c r="D1536" i="17"/>
  <c r="D1531" i="17"/>
  <c r="D1453" i="17"/>
  <c r="D1546" i="17"/>
  <c r="D1527" i="17"/>
  <c r="D1550" i="17"/>
  <c r="D1530" i="17"/>
  <c r="D1528" i="17"/>
  <c r="D1549" i="17"/>
  <c r="D1520" i="17"/>
  <c r="D1529" i="17"/>
  <c r="D1525" i="17"/>
  <c r="D1523" i="17"/>
  <c r="D1522" i="17"/>
  <c r="D1524" i="17"/>
  <c r="D1503" i="17"/>
  <c r="D1500" i="17"/>
  <c r="D1491" i="17"/>
  <c r="D1519" i="17"/>
  <c r="D1513" i="17"/>
  <c r="D1517" i="17"/>
  <c r="D1480" i="17"/>
  <c r="D1521" i="17"/>
  <c r="D1497" i="17"/>
  <c r="D1508" i="17"/>
  <c r="D1398" i="17"/>
  <c r="D1514" i="17"/>
  <c r="D1509" i="17"/>
  <c r="D1506" i="17"/>
  <c r="D1516" i="17"/>
  <c r="D1518" i="17"/>
  <c r="D1311" i="17"/>
  <c r="D1505" i="17"/>
  <c r="D1510" i="17"/>
  <c r="D1498" i="17"/>
  <c r="D1499" i="17"/>
  <c r="D1487" i="17"/>
  <c r="D1492" i="17"/>
  <c r="D1476" i="17"/>
  <c r="D1515" i="17"/>
  <c r="D1512" i="17"/>
  <c r="D1483" i="17"/>
  <c r="D1469" i="17"/>
  <c r="D1493" i="17"/>
  <c r="D1511" i="17"/>
  <c r="D1382" i="17"/>
  <c r="D1449" i="17"/>
  <c r="D1504" i="17"/>
  <c r="D1501" i="17"/>
  <c r="D1502" i="17"/>
  <c r="D1440" i="17"/>
  <c r="D1496" i="17"/>
  <c r="D1507" i="17"/>
  <c r="D1459" i="17"/>
  <c r="D1426" i="17"/>
  <c r="D1378" i="17"/>
  <c r="D1485" i="17"/>
  <c r="D1481" i="17"/>
  <c r="D1468" i="17"/>
  <c r="D1379" i="17"/>
  <c r="D1284" i="17"/>
  <c r="D1490" i="17"/>
  <c r="D1471" i="17"/>
  <c r="D1458" i="17"/>
  <c r="D1494" i="17"/>
  <c r="D1484" i="17"/>
  <c r="D1475" i="17"/>
  <c r="D1456" i="17"/>
  <c r="D1369" i="17"/>
  <c r="D1432" i="17"/>
  <c r="D1482" i="17"/>
  <c r="D1300" i="17"/>
  <c r="D1384" i="17"/>
  <c r="D1489" i="17"/>
  <c r="D1495" i="17"/>
  <c r="D1465" i="17"/>
  <c r="D1466" i="17"/>
  <c r="D1433" i="17"/>
  <c r="D1467" i="17"/>
  <c r="D1400" i="17"/>
  <c r="D1488" i="17"/>
  <c r="D1405" i="17"/>
  <c r="D1290" i="17"/>
  <c r="D1209" i="17"/>
  <c r="D1473" i="17"/>
  <c r="D1407" i="17"/>
  <c r="D1451" i="17"/>
  <c r="D1462" i="17"/>
  <c r="D1438" i="17"/>
  <c r="D1463" i="17"/>
  <c r="D1472" i="17"/>
  <c r="D1450" i="17"/>
  <c r="D1380" i="17"/>
  <c r="D1447" i="17"/>
  <c r="D1464" i="17"/>
  <c r="D1445" i="17"/>
  <c r="D1454" i="17"/>
  <c r="D1420" i="17"/>
  <c r="D1477" i="17"/>
  <c r="D525" i="17"/>
  <c r="D1356" i="17"/>
  <c r="D1437" i="17"/>
  <c r="D1446" i="17"/>
  <c r="D1470" i="17"/>
  <c r="D1448" i="17"/>
  <c r="D1394" i="17"/>
  <c r="D1417" i="17"/>
  <c r="D1474" i="17"/>
  <c r="D1416" i="17"/>
  <c r="D1410" i="17"/>
  <c r="D1444" i="17"/>
  <c r="D1441" i="17"/>
  <c r="D1457" i="17"/>
  <c r="D1337" i="17"/>
  <c r="D1424" i="17"/>
  <c r="D1460" i="17"/>
  <c r="D1409" i="17"/>
  <c r="D1397" i="17"/>
  <c r="D1017" i="17"/>
  <c r="D1461" i="17"/>
  <c r="D1282" i="17"/>
  <c r="D1403" i="17"/>
  <c r="D1479" i="17"/>
  <c r="D1325" i="17"/>
  <c r="D1478" i="17"/>
  <c r="D1306" i="17"/>
  <c r="D1360" i="17"/>
  <c r="D1372" i="17"/>
  <c r="D1434" i="17"/>
  <c r="D1406" i="17"/>
  <c r="D1341" i="17"/>
  <c r="D1295" i="17"/>
  <c r="D1390" i="17"/>
  <c r="D1455" i="17"/>
  <c r="D1353" i="17"/>
  <c r="D1396" i="17"/>
  <c r="D1395" i="17"/>
  <c r="D1443" i="17"/>
  <c r="D1219" i="17"/>
  <c r="D1408" i="17"/>
  <c r="D1323" i="17"/>
  <c r="D1413" i="17"/>
  <c r="D1392" i="17"/>
  <c r="D1425" i="17"/>
  <c r="D1404" i="17"/>
  <c r="D1293" i="17"/>
  <c r="D1358" i="17"/>
  <c r="D1104" i="17"/>
  <c r="D1442" i="17"/>
  <c r="D1452" i="17"/>
  <c r="D1199" i="17"/>
  <c r="D1421" i="17"/>
  <c r="D1419" i="17"/>
  <c r="D1364" i="17"/>
  <c r="D1415" i="17"/>
  <c r="D1389" i="17"/>
  <c r="D1350" i="17"/>
  <c r="D1226" i="17"/>
  <c r="D1267" i="17"/>
  <c r="D1335" i="17"/>
  <c r="D1427" i="17"/>
  <c r="D1422" i="17"/>
  <c r="D1439" i="17"/>
  <c r="D1401" i="17"/>
  <c r="D1338" i="17"/>
  <c r="D1386" i="17"/>
  <c r="D843" i="17"/>
  <c r="D1344" i="17"/>
  <c r="D1430" i="17"/>
  <c r="D1428" i="17"/>
  <c r="D1388" i="17"/>
  <c r="D1383" i="17"/>
  <c r="D1336" i="17"/>
  <c r="D1256" i="17"/>
  <c r="D1374" i="17"/>
  <c r="D1270" i="17"/>
  <c r="D1411" i="17"/>
  <c r="D1387" i="17"/>
  <c r="D1272" i="17"/>
  <c r="D1393" i="17"/>
  <c r="D1368" i="17"/>
  <c r="D1399" i="17"/>
  <c r="D1319" i="17"/>
  <c r="D1217" i="17"/>
  <c r="D1327" i="17"/>
  <c r="D1436" i="17"/>
  <c r="D1370" i="17"/>
  <c r="D1310" i="17"/>
  <c r="D1431" i="17"/>
  <c r="D1373" i="17"/>
  <c r="D1326" i="17"/>
  <c r="D1423" i="17"/>
  <c r="D1391" i="17"/>
  <c r="D1161" i="17"/>
  <c r="D1375" i="17"/>
  <c r="D1362" i="17"/>
  <c r="D1304" i="17"/>
  <c r="D1348" i="17"/>
  <c r="D1371" i="17"/>
  <c r="D1435" i="17"/>
  <c r="D1342" i="17"/>
  <c r="D1402" i="17"/>
  <c r="D1361" i="17"/>
  <c r="D1116" i="17"/>
  <c r="D1321" i="17"/>
  <c r="D1385" i="17"/>
  <c r="D1292" i="17"/>
  <c r="D1285" i="17"/>
  <c r="D1264" i="17"/>
  <c r="D1313" i="17"/>
  <c r="D1346" i="17"/>
  <c r="D1359" i="17"/>
  <c r="D1218" i="17"/>
  <c r="D1330" i="17"/>
  <c r="D1082" i="17"/>
  <c r="D1257" i="17"/>
  <c r="D1247" i="17"/>
  <c r="D1201" i="17"/>
  <c r="D1266" i="17"/>
  <c r="D1324" i="17"/>
  <c r="D1121" i="17"/>
  <c r="D1274" i="17"/>
  <c r="D1003" i="17"/>
  <c r="D1329" i="17"/>
  <c r="D1347" i="17"/>
  <c r="D1288" i="17"/>
  <c r="D1363" i="17"/>
  <c r="D1315" i="17"/>
  <c r="D1366" i="17"/>
  <c r="D1133" i="17"/>
  <c r="D1309" i="17"/>
  <c r="D1122" i="17"/>
  <c r="D1339" i="17"/>
  <c r="D1271" i="17"/>
  <c r="D1081" i="17"/>
  <c r="D1332" i="17"/>
  <c r="D1063" i="17"/>
  <c r="D1244" i="17"/>
  <c r="D1287" i="17"/>
  <c r="D1229" i="17"/>
  <c r="D1298" i="17"/>
  <c r="D1299" i="17"/>
  <c r="D1367" i="17"/>
  <c r="D1352" i="17"/>
  <c r="D1316" i="17"/>
  <c r="D466" i="17"/>
  <c r="D1545" i="17"/>
  <c r="D1377" i="17"/>
  <c r="D1328" i="17"/>
  <c r="D1114" i="17"/>
  <c r="D1318" i="17"/>
  <c r="D1351" i="17"/>
  <c r="D1236" i="17"/>
  <c r="D1412" i="17"/>
  <c r="D1303" i="17"/>
  <c r="D1376" i="17"/>
  <c r="D1381" i="17"/>
  <c r="D1414" i="17"/>
  <c r="D798" i="17"/>
  <c r="D1258" i="17"/>
  <c r="D1279" i="17"/>
  <c r="D1297" i="17"/>
  <c r="D1019" i="17"/>
  <c r="D1156" i="17"/>
  <c r="D1239" i="17"/>
  <c r="D1139" i="17"/>
  <c r="D1305" i="17"/>
  <c r="D817" i="17"/>
  <c r="D1183" i="17"/>
  <c r="D1355" i="17"/>
  <c r="D1231" i="17"/>
  <c r="D1128" i="17"/>
  <c r="D1301" i="17"/>
  <c r="D1340" i="17"/>
  <c r="D1253" i="17"/>
  <c r="D1025" i="17"/>
  <c r="D1251" i="17"/>
  <c r="D1191" i="17"/>
  <c r="D1170" i="17"/>
  <c r="D1320" i="17"/>
  <c r="D1254" i="17"/>
  <c r="D1317" i="17"/>
  <c r="D1277" i="17"/>
  <c r="D1235" i="17"/>
  <c r="D1223" i="17"/>
  <c r="D1365" i="17"/>
  <c r="D1345" i="17"/>
  <c r="D1322" i="17"/>
  <c r="D1224" i="17"/>
  <c r="D1357" i="17"/>
  <c r="D1343" i="17"/>
  <c r="D1140" i="17"/>
  <c r="D1204" i="17"/>
  <c r="D1165" i="17"/>
  <c r="D1308" i="17"/>
  <c r="D1246" i="17"/>
  <c r="D1291" i="17"/>
  <c r="D1241" i="17"/>
  <c r="D1176" i="17"/>
  <c r="D992" i="17"/>
  <c r="D1028" i="17"/>
  <c r="D1227" i="17"/>
  <c r="D1544" i="17"/>
  <c r="D815" i="17"/>
  <c r="D1278" i="17"/>
  <c r="D783" i="17"/>
  <c r="D1112" i="17"/>
  <c r="D1248" i="17"/>
  <c r="D1193" i="17"/>
  <c r="D926" i="17"/>
  <c r="D1237" i="17"/>
  <c r="D1265" i="17"/>
  <c r="D1120" i="17"/>
  <c r="D1268" i="17"/>
  <c r="D1215" i="17"/>
  <c r="D905" i="17"/>
  <c r="D982" i="17"/>
  <c r="D1221" i="17"/>
  <c r="D1333" i="17"/>
  <c r="D1289" i="17"/>
  <c r="D1189" i="17"/>
  <c r="D1149" i="17"/>
  <c r="D1232" i="17"/>
  <c r="D1135" i="17"/>
  <c r="D1216" i="17"/>
  <c r="D1026" i="17"/>
  <c r="D1262" i="17"/>
  <c r="D1213" i="17"/>
  <c r="D968" i="17"/>
  <c r="D1205" i="17"/>
  <c r="D1163" i="17"/>
  <c r="D1172" i="17"/>
  <c r="D1171" i="17"/>
  <c r="D1334" i="17"/>
  <c r="D1146" i="17"/>
  <c r="D767" i="17"/>
  <c r="D1240" i="17"/>
  <c r="D1137" i="17"/>
  <c r="D1115" i="17"/>
  <c r="D971" i="17"/>
  <c r="D1238" i="17"/>
  <c r="D1233" i="17"/>
  <c r="D916" i="17"/>
  <c r="D1331" i="17"/>
  <c r="D1280" i="17"/>
  <c r="D1286" i="17"/>
  <c r="D1071" i="17"/>
  <c r="D961" i="17"/>
  <c r="D1151" i="17"/>
  <c r="D1167" i="17"/>
  <c r="D1047" i="17"/>
  <c r="D1157" i="17"/>
  <c r="D1349" i="17"/>
  <c r="D771" i="17"/>
  <c r="D1250" i="17"/>
  <c r="D1197" i="17"/>
  <c r="D1273" i="17"/>
  <c r="D1153" i="17"/>
  <c r="D973" i="17"/>
  <c r="D1354" i="17"/>
  <c r="D1252" i="17"/>
  <c r="D903" i="17"/>
  <c r="D1178" i="17"/>
  <c r="D1043" i="17"/>
  <c r="D1059" i="17"/>
  <c r="D1086" i="17"/>
  <c r="D1099" i="17"/>
  <c r="D945" i="17"/>
  <c r="D1234" i="17"/>
  <c r="D1006" i="17"/>
  <c r="D1245" i="17"/>
  <c r="D1206" i="17"/>
  <c r="D602" i="17"/>
  <c r="D1110" i="17"/>
  <c r="D1002" i="17"/>
  <c r="D1269" i="17"/>
  <c r="D1202" i="17"/>
  <c r="D1230" i="17"/>
  <c r="D1179" i="17"/>
  <c r="D1222" i="17"/>
  <c r="D985" i="17"/>
  <c r="D1208" i="17"/>
  <c r="D1188" i="17"/>
  <c r="D1259" i="17"/>
  <c r="D1142" i="17"/>
  <c r="D1190" i="17"/>
  <c r="D1109" i="17"/>
  <c r="D1077" i="17"/>
  <c r="D1096" i="17"/>
  <c r="D1105" i="17"/>
  <c r="D1194" i="17"/>
  <c r="D1307" i="17"/>
  <c r="D1243" i="17"/>
  <c r="D1132" i="17"/>
  <c r="D332" i="17"/>
  <c r="D1275" i="17"/>
  <c r="D1296" i="17"/>
  <c r="D1148" i="17"/>
  <c r="D1429" i="17"/>
  <c r="D1260" i="17"/>
  <c r="D1263" i="17"/>
  <c r="D389" i="17"/>
  <c r="D1102" i="17"/>
  <c r="D952" i="17"/>
  <c r="D1255" i="17"/>
  <c r="D1074" i="17"/>
  <c r="D1283" i="17"/>
  <c r="D199" i="17"/>
  <c r="D1052" i="17"/>
  <c r="D1214" i="17"/>
  <c r="D1011" i="17"/>
  <c r="D1158" i="17"/>
  <c r="D1091" i="17"/>
  <c r="D1103" i="17"/>
  <c r="D587" i="17"/>
  <c r="D1276" i="17"/>
  <c r="D834" i="17"/>
  <c r="D1228" i="17"/>
  <c r="D1207" i="17"/>
  <c r="D1302" i="17"/>
  <c r="D1155" i="17"/>
  <c r="D1162" i="17"/>
  <c r="D1195" i="17"/>
  <c r="D1066" i="17"/>
  <c r="D1220" i="17"/>
  <c r="D744" i="17"/>
  <c r="D266" i="17"/>
  <c r="D1281" i="17"/>
  <c r="D986" i="17"/>
  <c r="D1164" i="17"/>
  <c r="D697" i="17"/>
  <c r="D1242" i="17"/>
  <c r="D1095" i="17"/>
  <c r="D194" i="17"/>
  <c r="D1027" i="17"/>
  <c r="D1041" i="17"/>
  <c r="D1111" i="17"/>
  <c r="D1175" i="17"/>
  <c r="D1130" i="17"/>
  <c r="D956" i="17"/>
  <c r="D1032" i="17"/>
  <c r="D1184" i="17"/>
  <c r="D1136" i="17"/>
  <c r="D910" i="17"/>
  <c r="D1200" i="17"/>
  <c r="D1030" i="17"/>
  <c r="D1177" i="17"/>
  <c r="D882" i="17"/>
  <c r="D1186" i="17"/>
  <c r="D972" i="17"/>
  <c r="D1106" i="17"/>
  <c r="D1051" i="17"/>
  <c r="D931" i="17"/>
  <c r="D976" i="17"/>
  <c r="D1126" i="17"/>
  <c r="D937" i="17"/>
  <c r="D1010" i="17"/>
  <c r="D1004" i="17"/>
  <c r="D1166" i="17"/>
  <c r="D1187" i="17"/>
  <c r="D671" i="17"/>
  <c r="D1312" i="17"/>
  <c r="D1144" i="17"/>
  <c r="D1084" i="17"/>
  <c r="D957" i="17"/>
  <c r="D1185" i="17"/>
  <c r="D833" i="17"/>
  <c r="D1088" i="17"/>
  <c r="D988" i="17"/>
  <c r="D1152" i="17"/>
  <c r="D1203" i="17"/>
  <c r="D1212" i="17"/>
  <c r="D928" i="17"/>
  <c r="D1145" i="17"/>
  <c r="D1092" i="17"/>
  <c r="D1033" i="17"/>
  <c r="D1065" i="17"/>
  <c r="D1117" i="17"/>
  <c r="D1210" i="17"/>
  <c r="D1078" i="17"/>
  <c r="D880" i="17"/>
  <c r="D1147" i="17"/>
  <c r="D706" i="17"/>
  <c r="D664" i="17"/>
  <c r="D960" i="17"/>
  <c r="D1159" i="17"/>
  <c r="D1127" i="17"/>
  <c r="D1037" i="17"/>
  <c r="D1141" i="17"/>
  <c r="D1198" i="17"/>
  <c r="D1080" i="17"/>
  <c r="D1055" i="17"/>
  <c r="D775" i="17"/>
  <c r="D1093" i="17"/>
  <c r="D1169" i="17"/>
  <c r="D949" i="17"/>
  <c r="D1072" i="17"/>
  <c r="D813" i="17"/>
  <c r="D1038" i="17"/>
  <c r="D936" i="17"/>
  <c r="D962" i="17"/>
  <c r="D1062" i="17"/>
  <c r="D888" i="17"/>
  <c r="D1123" i="17"/>
  <c r="D737" i="17"/>
  <c r="D1064" i="17"/>
  <c r="D1089" i="17"/>
  <c r="D1021" i="17"/>
  <c r="D650" i="17"/>
  <c r="D1168" i="17"/>
  <c r="D1053" i="17"/>
  <c r="D644" i="17"/>
  <c r="D803" i="17"/>
  <c r="D990" i="17"/>
  <c r="D639" i="17"/>
  <c r="D1097" i="17"/>
  <c r="D1049" i="17"/>
  <c r="D1035" i="17"/>
  <c r="D1160" i="17"/>
  <c r="D851" i="17"/>
  <c r="D1249" i="17"/>
  <c r="D1034" i="17"/>
  <c r="D922" i="17"/>
  <c r="D1225" i="17"/>
  <c r="D930" i="17"/>
  <c r="D979" i="17"/>
  <c r="D963" i="17"/>
  <c r="D1134" i="17"/>
  <c r="D1131" i="17"/>
  <c r="D1054" i="17"/>
  <c r="D977" i="17"/>
  <c r="D1100" i="17"/>
  <c r="D1036" i="17"/>
  <c r="D820" i="17"/>
  <c r="D1044" i="17"/>
  <c r="D1090" i="17"/>
  <c r="D1129" i="17"/>
  <c r="D998" i="17"/>
  <c r="D1108" i="17"/>
  <c r="D921" i="17"/>
  <c r="D1045" i="17"/>
  <c r="D1124" i="17"/>
  <c r="D912" i="17"/>
  <c r="D1196" i="17"/>
  <c r="D1060" i="17"/>
  <c r="D1076" i="17"/>
  <c r="D576" i="17"/>
  <c r="D1012" i="17"/>
  <c r="D1040" i="17"/>
  <c r="D1056" i="17"/>
  <c r="D1125" i="17"/>
  <c r="D1143" i="17"/>
  <c r="D528" i="17"/>
  <c r="D1150" i="17"/>
  <c r="D883" i="17"/>
  <c r="D1031" i="17"/>
  <c r="D1118" i="17"/>
  <c r="D997" i="17"/>
  <c r="D989" i="17"/>
  <c r="D1000" i="17"/>
  <c r="D765" i="17"/>
  <c r="D1098" i="17"/>
  <c r="D1042" i="17"/>
  <c r="D740" i="17"/>
  <c r="D1022" i="17"/>
  <c r="D1008" i="17"/>
  <c r="D900" i="17"/>
  <c r="D1181" i="17"/>
  <c r="D1057" i="17"/>
  <c r="D1015" i="17"/>
  <c r="D1314" i="17"/>
  <c r="D943" i="17"/>
  <c r="D1020" i="17"/>
  <c r="D387" i="17"/>
  <c r="D766" i="17"/>
  <c r="D1085" i="17"/>
  <c r="D797" i="17"/>
  <c r="D967" i="17"/>
  <c r="D899" i="17"/>
  <c r="D1083" i="17"/>
  <c r="D942" i="17"/>
  <c r="D1001" i="17"/>
  <c r="D686" i="17"/>
  <c r="D886" i="17"/>
  <c r="D848" i="17"/>
  <c r="D1113" i="17"/>
  <c r="D868" i="17"/>
  <c r="D866" i="17"/>
  <c r="D951" i="17"/>
  <c r="D965" i="17"/>
  <c r="D902" i="17"/>
  <c r="D1068" i="17"/>
  <c r="D1154" i="17"/>
  <c r="D935" i="17"/>
  <c r="D1119" i="17"/>
  <c r="D829" i="17"/>
  <c r="D380" i="17"/>
  <c r="D1009" i="17"/>
  <c r="D1180" i="17"/>
  <c r="D1007" i="17"/>
  <c r="D964" i="17"/>
  <c r="D999" i="17"/>
  <c r="D807" i="17"/>
  <c r="D947" i="17"/>
  <c r="D891" i="17"/>
  <c r="D864" i="17"/>
  <c r="D907" i="17"/>
  <c r="D647" i="17"/>
  <c r="D1543" i="17"/>
  <c r="D685" i="17"/>
  <c r="D1061" i="17"/>
  <c r="D1101" i="17"/>
  <c r="D784" i="17"/>
  <c r="D789" i="17"/>
  <c r="D1107" i="17"/>
  <c r="D676" i="17"/>
  <c r="D841" i="17"/>
  <c r="D983" i="17"/>
  <c r="D946" i="17"/>
  <c r="D1073" i="17"/>
  <c r="D1016" i="17"/>
  <c r="D932" i="17"/>
  <c r="D948" i="17"/>
  <c r="D1013" i="17"/>
  <c r="D966" i="17"/>
  <c r="D940" i="17"/>
  <c r="D978" i="17"/>
  <c r="D889" i="17"/>
  <c r="D835" i="17"/>
  <c r="D711" i="17"/>
  <c r="D860" i="17"/>
  <c r="D1029" i="17"/>
  <c r="D929" i="17"/>
  <c r="D1046" i="17"/>
  <c r="D911" i="17"/>
  <c r="D920" i="17"/>
  <c r="D980" i="17"/>
  <c r="D881" i="17"/>
  <c r="D787" i="17"/>
  <c r="D654" i="17"/>
  <c r="D1014" i="17"/>
  <c r="D874" i="17"/>
  <c r="D953" i="17"/>
  <c r="D708" i="17"/>
  <c r="D651" i="17"/>
  <c r="D858" i="17"/>
  <c r="D877" i="17"/>
  <c r="D748" i="17"/>
  <c r="D1039" i="17"/>
  <c r="D867" i="17"/>
  <c r="D878" i="17"/>
  <c r="D1069" i="17"/>
  <c r="D641" i="17"/>
  <c r="D895" i="17"/>
  <c r="D1048" i="17"/>
  <c r="D901" i="17"/>
  <c r="D887" i="17"/>
  <c r="D974" i="17"/>
  <c r="D353" i="17"/>
  <c r="D954" i="17"/>
  <c r="D786" i="17"/>
  <c r="D434" i="17"/>
  <c r="D934" i="17"/>
  <c r="D981" i="17"/>
  <c r="D779" i="17"/>
  <c r="D987" i="17"/>
  <c r="D1067" i="17"/>
  <c r="D975" i="17"/>
  <c r="D743" i="17"/>
  <c r="D855" i="17"/>
  <c r="D1192" i="17"/>
  <c r="D1075" i="17"/>
  <c r="D984" i="17"/>
  <c r="D1174" i="17"/>
  <c r="D818" i="17"/>
  <c r="D893" i="17"/>
  <c r="D811" i="17"/>
  <c r="D1050" i="17"/>
  <c r="D696" i="17"/>
  <c r="D863" i="17"/>
  <c r="D603" i="17"/>
  <c r="D853" i="17"/>
  <c r="D958" i="17"/>
  <c r="D826" i="17"/>
  <c r="D777" i="17"/>
  <c r="D876" i="17"/>
  <c r="D692" i="17"/>
  <c r="D635" i="17"/>
  <c r="D816" i="17"/>
  <c r="D837" i="17"/>
  <c r="D561" i="17"/>
  <c r="D906" i="17"/>
  <c r="D970" i="17"/>
  <c r="D1094" i="17"/>
  <c r="D822" i="17"/>
  <c r="D991" i="17"/>
  <c r="D908" i="17"/>
  <c r="D944" i="17"/>
  <c r="D1024" i="17"/>
  <c r="D924" i="17"/>
  <c r="D955" i="17"/>
  <c r="D919" i="17"/>
  <c r="D762" i="17"/>
  <c r="D684" i="17"/>
  <c r="D969" i="17"/>
  <c r="D808" i="17"/>
  <c r="D909" i="17"/>
  <c r="D859" i="17"/>
  <c r="D994" i="17"/>
  <c r="D993" i="17"/>
  <c r="D890" i="17"/>
  <c r="D705" i="17"/>
  <c r="D1058" i="17"/>
  <c r="D454" i="17"/>
  <c r="D742" i="17"/>
  <c r="D995" i="17"/>
  <c r="D950" i="17"/>
  <c r="D941" i="17"/>
  <c r="D870" i="17"/>
  <c r="D923" i="17"/>
  <c r="D872" i="17"/>
  <c r="D892" i="17"/>
  <c r="D1079" i="17"/>
  <c r="D861" i="17"/>
  <c r="D712" i="17"/>
  <c r="D794" i="17"/>
  <c r="D793" i="17"/>
  <c r="D761" i="17"/>
  <c r="D714" i="17"/>
  <c r="D959" i="17"/>
  <c r="D925" i="17"/>
  <c r="D869" i="17"/>
  <c r="D1087" i="17"/>
  <c r="D809" i="17"/>
  <c r="D1023" i="17"/>
  <c r="D852" i="17"/>
  <c r="D621" i="17"/>
  <c r="D799" i="17"/>
  <c r="D738" i="17"/>
  <c r="D830" i="17"/>
  <c r="D645" i="17"/>
  <c r="D689" i="17"/>
  <c r="D879" i="17"/>
  <c r="D857" i="17"/>
  <c r="D356" i="17"/>
  <c r="D849" i="17"/>
  <c r="D842" i="17"/>
  <c r="D871" i="17"/>
  <c r="D661" i="17"/>
  <c r="D385" i="17"/>
  <c r="D828" i="17"/>
  <c r="D831" i="17"/>
  <c r="D823" i="17"/>
  <c r="D585" i="17"/>
  <c r="D660" i="17"/>
  <c r="D559" i="17"/>
  <c r="D917" i="17"/>
  <c r="D627" i="17"/>
  <c r="D804" i="17"/>
  <c r="D694" i="17"/>
  <c r="D683" i="17"/>
  <c r="D501" i="17"/>
  <c r="D897" i="17"/>
  <c r="D715" i="17"/>
  <c r="D753" i="17"/>
  <c r="D719" i="17"/>
  <c r="D795" i="17"/>
  <c r="D1211" i="17"/>
  <c r="D805" i="17"/>
  <c r="D774" i="17"/>
  <c r="D836" i="17"/>
  <c r="D904" i="17"/>
  <c r="D898" i="17"/>
  <c r="D933" i="17"/>
  <c r="D865" i="17"/>
  <c r="D873" i="17"/>
  <c r="D844" i="17"/>
  <c r="D996" i="17"/>
  <c r="D755" i="17"/>
  <c r="D824" i="17"/>
  <c r="D562" i="17"/>
  <c r="D788" i="17"/>
  <c r="D780" i="17"/>
  <c r="D792" i="17"/>
  <c r="D726" i="17"/>
  <c r="D838" i="17"/>
  <c r="D687" i="17"/>
  <c r="D607" i="17"/>
  <c r="D845" i="17"/>
  <c r="D729" i="17"/>
  <c r="D832" i="17"/>
  <c r="D390" i="17"/>
  <c r="D846" i="17"/>
  <c r="D364" i="17"/>
  <c r="D1173" i="17"/>
  <c r="D745" i="17"/>
  <c r="D770" i="17"/>
  <c r="D701" i="17"/>
  <c r="D709" i="17"/>
  <c r="D682" i="17"/>
  <c r="D796" i="17"/>
  <c r="D839" i="17"/>
  <c r="D624" i="17"/>
  <c r="D629" i="17"/>
  <c r="D850" i="17"/>
  <c r="D896" i="17"/>
  <c r="D284" i="17"/>
  <c r="D764" i="17"/>
  <c r="D632" i="17"/>
  <c r="D424" i="17"/>
  <c r="D618" i="17"/>
  <c r="D732" i="17"/>
  <c r="D728" i="17"/>
  <c r="D847" i="17"/>
  <c r="D791" i="17"/>
  <c r="D1542" i="17"/>
  <c r="D736" i="17"/>
  <c r="D760" i="17"/>
  <c r="D759" i="17"/>
  <c r="D827" i="17"/>
  <c r="D806" i="17"/>
  <c r="D752" i="17"/>
  <c r="D854" i="17"/>
  <c r="D669" i="17"/>
  <c r="D862" i="17"/>
  <c r="D938" i="17"/>
  <c r="D750" i="17"/>
  <c r="D800" i="17"/>
  <c r="D785" i="17"/>
  <c r="D825" i="17"/>
  <c r="D327" i="17"/>
  <c r="D751" i="17"/>
  <c r="D623" i="17"/>
  <c r="D395" i="17"/>
  <c r="D885" i="17"/>
  <c r="D554" i="17"/>
  <c r="D396" i="17"/>
  <c r="D532" i="17"/>
  <c r="D782" i="17"/>
  <c r="D730" i="17"/>
  <c r="D703" i="17"/>
  <c r="D802" i="17"/>
  <c r="D939" i="17"/>
  <c r="D474" i="17"/>
  <c r="D718" i="17"/>
  <c r="D479" i="17"/>
  <c r="D659" i="17"/>
  <c r="D821" i="17"/>
  <c r="D884" i="17"/>
  <c r="D574" i="17"/>
  <c r="D768" i="17"/>
  <c r="D447" i="17"/>
  <c r="D1138" i="17"/>
  <c r="D914" i="17"/>
  <c r="D471" i="17"/>
  <c r="D653" i="17"/>
  <c r="D758" i="17"/>
  <c r="D655" i="17"/>
  <c r="D573" i="17"/>
  <c r="D588" i="17"/>
  <c r="D688" i="17"/>
  <c r="D691" i="17"/>
  <c r="D723" i="17"/>
  <c r="D597" i="17"/>
  <c r="D710" i="17"/>
  <c r="D609" i="17"/>
  <c r="D611" i="17"/>
  <c r="D142" i="17"/>
  <c r="D819" i="17"/>
  <c r="D564" i="17"/>
  <c r="D690" i="17"/>
  <c r="D918" i="17"/>
  <c r="D569" i="17"/>
  <c r="D747" i="17"/>
  <c r="D913" i="17"/>
  <c r="D426" i="17"/>
  <c r="D746" i="17"/>
  <c r="D856" i="17"/>
  <c r="D477" i="17"/>
  <c r="D721" i="17"/>
  <c r="D681" i="17"/>
  <c r="D720" i="17"/>
  <c r="D552" i="17"/>
  <c r="D741" i="17"/>
  <c r="D698" i="17"/>
  <c r="D756" i="17"/>
  <c r="D725" i="17"/>
  <c r="D351" i="17"/>
  <c r="D538" i="17"/>
  <c r="D749" i="17"/>
  <c r="D325" i="17"/>
  <c r="D503" i="17"/>
  <c r="D724" i="17"/>
  <c r="D673" i="17"/>
  <c r="D586" i="17"/>
  <c r="D463" i="17"/>
  <c r="D628" i="17"/>
  <c r="D551" i="17"/>
  <c r="D735" i="17"/>
  <c r="D801" i="17"/>
  <c r="D707" i="17"/>
  <c r="D840" i="17"/>
  <c r="D713" i="17"/>
  <c r="D622" i="17"/>
  <c r="D680" i="17"/>
  <c r="D675" i="17"/>
  <c r="D165" i="17"/>
  <c r="D663" i="17"/>
  <c r="D700" i="17"/>
  <c r="D575" i="17"/>
  <c r="D699" i="17"/>
  <c r="D781" i="17"/>
  <c r="D580" i="17"/>
  <c r="D491" i="17"/>
  <c r="D583" i="17"/>
  <c r="D150" i="17"/>
  <c r="D665" i="17"/>
  <c r="D727" i="17"/>
  <c r="D527" i="17"/>
  <c r="D693" i="17"/>
  <c r="D763" i="17"/>
  <c r="D1005" i="17"/>
  <c r="D495" i="17"/>
  <c r="D589" i="17"/>
  <c r="D604" i="17"/>
  <c r="D657" i="17"/>
  <c r="D568" i="17"/>
  <c r="D679" i="17"/>
  <c r="D643" i="17"/>
  <c r="D716" i="17"/>
  <c r="D772" i="17"/>
  <c r="D773" i="17"/>
  <c r="D453" i="17"/>
  <c r="D670" i="17"/>
  <c r="D778" i="17"/>
  <c r="D649" i="17"/>
  <c r="D757" i="17"/>
  <c r="D739" i="17"/>
  <c r="D642" i="17"/>
  <c r="D445" i="17"/>
  <c r="D631" i="17"/>
  <c r="D640" i="17"/>
  <c r="D526" i="17"/>
  <c r="D542" i="17"/>
  <c r="D615" i="17"/>
  <c r="D667" i="17"/>
  <c r="D592" i="17"/>
  <c r="D662" i="17"/>
  <c r="D672" i="17"/>
  <c r="D638" i="17"/>
  <c r="D658" i="17"/>
  <c r="D462" i="17"/>
  <c r="D499" i="17"/>
  <c r="D617" i="17"/>
  <c r="D634" i="17"/>
  <c r="D584" i="17"/>
  <c r="D570" i="17"/>
  <c r="D516" i="17"/>
  <c r="D915" i="17"/>
  <c r="D461" i="17"/>
  <c r="D769" i="17"/>
  <c r="D734" i="17"/>
  <c r="D620" i="17"/>
  <c r="D556" i="17"/>
  <c r="D814" i="17"/>
  <c r="D678" i="17"/>
  <c r="D567" i="17"/>
  <c r="D582" i="17"/>
  <c r="D695" i="17"/>
  <c r="D452" i="17"/>
  <c r="D324" i="17"/>
  <c r="D549" i="17"/>
  <c r="D605" i="17"/>
  <c r="D612" i="17"/>
  <c r="D790" i="17"/>
  <c r="D571" i="17"/>
  <c r="D666" i="17"/>
  <c r="D543" i="17"/>
  <c r="D590" i="17"/>
  <c r="D545" i="17"/>
  <c r="D702" i="17"/>
  <c r="D581" i="17"/>
  <c r="D610" i="17"/>
  <c r="D674" i="17"/>
  <c r="D378" i="17"/>
  <c r="D505" i="17"/>
  <c r="D277" i="17"/>
  <c r="D484" i="17"/>
  <c r="D810" i="17"/>
  <c r="D563" i="17"/>
  <c r="D594" i="17"/>
  <c r="D633" i="17"/>
  <c r="D812" i="17"/>
  <c r="D608" i="17"/>
  <c r="D626" i="17"/>
  <c r="D487" i="17"/>
  <c r="D595" i="17"/>
  <c r="D591" i="17"/>
  <c r="D148" i="17"/>
  <c r="D520" i="17"/>
  <c r="D601" i="17"/>
  <c r="D392" i="17"/>
  <c r="D1541" i="17"/>
  <c r="D443" i="17"/>
  <c r="D600" i="17"/>
  <c r="D519" i="17"/>
  <c r="D547" i="17"/>
  <c r="D250" i="17"/>
  <c r="D530" i="17"/>
  <c r="D625" i="17"/>
  <c r="D555" i="17"/>
  <c r="D636" i="17"/>
  <c r="D316" i="17"/>
  <c r="D550" i="17"/>
  <c r="D606" i="17"/>
  <c r="D572" i="17"/>
  <c r="D523" i="17"/>
  <c r="D646" i="17"/>
  <c r="D553" i="17"/>
  <c r="D652" i="17"/>
  <c r="D303" i="17"/>
  <c r="D492" i="17"/>
  <c r="D189" i="17"/>
  <c r="D598" i="17"/>
  <c r="D472" i="17"/>
  <c r="D502" i="17"/>
  <c r="D518" i="17"/>
  <c r="D504" i="17"/>
  <c r="D577" i="17"/>
  <c r="D507" i="17"/>
  <c r="D302" i="17"/>
  <c r="D498" i="17"/>
  <c r="D579" i="17"/>
  <c r="D614" i="17"/>
  <c r="D648" i="17"/>
  <c r="D541" i="17"/>
  <c r="D593" i="17"/>
  <c r="D508" i="17"/>
  <c r="D473" i="17"/>
  <c r="D459" i="17"/>
  <c r="D460" i="17"/>
  <c r="D514" i="17"/>
  <c r="D493" i="17"/>
  <c r="D450" i="17"/>
  <c r="D524" i="17"/>
  <c r="D537" i="17"/>
  <c r="D533" i="17"/>
  <c r="D776" i="17"/>
  <c r="D616" i="17"/>
  <c r="D362" i="17"/>
  <c r="D619" i="17"/>
  <c r="D548" i="17"/>
  <c r="D668" i="17"/>
  <c r="D517" i="17"/>
  <c r="D489" i="17"/>
  <c r="D578" i="17"/>
  <c r="D494" i="17"/>
  <c r="D370" i="17"/>
  <c r="D566" i="17"/>
  <c r="D544" i="17"/>
  <c r="D419" i="17"/>
  <c r="D535" i="17"/>
  <c r="D167" i="17"/>
  <c r="D613" i="17"/>
  <c r="D438" i="17"/>
  <c r="D341" i="17"/>
  <c r="D469" i="17"/>
  <c r="D509" i="17"/>
  <c r="D506" i="17"/>
  <c r="D406" i="17"/>
  <c r="D560" i="17"/>
  <c r="D677" i="17"/>
  <c r="D754" i="17"/>
  <c r="D656" i="17"/>
  <c r="D371" i="17"/>
  <c r="D283" i="17"/>
  <c r="D465" i="17"/>
  <c r="D358" i="17"/>
  <c r="D245" i="17"/>
  <c r="D540" i="17"/>
  <c r="D515" i="17"/>
  <c r="D478" i="17"/>
  <c r="D630" i="17"/>
  <c r="D127" i="17"/>
  <c r="D309" i="17"/>
  <c r="D412" i="17"/>
  <c r="D398" i="17"/>
  <c r="D722" i="17"/>
  <c r="D511" i="17"/>
  <c r="D557" i="17"/>
  <c r="D496" i="17"/>
  <c r="D510" i="17"/>
  <c r="D467" i="17"/>
  <c r="D470" i="17"/>
  <c r="D512" i="17"/>
  <c r="D425" i="17"/>
  <c r="D521" i="17"/>
  <c r="D289" i="17"/>
  <c r="D421" i="17"/>
  <c r="D513" i="17"/>
  <c r="D522" i="17"/>
  <c r="D310" i="17"/>
  <c r="D458" i="17"/>
  <c r="D468" i="17"/>
  <c r="D432" i="17"/>
  <c r="D534" i="17"/>
  <c r="D546" i="17"/>
  <c r="D536" i="17"/>
  <c r="D490" i="17"/>
  <c r="D427" i="17"/>
  <c r="D733" i="17"/>
  <c r="D485" i="17"/>
  <c r="D531" i="17"/>
  <c r="D336" i="17"/>
  <c r="D200" i="17"/>
  <c r="D483" i="17"/>
  <c r="D409" i="17"/>
  <c r="D204" i="17"/>
  <c r="D354" i="17"/>
  <c r="D329" i="17"/>
  <c r="D430" i="17"/>
  <c r="D480" i="17"/>
  <c r="D927" i="17"/>
  <c r="D488" i="17"/>
  <c r="D439" i="17"/>
  <c r="D377" i="17"/>
  <c r="D420" i="17"/>
  <c r="D455" i="17"/>
  <c r="D446" i="17"/>
  <c r="D476" i="17"/>
  <c r="D637" i="17"/>
  <c r="D451" i="17"/>
  <c r="D435" i="17"/>
  <c r="D416" i="17"/>
  <c r="D382" i="17"/>
  <c r="D456" i="17"/>
  <c r="D436" i="17"/>
  <c r="D379" i="17"/>
  <c r="D326" i="17"/>
  <c r="D529" i="17"/>
  <c r="D321" i="17"/>
  <c r="D444" i="17"/>
  <c r="D431" i="17"/>
  <c r="D717" i="17"/>
  <c r="D599" i="17"/>
  <c r="D731" i="17"/>
  <c r="D311" i="17"/>
  <c r="D558" i="17"/>
  <c r="D384" i="17"/>
  <c r="D486" i="17"/>
  <c r="D359" i="17"/>
  <c r="D349" i="17"/>
  <c r="D457" i="17"/>
  <c r="D373" i="17"/>
  <c r="D415" i="17"/>
  <c r="D414" i="17"/>
  <c r="D360" i="17"/>
  <c r="D423" i="17"/>
  <c r="D337" i="17"/>
  <c r="D255" i="17"/>
  <c r="D413" i="17"/>
  <c r="D376" i="17"/>
  <c r="D411" i="17"/>
  <c r="D355" i="17"/>
  <c r="D441" i="17"/>
  <c r="D449" i="17"/>
  <c r="D408" i="17"/>
  <c r="D196" i="17"/>
  <c r="D342" i="17"/>
  <c r="D386" i="17"/>
  <c r="D422" i="17"/>
  <c r="D407" i="17"/>
  <c r="D372" i="17"/>
  <c r="D383" i="17"/>
  <c r="D219" i="17"/>
  <c r="D365" i="17"/>
  <c r="D428" i="17"/>
  <c r="D239" i="17"/>
  <c r="D417" i="17"/>
  <c r="D402" i="17"/>
  <c r="D334" i="17"/>
  <c r="D333" i="17"/>
  <c r="D429" i="17"/>
  <c r="D400" i="17"/>
  <c r="D308" i="17"/>
  <c r="D203" i="17"/>
  <c r="D374" i="17"/>
  <c r="D347" i="17"/>
  <c r="D322" i="17"/>
  <c r="D565" i="17"/>
  <c r="D1018" i="17"/>
  <c r="D464" i="17"/>
  <c r="D403" i="17"/>
  <c r="D401" i="17"/>
  <c r="D448" i="17"/>
  <c r="D596" i="17"/>
  <c r="D397" i="17"/>
  <c r="D179" i="17"/>
  <c r="D279" i="17"/>
  <c r="D191" i="17"/>
  <c r="D312" i="17"/>
  <c r="D345" i="17"/>
  <c r="D440" i="17"/>
  <c r="D388" i="17"/>
  <c r="D393" i="17"/>
  <c r="D369" i="17"/>
  <c r="D258" i="17"/>
  <c r="D368" i="17"/>
  <c r="D268" i="17"/>
  <c r="D704" i="17"/>
  <c r="D339" i="17"/>
  <c r="D361" i="17"/>
  <c r="D274" i="17"/>
  <c r="D300" i="17"/>
  <c r="D294" i="17"/>
  <c r="D338" i="17"/>
  <c r="D500" i="17"/>
  <c r="D272" i="17"/>
  <c r="D323" i="17"/>
  <c r="D437" i="17"/>
  <c r="D418" i="17"/>
  <c r="D497" i="17"/>
  <c r="D172" i="17"/>
  <c r="D335" i="17"/>
  <c r="D344" i="17"/>
  <c r="D211" i="17"/>
  <c r="D265" i="17"/>
  <c r="D381" i="17"/>
  <c r="D304" i="17"/>
  <c r="D287" i="17"/>
  <c r="D242" i="17"/>
  <c r="D405" i="17"/>
  <c r="D228" i="17"/>
  <c r="D278" i="17"/>
  <c r="D301" i="17"/>
  <c r="D314" i="17"/>
  <c r="D482" i="17"/>
  <c r="D291" i="17"/>
  <c r="D340" i="17"/>
  <c r="D233" i="17"/>
  <c r="D253" i="17"/>
  <c r="D391" i="17"/>
  <c r="D164" i="17"/>
  <c r="D366" i="17"/>
  <c r="D240" i="17"/>
  <c r="D346" i="17"/>
  <c r="D315" i="17"/>
  <c r="D267" i="17"/>
  <c r="D539" i="17"/>
  <c r="D281" i="17"/>
  <c r="D296" i="17"/>
  <c r="D399" i="17"/>
  <c r="D298" i="17"/>
  <c r="D433" i="17"/>
  <c r="D350" i="17"/>
  <c r="D297" i="17"/>
  <c r="D259" i="17"/>
  <c r="D288" i="17"/>
  <c r="D254" i="17"/>
  <c r="D352" i="17"/>
  <c r="D251" i="17"/>
  <c r="D331" i="17"/>
  <c r="D207" i="17"/>
  <c r="D104" i="17"/>
  <c r="D442" i="17"/>
  <c r="D317" i="17"/>
  <c r="D263" i="17"/>
  <c r="D256" i="17"/>
  <c r="D225" i="17"/>
  <c r="D295" i="17"/>
  <c r="D273" i="17"/>
  <c r="D313" i="17"/>
  <c r="D306" i="17"/>
  <c r="D318" i="17"/>
  <c r="D348" i="17"/>
  <c r="D269" i="17"/>
  <c r="D363" i="17"/>
  <c r="D328" i="17"/>
  <c r="D305" i="17"/>
  <c r="D249" i="17"/>
  <c r="D276" i="17"/>
  <c r="D293" i="17"/>
  <c r="D236" i="17"/>
  <c r="D177" i="17"/>
  <c r="D257" i="17"/>
  <c r="D224" i="17"/>
  <c r="D133" i="17"/>
  <c r="D270" i="17"/>
  <c r="D286" i="17"/>
  <c r="D151" i="17"/>
  <c r="D404" i="17"/>
  <c r="D76" i="17"/>
  <c r="D241" i="17"/>
  <c r="D320" i="17"/>
  <c r="D394" i="17"/>
  <c r="D238" i="17"/>
  <c r="D216" i="17"/>
  <c r="D198" i="17"/>
  <c r="D244" i="17"/>
  <c r="D290" i="17"/>
  <c r="D193" i="17"/>
  <c r="D237" i="17"/>
  <c r="D212" i="17"/>
  <c r="D248" i="17"/>
  <c r="D261" i="17"/>
  <c r="D357" i="17"/>
  <c r="D137" i="17"/>
  <c r="D252" i="17"/>
  <c r="D246" i="17"/>
  <c r="D343" i="17"/>
  <c r="D195" i="17"/>
  <c r="D262" i="17"/>
  <c r="D319" i="17"/>
  <c r="D218" i="17"/>
  <c r="D275" i="17"/>
  <c r="D221" i="17"/>
  <c r="D375" i="17"/>
  <c r="D1540" i="17"/>
  <c r="D330" i="17"/>
  <c r="D234" i="17"/>
  <c r="D153" i="17"/>
  <c r="D243" i="17"/>
  <c r="D223" i="17"/>
  <c r="D282" i="17"/>
  <c r="D367" i="17"/>
  <c r="D481" i="17"/>
  <c r="D271" i="17"/>
  <c r="D280" i="17"/>
  <c r="D190" i="17"/>
  <c r="D235" i="17"/>
  <c r="D231" i="17"/>
  <c r="D260" i="17"/>
  <c r="D125" i="17"/>
  <c r="D156" i="17"/>
  <c r="D285" i="17"/>
  <c r="D163" i="17"/>
  <c r="D220" i="17"/>
  <c r="D229" i="17"/>
  <c r="D126" i="17"/>
  <c r="D230" i="17"/>
  <c r="D144" i="17"/>
  <c r="D108" i="17"/>
  <c r="D132" i="17"/>
  <c r="D208" i="17"/>
  <c r="D138" i="17"/>
  <c r="D227" i="17"/>
  <c r="D217" i="17"/>
  <c r="D201" i="17"/>
  <c r="D215" i="17"/>
  <c r="D187" i="17"/>
  <c r="D192" i="17"/>
  <c r="D226" i="17"/>
  <c r="D139" i="17"/>
  <c r="D149" i="17"/>
  <c r="D264" i="17"/>
  <c r="D222" i="17"/>
  <c r="D135" i="17"/>
  <c r="D247" i="17"/>
  <c r="D299" i="17"/>
  <c r="D169" i="17"/>
  <c r="D210" i="17"/>
  <c r="D183" i="17"/>
  <c r="D188" i="17"/>
  <c r="D307" i="17"/>
  <c r="D161" i="17"/>
  <c r="D157" i="17"/>
  <c r="D232" i="17"/>
  <c r="D130" i="17"/>
  <c r="D213" i="17"/>
  <c r="D44" i="17"/>
  <c r="D209" i="17"/>
  <c r="D146" i="17"/>
  <c r="D166" i="17"/>
  <c r="D292" i="17"/>
  <c r="D83" i="17"/>
  <c r="D114" i="17"/>
  <c r="D202" i="17"/>
  <c r="D160" i="17"/>
  <c r="D214" i="17"/>
  <c r="D170" i="17"/>
  <c r="D178" i="17"/>
  <c r="D84" i="17"/>
  <c r="D184" i="17"/>
  <c r="D136" i="17"/>
  <c r="D205" i="17"/>
  <c r="D186" i="17"/>
  <c r="D181" i="17"/>
  <c r="D182" i="17"/>
  <c r="D158" i="17"/>
  <c r="D141" i="17"/>
  <c r="D129" i="17"/>
  <c r="D27" i="17"/>
  <c r="D119" i="17"/>
  <c r="D173" i="17"/>
  <c r="D159" i="17"/>
  <c r="D111" i="17"/>
  <c r="D134" i="17"/>
  <c r="D147" i="17"/>
  <c r="D145" i="17"/>
  <c r="D174" i="17"/>
  <c r="D152" i="17"/>
  <c r="D175" i="17"/>
  <c r="D154" i="17"/>
  <c r="D97" i="17"/>
  <c r="D171" i="17"/>
  <c r="D162" i="17"/>
  <c r="D98" i="17"/>
  <c r="D124" i="17"/>
  <c r="D115" i="17"/>
  <c r="D86" i="17"/>
  <c r="D185" i="17"/>
  <c r="D106" i="17"/>
  <c r="D118" i="17"/>
  <c r="D131" i="17"/>
  <c r="D180" i="17"/>
  <c r="D64" i="17"/>
  <c r="D66" i="17"/>
  <c r="D123" i="17"/>
  <c r="D155" i="17"/>
  <c r="D140" i="17"/>
  <c r="D110" i="17"/>
  <c r="D112" i="17"/>
  <c r="D93" i="17"/>
  <c r="D92" i="17"/>
  <c r="D63" i="17"/>
  <c r="D105" i="17"/>
  <c r="D91" i="17"/>
  <c r="D79" i="17"/>
  <c r="D121" i="17"/>
  <c r="D122" i="17"/>
  <c r="D101" i="17"/>
  <c r="D109" i="17"/>
  <c r="D94" i="17"/>
  <c r="D116" i="17"/>
  <c r="D117" i="17"/>
  <c r="D69" i="17"/>
  <c r="D68" i="17"/>
  <c r="D128" i="17"/>
  <c r="D102" i="17"/>
  <c r="D107" i="17"/>
  <c r="D103" i="17"/>
  <c r="D197" i="17"/>
  <c r="D81" i="17"/>
  <c r="D143" i="17"/>
  <c r="D43" i="17"/>
  <c r="D71" i="17"/>
  <c r="D176" i="17"/>
  <c r="D96" i="17"/>
  <c r="D85" i="17"/>
  <c r="D100" i="17"/>
  <c r="D206" i="17"/>
  <c r="D90" i="17"/>
  <c r="D61" i="17"/>
  <c r="D113" i="17"/>
  <c r="D95" i="17"/>
  <c r="D89" i="17"/>
  <c r="D87" i="17"/>
  <c r="D99" i="17"/>
  <c r="D72" i="17"/>
  <c r="D75" i="17"/>
  <c r="D51" i="17"/>
  <c r="D55" i="17"/>
  <c r="D82" i="17"/>
  <c r="D80" i="17"/>
  <c r="D77" i="17"/>
  <c r="D59" i="17"/>
  <c r="D74" i="17"/>
  <c r="D47" i="17"/>
  <c r="D78" i="17"/>
  <c r="D65" i="17"/>
  <c r="D88" i="17"/>
  <c r="D73" i="17"/>
  <c r="D60" i="17"/>
  <c r="D54" i="17"/>
  <c r="D67" i="17"/>
  <c r="D52" i="17"/>
  <c r="D35" i="17"/>
  <c r="D38" i="17"/>
  <c r="D26" i="17"/>
  <c r="D46" i="17"/>
  <c r="D48" i="17"/>
  <c r="D53" i="17"/>
  <c r="D31" i="17"/>
  <c r="D56" i="17"/>
  <c r="D70" i="17"/>
  <c r="D50" i="17"/>
  <c r="D57" i="17"/>
  <c r="D21" i="17"/>
  <c r="D36" i="17"/>
  <c r="D25" i="17"/>
  <c r="D37" i="17"/>
  <c r="D42" i="17"/>
  <c r="D30" i="17"/>
  <c r="D41" i="17"/>
  <c r="D40" i="17"/>
  <c r="D62" i="17"/>
  <c r="D39" i="17"/>
  <c r="D32" i="17"/>
  <c r="D49" i="17"/>
  <c r="D58" i="17"/>
  <c r="D33" i="17"/>
  <c r="D28" i="17"/>
  <c r="D24" i="17"/>
  <c r="D16" i="17"/>
  <c r="D29" i="17"/>
  <c r="D34" i="17"/>
  <c r="D20" i="17"/>
  <c r="D18" i="17"/>
  <c r="D45" i="17"/>
  <c r="D23" i="17"/>
  <c r="D17" i="17"/>
  <c r="D19" i="17"/>
  <c r="D12" i="17"/>
  <c r="D15" i="17"/>
  <c r="D13" i="17"/>
  <c r="D14" i="17"/>
  <c r="D22" i="17"/>
  <c r="D11" i="17"/>
  <c r="D10" i="17"/>
  <c r="D6" i="17"/>
  <c r="D8" i="17"/>
  <c r="D7" i="17"/>
  <c r="D9" i="17"/>
  <c r="D4" i="17"/>
  <c r="D5" i="17"/>
  <c r="D3" i="17"/>
  <c r="D2" i="17"/>
  <c r="A8" i="15"/>
  <c r="A7" i="15"/>
  <c r="A6" i="15"/>
  <c r="A5" i="15"/>
  <c r="A4" i="15"/>
  <c r="L297" i="24" s="1"/>
  <c r="A3" i="15"/>
  <c r="A2" i="15"/>
  <c r="S334" i="24"/>
  <c r="S333" i="24"/>
  <c r="S332" i="24"/>
  <c r="S331" i="24"/>
  <c r="S330" i="24"/>
  <c r="S329" i="24"/>
  <c r="S328" i="24"/>
  <c r="S327" i="24"/>
  <c r="S326" i="24"/>
  <c r="S325" i="24"/>
  <c r="S324" i="24"/>
  <c r="S323" i="24"/>
  <c r="S322" i="24"/>
  <c r="S321" i="24"/>
  <c r="S320" i="24"/>
  <c r="S319" i="24"/>
  <c r="S318" i="24"/>
  <c r="S317" i="24"/>
  <c r="S316" i="24"/>
  <c r="S315" i="24"/>
  <c r="S314" i="24"/>
  <c r="S313" i="24"/>
  <c r="S312" i="24"/>
  <c r="S311" i="24"/>
  <c r="S310" i="24"/>
  <c r="S309" i="24"/>
  <c r="S308" i="24"/>
  <c r="S307" i="24"/>
  <c r="S306" i="24"/>
  <c r="S305" i="24"/>
  <c r="S304" i="24"/>
  <c r="S303" i="24"/>
  <c r="S302" i="24"/>
  <c r="S301" i="24"/>
  <c r="S300" i="24"/>
  <c r="S299" i="24"/>
  <c r="S298" i="24"/>
  <c r="S297" i="24"/>
  <c r="S296" i="24"/>
  <c r="S295" i="24"/>
  <c r="S294" i="24"/>
  <c r="S293" i="24"/>
  <c r="S292" i="24"/>
  <c r="S291" i="24"/>
  <c r="S290" i="24"/>
  <c r="S289" i="24"/>
  <c r="S288" i="24"/>
  <c r="S287" i="24"/>
  <c r="S286" i="24"/>
  <c r="S285" i="24"/>
  <c r="S284" i="24"/>
  <c r="S283" i="24"/>
  <c r="S282" i="24"/>
  <c r="S281" i="24"/>
  <c r="S280" i="24"/>
  <c r="S279" i="24"/>
  <c r="S278" i="24"/>
  <c r="S277" i="24"/>
  <c r="S276" i="24"/>
  <c r="S275" i="24"/>
  <c r="S274" i="24"/>
  <c r="S273" i="24"/>
  <c r="S272" i="24"/>
  <c r="S271" i="24"/>
  <c r="S270" i="24"/>
  <c r="S269" i="24"/>
  <c r="S268" i="24"/>
  <c r="S267" i="24"/>
  <c r="S266" i="24"/>
  <c r="S265" i="24"/>
  <c r="S264" i="24"/>
  <c r="S263" i="24"/>
  <c r="S262" i="24"/>
  <c r="S261" i="24"/>
  <c r="S260" i="24"/>
  <c r="S259" i="24"/>
  <c r="S258" i="24"/>
  <c r="S257" i="24"/>
  <c r="S256" i="24"/>
  <c r="S255" i="24"/>
  <c r="S254" i="24"/>
  <c r="S253" i="24"/>
  <c r="S252" i="24"/>
  <c r="S251" i="24"/>
  <c r="S250" i="24"/>
  <c r="S249" i="24"/>
  <c r="S248" i="24"/>
  <c r="S247" i="24"/>
  <c r="S246" i="24"/>
  <c r="S245" i="24"/>
  <c r="S244" i="24"/>
  <c r="S243" i="24"/>
  <c r="S242" i="24"/>
  <c r="S241" i="24"/>
  <c r="S240" i="24"/>
  <c r="S239" i="24"/>
  <c r="S238" i="24"/>
  <c r="S237" i="24"/>
  <c r="S236" i="24"/>
  <c r="S235" i="24"/>
  <c r="S234" i="24"/>
  <c r="S233" i="24"/>
  <c r="S232" i="24"/>
  <c r="S231" i="24"/>
  <c r="S230" i="24"/>
  <c r="S229" i="24"/>
  <c r="S228" i="24"/>
  <c r="S227" i="24"/>
  <c r="S226" i="24"/>
  <c r="S225" i="24"/>
  <c r="S224" i="24"/>
  <c r="S223" i="24"/>
  <c r="S222" i="24"/>
  <c r="S221" i="24"/>
  <c r="S220" i="24"/>
  <c r="S219" i="24"/>
  <c r="S218" i="24"/>
  <c r="S217" i="24"/>
  <c r="S216" i="24"/>
  <c r="S215" i="24"/>
  <c r="S214" i="24"/>
  <c r="S213" i="24"/>
  <c r="S212" i="24"/>
  <c r="S211" i="24"/>
  <c r="S210" i="24"/>
  <c r="S209" i="24"/>
  <c r="S208" i="24"/>
  <c r="S207" i="24"/>
  <c r="S206" i="24"/>
  <c r="S205" i="24"/>
  <c r="S204" i="24"/>
  <c r="S203" i="24"/>
  <c r="S202" i="24"/>
  <c r="S201" i="24"/>
  <c r="S200" i="24"/>
  <c r="S199" i="24"/>
  <c r="S198" i="24"/>
  <c r="S197" i="24"/>
  <c r="S196" i="24"/>
  <c r="S195" i="24"/>
  <c r="S194" i="24"/>
  <c r="S193" i="24"/>
  <c r="S192" i="24"/>
  <c r="S191" i="24"/>
  <c r="S190" i="24"/>
  <c r="S189" i="24"/>
  <c r="S188" i="24"/>
  <c r="S187" i="24"/>
  <c r="S186" i="24"/>
  <c r="S185" i="24"/>
  <c r="S184" i="24"/>
  <c r="S183" i="24"/>
  <c r="S182" i="24"/>
  <c r="S181" i="24"/>
  <c r="S180" i="24"/>
  <c r="S179" i="24"/>
  <c r="S178" i="24"/>
  <c r="S177" i="24"/>
  <c r="S176" i="24"/>
  <c r="S175" i="24"/>
  <c r="S174" i="24"/>
  <c r="S173" i="24"/>
  <c r="S172" i="24"/>
  <c r="S171" i="24"/>
  <c r="S170" i="24"/>
  <c r="S169" i="24"/>
  <c r="S168" i="24"/>
  <c r="S167" i="24"/>
  <c r="S166" i="24"/>
  <c r="S165" i="24"/>
  <c r="S164" i="24"/>
  <c r="S163" i="24"/>
  <c r="S162" i="24"/>
  <c r="S161" i="24"/>
  <c r="S160" i="24"/>
  <c r="S159" i="24"/>
  <c r="S158" i="24"/>
  <c r="S157" i="24"/>
  <c r="S156" i="24"/>
  <c r="S155" i="24"/>
  <c r="S154" i="24"/>
  <c r="S153" i="24"/>
  <c r="S152" i="24"/>
  <c r="S151" i="24"/>
  <c r="S150" i="24"/>
  <c r="S149" i="24"/>
  <c r="S148" i="24"/>
  <c r="S147" i="24"/>
  <c r="S146" i="24"/>
  <c r="S145" i="24"/>
  <c r="S144" i="24"/>
  <c r="S143" i="24"/>
  <c r="S142" i="24"/>
  <c r="S141" i="24"/>
  <c r="S140" i="24"/>
  <c r="S139" i="24"/>
  <c r="S138" i="24"/>
  <c r="S137" i="24"/>
  <c r="S136" i="24"/>
  <c r="S135" i="24"/>
  <c r="S134" i="24"/>
  <c r="S133" i="24"/>
  <c r="S132" i="24"/>
  <c r="S131" i="24"/>
  <c r="S130" i="24"/>
  <c r="S129" i="24"/>
  <c r="S128" i="24"/>
  <c r="S127" i="24"/>
  <c r="S126" i="24"/>
  <c r="S125" i="24"/>
  <c r="S124" i="24"/>
  <c r="S123" i="24"/>
  <c r="S122" i="24"/>
  <c r="S121" i="24"/>
  <c r="S120" i="24"/>
  <c r="S119" i="24"/>
  <c r="S118" i="24"/>
  <c r="S117" i="24"/>
  <c r="S116" i="24"/>
  <c r="S115" i="24"/>
  <c r="S114" i="24"/>
  <c r="S113" i="24"/>
  <c r="S112" i="24"/>
  <c r="S111" i="24"/>
  <c r="S110" i="24"/>
  <c r="S109" i="24"/>
  <c r="S108" i="24"/>
  <c r="S107" i="24"/>
  <c r="S106" i="24"/>
  <c r="S105" i="24"/>
  <c r="S104" i="24"/>
  <c r="S103" i="24"/>
  <c r="S102" i="24"/>
  <c r="S101" i="24"/>
  <c r="S100" i="24"/>
  <c r="S99" i="24"/>
  <c r="S98" i="24"/>
  <c r="S97" i="24"/>
  <c r="S96" i="24"/>
  <c r="S95" i="24"/>
  <c r="S94" i="24"/>
  <c r="S93" i="24"/>
  <c r="S92" i="24"/>
  <c r="S91" i="24"/>
  <c r="S90" i="24"/>
  <c r="S89" i="24"/>
  <c r="S88" i="24"/>
  <c r="S87" i="24"/>
  <c r="S86" i="24"/>
  <c r="S85" i="24"/>
  <c r="S84" i="24"/>
  <c r="S83" i="24"/>
  <c r="S82" i="24"/>
  <c r="S81" i="24"/>
  <c r="S80" i="24"/>
  <c r="S79" i="24"/>
  <c r="S78" i="24"/>
  <c r="S77" i="24"/>
  <c r="S76" i="24"/>
  <c r="S75" i="24"/>
  <c r="S74" i="24"/>
  <c r="S73" i="24"/>
  <c r="S72" i="24"/>
  <c r="S71" i="24"/>
  <c r="S70" i="24"/>
  <c r="S69" i="24"/>
  <c r="S68" i="24"/>
  <c r="S67" i="24"/>
  <c r="S66" i="24"/>
  <c r="S65" i="24"/>
  <c r="S64" i="24"/>
  <c r="S63" i="24"/>
  <c r="S62" i="24"/>
  <c r="S61" i="24"/>
  <c r="S60" i="24"/>
  <c r="S59" i="24"/>
  <c r="S58" i="24"/>
  <c r="S57" i="24"/>
  <c r="S56" i="24"/>
  <c r="S55" i="24"/>
  <c r="S54" i="24"/>
  <c r="S53" i="24"/>
  <c r="S52" i="24"/>
  <c r="S51" i="24"/>
  <c r="S50" i="24"/>
  <c r="S49" i="24"/>
  <c r="S48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35" i="24"/>
  <c r="S34" i="24"/>
  <c r="S33" i="24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R16" i="24"/>
  <c r="R15" i="24"/>
  <c r="R14" i="24"/>
  <c r="R13" i="24"/>
  <c r="R12" i="24"/>
  <c r="R11" i="24"/>
  <c r="R10" i="24"/>
  <c r="R9" i="24"/>
  <c r="R8" i="24"/>
  <c r="R7" i="24"/>
  <c r="R6" i="24"/>
  <c r="R5" i="24"/>
  <c r="R4" i="24"/>
  <c r="R3" i="24"/>
  <c r="R2" i="24"/>
  <c r="L299" i="24"/>
  <c r="L293" i="24"/>
  <c r="L287" i="24"/>
  <c r="L281" i="24"/>
  <c r="L275" i="24"/>
  <c r="L269" i="24"/>
  <c r="L263" i="24"/>
  <c r="L257" i="24"/>
  <c r="L251" i="24"/>
  <c r="L245" i="24"/>
  <c r="L239" i="24"/>
  <c r="L233" i="24"/>
  <c r="L227" i="24"/>
  <c r="L221" i="24"/>
  <c r="L214" i="24"/>
  <c r="L208" i="24"/>
  <c r="L202" i="24"/>
  <c r="L196" i="24"/>
  <c r="L190" i="24"/>
  <c r="L183" i="24"/>
  <c r="L176" i="24"/>
  <c r="L170" i="24"/>
  <c r="L164" i="24"/>
  <c r="L158" i="24"/>
  <c r="L151" i="24"/>
  <c r="L145" i="24"/>
  <c r="L139" i="24"/>
  <c r="L133" i="24"/>
  <c r="L127" i="24"/>
  <c r="L121" i="24"/>
  <c r="L115" i="24"/>
  <c r="L108" i="24"/>
  <c r="L100" i="24"/>
  <c r="L94" i="24"/>
  <c r="L86" i="24"/>
  <c r="L79" i="24"/>
  <c r="L73" i="24"/>
  <c r="L67" i="24"/>
  <c r="L61" i="24"/>
  <c r="L55" i="24"/>
  <c r="L49" i="24"/>
  <c r="L43" i="24"/>
  <c r="L37" i="24"/>
  <c r="L31" i="24"/>
  <c r="L24" i="24"/>
  <c r="L18" i="24"/>
  <c r="L12" i="24"/>
  <c r="D1" i="24"/>
  <c r="R38" i="1" l="1"/>
  <c r="L2" i="24"/>
  <c r="L26" i="24"/>
  <c r="L50" i="24"/>
  <c r="L68" i="24"/>
  <c r="L88" i="24"/>
  <c r="L109" i="24"/>
  <c r="L134" i="24"/>
  <c r="L159" i="24"/>
  <c r="L177" i="24"/>
  <c r="L203" i="24"/>
  <c r="L222" i="24"/>
  <c r="L240" i="24"/>
  <c r="L258" i="24"/>
  <c r="L282" i="24"/>
  <c r="L300" i="24"/>
  <c r="L21" i="24"/>
  <c r="L16" i="24"/>
  <c r="L29" i="24"/>
  <c r="L41" i="24"/>
  <c r="L53" i="24"/>
  <c r="L65" i="24"/>
  <c r="L77" i="24"/>
  <c r="L92" i="24"/>
  <c r="L105" i="24"/>
  <c r="L112" i="24"/>
  <c r="L125" i="24"/>
  <c r="L137" i="24"/>
  <c r="L156" i="24"/>
  <c r="L11" i="24"/>
  <c r="L17" i="24"/>
  <c r="L23" i="24"/>
  <c r="L30" i="24"/>
  <c r="L36" i="24"/>
  <c r="L42" i="24"/>
  <c r="L48" i="24"/>
  <c r="L54" i="24"/>
  <c r="L60" i="24"/>
  <c r="L66" i="24"/>
  <c r="L72" i="24"/>
  <c r="L78" i="24"/>
  <c r="L85" i="24"/>
  <c r="L93" i="24"/>
  <c r="L99" i="24"/>
  <c r="L107" i="24"/>
  <c r="L114" i="24"/>
  <c r="L120" i="24"/>
  <c r="L126" i="24"/>
  <c r="L132" i="24"/>
  <c r="L138" i="24"/>
  <c r="L144" i="24"/>
  <c r="L150" i="24"/>
  <c r="L157" i="24"/>
  <c r="L163" i="24"/>
  <c r="L169" i="24"/>
  <c r="L175" i="24"/>
  <c r="L182" i="24"/>
  <c r="L189" i="24"/>
  <c r="L195" i="24"/>
  <c r="L201" i="24"/>
  <c r="L207" i="24"/>
  <c r="L213" i="24"/>
  <c r="L220" i="24"/>
  <c r="L226" i="24"/>
  <c r="L232" i="24"/>
  <c r="L238" i="24"/>
  <c r="L244" i="24"/>
  <c r="L250" i="24"/>
  <c r="L256" i="24"/>
  <c r="L262" i="24"/>
  <c r="L268" i="24"/>
  <c r="L274" i="24"/>
  <c r="L280" i="24"/>
  <c r="L286" i="24"/>
  <c r="L292" i="24"/>
  <c r="L298" i="24"/>
  <c r="L44" i="24"/>
  <c r="L4" i="24"/>
  <c r="L14" i="24"/>
  <c r="L20" i="24"/>
  <c r="L27" i="24"/>
  <c r="L33" i="24"/>
  <c r="L39" i="24"/>
  <c r="L45" i="24"/>
  <c r="L51" i="24"/>
  <c r="L57" i="24"/>
  <c r="L63" i="24"/>
  <c r="L69" i="24"/>
  <c r="L75" i="24"/>
  <c r="L82" i="24"/>
  <c r="L89" i="24"/>
  <c r="L96" i="24"/>
  <c r="L103" i="24"/>
  <c r="L110" i="24"/>
  <c r="L117" i="24"/>
  <c r="L123" i="24"/>
  <c r="L129" i="24"/>
  <c r="L135" i="24"/>
  <c r="L141" i="24"/>
  <c r="L147" i="24"/>
  <c r="L153" i="24"/>
  <c r="L160" i="24"/>
  <c r="L166" i="24"/>
  <c r="L172" i="24"/>
  <c r="L178" i="24"/>
  <c r="L186" i="24"/>
  <c r="L192" i="24"/>
  <c r="L198" i="24"/>
  <c r="L204" i="24"/>
  <c r="L210" i="24"/>
  <c r="L216" i="24"/>
  <c r="L223" i="24"/>
  <c r="L229" i="24"/>
  <c r="L235" i="24"/>
  <c r="L241" i="24"/>
  <c r="L247" i="24"/>
  <c r="L253" i="24"/>
  <c r="L259" i="24"/>
  <c r="L265" i="24"/>
  <c r="L271" i="24"/>
  <c r="L277" i="24"/>
  <c r="L283" i="24"/>
  <c r="L289" i="24"/>
  <c r="L295" i="24"/>
  <c r="L19" i="24"/>
  <c r="L38" i="24"/>
  <c r="L62" i="24"/>
  <c r="L80" i="24"/>
  <c r="L101" i="24"/>
  <c r="L122" i="24"/>
  <c r="L140" i="24"/>
  <c r="L152" i="24"/>
  <c r="L171" i="24"/>
  <c r="L191" i="24"/>
  <c r="L209" i="24"/>
  <c r="L228" i="24"/>
  <c r="L246" i="24"/>
  <c r="L264" i="24"/>
  <c r="L276" i="24"/>
  <c r="L294" i="24"/>
  <c r="L15" i="24"/>
  <c r="L28" i="24"/>
  <c r="L34" i="24"/>
  <c r="L40" i="24"/>
  <c r="L46" i="24"/>
  <c r="L52" i="24"/>
  <c r="L58" i="24"/>
  <c r="L64" i="24"/>
  <c r="L70" i="24"/>
  <c r="L76" i="24"/>
  <c r="L83" i="24"/>
  <c r="L90" i="24"/>
  <c r="L97" i="24"/>
  <c r="L104" i="24"/>
  <c r="L111" i="24"/>
  <c r="L118" i="24"/>
  <c r="L124" i="24"/>
  <c r="L130" i="24"/>
  <c r="L136" i="24"/>
  <c r="L142" i="24"/>
  <c r="L148" i="24"/>
  <c r="L154" i="24"/>
  <c r="L161" i="24"/>
  <c r="L167" i="24"/>
  <c r="L173" i="24"/>
  <c r="L179" i="24"/>
  <c r="L187" i="24"/>
  <c r="L193" i="24"/>
  <c r="L199" i="24"/>
  <c r="L205" i="24"/>
  <c r="L211" i="24"/>
  <c r="L218" i="24"/>
  <c r="L224" i="24"/>
  <c r="L230" i="24"/>
  <c r="L236" i="24"/>
  <c r="L242" i="24"/>
  <c r="L248" i="24"/>
  <c r="L254" i="24"/>
  <c r="L260" i="24"/>
  <c r="L266" i="24"/>
  <c r="L272" i="24"/>
  <c r="L278" i="24"/>
  <c r="L284" i="24"/>
  <c r="L290" i="24"/>
  <c r="L296" i="24"/>
  <c r="L13" i="24"/>
  <c r="L32" i="24"/>
  <c r="L56" i="24"/>
  <c r="L74" i="24"/>
  <c r="L95" i="24"/>
  <c r="L116" i="24"/>
  <c r="L128" i="24"/>
  <c r="L146" i="24"/>
  <c r="L165" i="24"/>
  <c r="L185" i="24"/>
  <c r="L197" i="24"/>
  <c r="L215" i="24"/>
  <c r="L234" i="24"/>
  <c r="L252" i="24"/>
  <c r="L270" i="24"/>
  <c r="L288" i="24"/>
  <c r="L6" i="24"/>
  <c r="L8" i="24"/>
  <c r="L22" i="24"/>
  <c r="L35" i="24"/>
  <c r="L47" i="24"/>
  <c r="L59" i="24"/>
  <c r="L71" i="24"/>
  <c r="L84" i="24"/>
  <c r="L98" i="24"/>
  <c r="L119" i="24"/>
  <c r="L131" i="24"/>
  <c r="L143" i="24"/>
  <c r="L149" i="24"/>
  <c r="L162" i="24"/>
  <c r="L168" i="24"/>
  <c r="L174" i="24"/>
  <c r="L181" i="24"/>
  <c r="L188" i="24"/>
  <c r="L194" i="24"/>
  <c r="L200" i="24"/>
  <c r="L206" i="24"/>
  <c r="L212" i="24"/>
  <c r="L219" i="24"/>
  <c r="L225" i="24"/>
  <c r="L231" i="24"/>
  <c r="L237" i="24"/>
  <c r="L243" i="24"/>
  <c r="L249" i="24"/>
  <c r="L255" i="24"/>
  <c r="L261" i="24"/>
  <c r="L267" i="24"/>
  <c r="L273" i="24"/>
  <c r="L279" i="24"/>
  <c r="L285" i="24"/>
  <c r="L291" i="24"/>
  <c r="G2" i="5"/>
  <c r="F2" i="5"/>
  <c r="E2" i="5"/>
  <c r="D2" i="5"/>
  <c r="Y1" i="5"/>
  <c r="U1" i="5"/>
  <c r="B10350" i="13" l="1"/>
  <c r="A10350" i="13"/>
  <c r="B10349" i="13"/>
  <c r="A10349" i="13"/>
  <c r="B10348" i="13"/>
  <c r="A10348" i="13"/>
  <c r="B10347" i="13"/>
  <c r="A10347" i="13"/>
  <c r="B10346" i="13"/>
  <c r="A10346" i="13"/>
  <c r="B10345" i="13"/>
  <c r="A10345" i="13"/>
  <c r="B10344" i="13"/>
  <c r="A10344" i="13"/>
  <c r="B10343" i="13"/>
  <c r="A10343" i="13"/>
  <c r="B10342" i="13"/>
  <c r="A10342" i="13"/>
  <c r="B10341" i="13"/>
  <c r="A10341" i="13"/>
  <c r="B10340" i="13"/>
  <c r="A10340" i="13"/>
  <c r="B10339" i="13"/>
  <c r="A10339" i="13"/>
  <c r="B10338" i="13"/>
  <c r="A10338" i="13"/>
  <c r="B10337" i="13"/>
  <c r="A10337" i="13"/>
  <c r="B10336" i="13"/>
  <c r="A10336" i="13"/>
  <c r="B10335" i="13"/>
  <c r="A10335" i="13"/>
  <c r="B10334" i="13"/>
  <c r="A10334" i="13"/>
  <c r="B10333" i="13"/>
  <c r="A10333" i="13"/>
  <c r="B10332" i="13"/>
  <c r="A10332" i="13"/>
  <c r="B10331" i="13"/>
  <c r="A10331" i="13"/>
  <c r="B10330" i="13"/>
  <c r="A10330" i="13"/>
  <c r="B10329" i="13"/>
  <c r="A10329" i="13"/>
  <c r="B10328" i="13"/>
  <c r="A10328" i="13"/>
  <c r="B10327" i="13"/>
  <c r="A10327" i="13"/>
  <c r="B10326" i="13"/>
  <c r="A10326" i="13"/>
  <c r="B10325" i="13"/>
  <c r="A10325" i="13"/>
  <c r="B10324" i="13"/>
  <c r="A10324" i="13"/>
  <c r="B10323" i="13"/>
  <c r="A10323" i="13"/>
  <c r="B10322" i="13"/>
  <c r="A10322" i="13"/>
  <c r="B10321" i="13"/>
  <c r="A10321" i="13"/>
  <c r="B10320" i="13"/>
  <c r="A10320" i="13"/>
  <c r="B10319" i="13"/>
  <c r="A10319" i="13"/>
  <c r="B10318" i="13"/>
  <c r="A10318" i="13"/>
  <c r="B10317" i="13"/>
  <c r="A10317" i="13"/>
  <c r="B10316" i="13"/>
  <c r="A10316" i="13"/>
  <c r="B10315" i="13"/>
  <c r="A10315" i="13"/>
  <c r="B10314" i="13"/>
  <c r="A10314" i="13"/>
  <c r="B10313" i="13"/>
  <c r="A10313" i="13"/>
  <c r="B10312" i="13"/>
  <c r="A10312" i="13"/>
  <c r="B10311" i="13"/>
  <c r="A10311" i="13"/>
  <c r="B10310" i="13"/>
  <c r="A10310" i="13"/>
  <c r="B10309" i="13"/>
  <c r="A10309" i="13"/>
  <c r="B10308" i="13"/>
  <c r="A10308" i="13"/>
  <c r="B10307" i="13"/>
  <c r="A10307" i="13"/>
  <c r="B10306" i="13"/>
  <c r="A10306" i="13"/>
  <c r="B10305" i="13"/>
  <c r="A10305" i="13"/>
  <c r="B10304" i="13"/>
  <c r="A10304" i="13"/>
  <c r="B10303" i="13"/>
  <c r="A10303" i="13"/>
  <c r="B10302" i="13"/>
  <c r="A10302" i="13"/>
  <c r="B10301" i="13"/>
  <c r="A10301" i="13"/>
  <c r="B10300" i="13"/>
  <c r="A10300" i="13"/>
  <c r="B10299" i="13"/>
  <c r="A10299" i="13"/>
  <c r="B10298" i="13"/>
  <c r="A10298" i="13"/>
  <c r="B10297" i="13"/>
  <c r="A10297" i="13"/>
  <c r="B10296" i="13"/>
  <c r="A10296" i="13"/>
  <c r="B10295" i="13"/>
  <c r="A10295" i="13"/>
  <c r="B10294" i="13"/>
  <c r="A10294" i="13"/>
  <c r="B10293" i="13"/>
  <c r="A10293" i="13"/>
  <c r="B10292" i="13"/>
  <c r="A10292" i="13"/>
  <c r="B10291" i="13"/>
  <c r="A10291" i="13"/>
  <c r="B10290" i="13"/>
  <c r="A10290" i="13"/>
  <c r="B10289" i="13"/>
  <c r="A10289" i="13"/>
  <c r="B10288" i="13"/>
  <c r="A10288" i="13"/>
  <c r="B10287" i="13"/>
  <c r="A10287" i="13"/>
  <c r="B10286" i="13"/>
  <c r="A10286" i="13"/>
  <c r="B10285" i="13"/>
  <c r="A10285" i="13"/>
  <c r="B10284" i="13"/>
  <c r="A10284" i="13"/>
  <c r="B10283" i="13"/>
  <c r="A10283" i="13"/>
  <c r="B10282" i="13"/>
  <c r="A10282" i="13"/>
  <c r="B10281" i="13"/>
  <c r="A10281" i="13"/>
  <c r="B10280" i="13"/>
  <c r="A10280" i="13"/>
  <c r="B10279" i="13"/>
  <c r="A10279" i="13"/>
  <c r="B10278" i="13"/>
  <c r="A10278" i="13"/>
  <c r="B10277" i="13"/>
  <c r="A10277" i="13"/>
  <c r="B10276" i="13"/>
  <c r="A10276" i="13"/>
  <c r="B10275" i="13"/>
  <c r="A10275" i="13"/>
  <c r="B10274" i="13"/>
  <c r="A10274" i="13"/>
  <c r="B10273" i="13"/>
  <c r="A10273" i="13"/>
  <c r="B10272" i="13"/>
  <c r="A10272" i="13"/>
  <c r="B10271" i="13"/>
  <c r="A10271" i="13"/>
  <c r="B10270" i="13"/>
  <c r="A10270" i="13"/>
  <c r="B10269" i="13"/>
  <c r="A10269" i="13"/>
  <c r="B10268" i="13"/>
  <c r="A10268" i="13"/>
  <c r="B10267" i="13"/>
  <c r="A10267" i="13"/>
  <c r="B10266" i="13"/>
  <c r="A10266" i="13"/>
  <c r="B10265" i="13"/>
  <c r="A10265" i="13"/>
  <c r="B10264" i="13"/>
  <c r="A10264" i="13"/>
  <c r="B10263" i="13"/>
  <c r="A10263" i="13"/>
  <c r="B10262" i="13"/>
  <c r="A10262" i="13"/>
  <c r="B10261" i="13"/>
  <c r="A10261" i="13"/>
  <c r="B10260" i="13"/>
  <c r="A10260" i="13"/>
  <c r="B10259" i="13"/>
  <c r="A10259" i="13"/>
  <c r="B10258" i="13"/>
  <c r="A10258" i="13"/>
  <c r="B10257" i="13"/>
  <c r="A10257" i="13"/>
  <c r="B10256" i="13"/>
  <c r="A10256" i="13"/>
  <c r="B10255" i="13"/>
  <c r="A10255" i="13"/>
  <c r="B10254" i="13"/>
  <c r="A10254" i="13"/>
  <c r="B10253" i="13"/>
  <c r="A10253" i="13"/>
  <c r="B10252" i="13"/>
  <c r="A10252" i="13"/>
  <c r="B10251" i="13"/>
  <c r="A10251" i="13"/>
  <c r="B10250" i="13"/>
  <c r="A10250" i="13"/>
  <c r="B10249" i="13"/>
  <c r="A10249" i="13"/>
  <c r="B10248" i="13"/>
  <c r="A10248" i="13"/>
  <c r="B10247" i="13"/>
  <c r="A10247" i="13"/>
  <c r="B10246" i="13"/>
  <c r="A10246" i="13"/>
  <c r="B10245" i="13"/>
  <c r="A10245" i="13"/>
  <c r="B10244" i="13"/>
  <c r="A10244" i="13"/>
  <c r="B10243" i="13"/>
  <c r="A10243" i="13"/>
  <c r="B10242" i="13"/>
  <c r="A10242" i="13"/>
  <c r="B10241" i="13"/>
  <c r="A10241" i="13"/>
  <c r="B10240" i="13"/>
  <c r="A10240" i="13"/>
  <c r="B10239" i="13"/>
  <c r="A10239" i="13"/>
  <c r="B10238" i="13"/>
  <c r="A10238" i="13"/>
  <c r="B10237" i="13"/>
  <c r="A10237" i="13"/>
  <c r="B10236" i="13"/>
  <c r="A10236" i="13"/>
  <c r="B10235" i="13"/>
  <c r="A10235" i="13"/>
  <c r="B10234" i="13"/>
  <c r="A10234" i="13"/>
  <c r="B10233" i="13"/>
  <c r="A10233" i="13"/>
  <c r="B10232" i="13"/>
  <c r="A10232" i="13"/>
  <c r="B10231" i="13"/>
  <c r="A10231" i="13"/>
  <c r="B10230" i="13"/>
  <c r="A10230" i="13"/>
  <c r="B10229" i="13"/>
  <c r="A10229" i="13"/>
  <c r="B10228" i="13"/>
  <c r="A10228" i="13"/>
  <c r="B10227" i="13"/>
  <c r="A10227" i="13"/>
  <c r="B10226" i="13"/>
  <c r="A10226" i="13"/>
  <c r="B10225" i="13"/>
  <c r="A10225" i="13"/>
  <c r="B10224" i="13"/>
  <c r="A10224" i="13"/>
  <c r="B10223" i="13"/>
  <c r="A10223" i="13"/>
  <c r="B10222" i="13"/>
  <c r="A10222" i="13"/>
  <c r="B10221" i="13"/>
  <c r="A10221" i="13"/>
  <c r="B10220" i="13"/>
  <c r="A10220" i="13"/>
  <c r="B10219" i="13"/>
  <c r="A10219" i="13"/>
  <c r="B10218" i="13"/>
  <c r="A10218" i="13"/>
  <c r="B10217" i="13"/>
  <c r="A10217" i="13"/>
  <c r="B10216" i="13"/>
  <c r="A10216" i="13"/>
  <c r="B10215" i="13"/>
  <c r="A10215" i="13"/>
  <c r="B10214" i="13"/>
  <c r="A10214" i="13"/>
  <c r="B10213" i="13"/>
  <c r="A10213" i="13"/>
  <c r="B10212" i="13"/>
  <c r="A10212" i="13"/>
  <c r="B10211" i="13"/>
  <c r="A10211" i="13"/>
  <c r="B10210" i="13"/>
  <c r="A10210" i="13"/>
  <c r="B10209" i="13"/>
  <c r="A10209" i="13"/>
  <c r="B10208" i="13"/>
  <c r="A10208" i="13"/>
  <c r="B10207" i="13"/>
  <c r="A10207" i="13"/>
  <c r="B10206" i="13"/>
  <c r="A10206" i="13"/>
  <c r="B10205" i="13"/>
  <c r="A10205" i="13"/>
  <c r="B10204" i="13"/>
  <c r="A10204" i="13"/>
  <c r="B10203" i="13"/>
  <c r="A10203" i="13"/>
  <c r="B10202" i="13"/>
  <c r="A10202" i="13"/>
  <c r="B10201" i="13"/>
  <c r="A10201" i="13"/>
  <c r="B10200" i="13"/>
  <c r="A10200" i="13"/>
  <c r="B10199" i="13"/>
  <c r="A10199" i="13"/>
  <c r="B10198" i="13"/>
  <c r="A10198" i="13"/>
  <c r="B10197" i="13"/>
  <c r="A10197" i="13"/>
  <c r="B10196" i="13"/>
  <c r="A10196" i="13"/>
  <c r="B10195" i="13"/>
  <c r="A10195" i="13"/>
  <c r="B10194" i="13"/>
  <c r="A10194" i="13"/>
  <c r="B10193" i="13"/>
  <c r="A10193" i="13"/>
  <c r="B10192" i="13"/>
  <c r="A10192" i="13"/>
  <c r="B10191" i="13"/>
  <c r="A10191" i="13"/>
  <c r="B10190" i="13"/>
  <c r="A10190" i="13"/>
  <c r="B10189" i="13"/>
  <c r="A10189" i="13"/>
  <c r="B10188" i="13"/>
  <c r="A10188" i="13"/>
  <c r="B10187" i="13"/>
  <c r="A10187" i="13"/>
  <c r="B10186" i="13"/>
  <c r="A10186" i="13"/>
  <c r="B10185" i="13"/>
  <c r="A10185" i="13"/>
  <c r="B10184" i="13"/>
  <c r="A10184" i="13"/>
  <c r="B10183" i="13"/>
  <c r="A10183" i="13"/>
  <c r="B10182" i="13"/>
  <c r="A10182" i="13"/>
  <c r="B10181" i="13"/>
  <c r="A10181" i="13"/>
  <c r="B10180" i="13"/>
  <c r="A10180" i="13"/>
  <c r="B10179" i="13"/>
  <c r="A10179" i="13"/>
  <c r="B10178" i="13"/>
  <c r="A10178" i="13"/>
  <c r="B10177" i="13"/>
  <c r="A10177" i="13"/>
  <c r="B10176" i="13"/>
  <c r="A10176" i="13"/>
  <c r="B10175" i="13"/>
  <c r="A10175" i="13"/>
  <c r="B10174" i="13"/>
  <c r="A10174" i="13"/>
  <c r="B10173" i="13"/>
  <c r="A10173" i="13"/>
  <c r="B10172" i="13"/>
  <c r="A10172" i="13"/>
  <c r="B10171" i="13"/>
  <c r="A10171" i="13"/>
  <c r="B10170" i="13"/>
  <c r="A10170" i="13"/>
  <c r="B10169" i="13"/>
  <c r="A10169" i="13"/>
  <c r="B10168" i="13"/>
  <c r="A10168" i="13"/>
  <c r="B10167" i="13"/>
  <c r="A10167" i="13"/>
  <c r="B10166" i="13"/>
  <c r="A10166" i="13"/>
  <c r="B10165" i="13"/>
  <c r="A10165" i="13"/>
  <c r="B10164" i="13"/>
  <c r="A10164" i="13"/>
  <c r="B10163" i="13"/>
  <c r="A10163" i="13"/>
  <c r="B10162" i="13"/>
  <c r="A10162" i="13"/>
  <c r="B10161" i="13"/>
  <c r="A10161" i="13"/>
  <c r="B10160" i="13"/>
  <c r="A10160" i="13"/>
  <c r="B10159" i="13"/>
  <c r="A10159" i="13"/>
  <c r="B10158" i="13"/>
  <c r="A10158" i="13"/>
  <c r="B10157" i="13"/>
  <c r="A10157" i="13"/>
  <c r="B10156" i="13"/>
  <c r="A10156" i="13"/>
  <c r="B10155" i="13"/>
  <c r="A10155" i="13"/>
  <c r="B10154" i="13"/>
  <c r="A10154" i="13"/>
  <c r="B10153" i="13"/>
  <c r="A10153" i="13"/>
  <c r="B10152" i="13"/>
  <c r="A10152" i="13"/>
  <c r="B10151" i="13"/>
  <c r="A10151" i="13"/>
  <c r="B10150" i="13"/>
  <c r="A10150" i="13"/>
  <c r="B10149" i="13"/>
  <c r="A10149" i="13"/>
  <c r="B10148" i="13"/>
  <c r="A10148" i="13"/>
  <c r="B10147" i="13"/>
  <c r="A10147" i="13"/>
  <c r="B10146" i="13"/>
  <c r="A10146" i="13"/>
  <c r="B10145" i="13"/>
  <c r="A10145" i="13"/>
  <c r="B10144" i="13"/>
  <c r="A10144" i="13"/>
  <c r="B10143" i="13"/>
  <c r="A10143" i="13"/>
  <c r="B10142" i="13"/>
  <c r="A10142" i="13"/>
  <c r="B10141" i="13"/>
  <c r="A10141" i="13"/>
  <c r="B10140" i="13"/>
  <c r="A10140" i="13"/>
  <c r="B10139" i="13"/>
  <c r="A10139" i="13"/>
  <c r="B10138" i="13"/>
  <c r="A10138" i="13"/>
  <c r="B10137" i="13"/>
  <c r="A10137" i="13"/>
  <c r="B10136" i="13"/>
  <c r="A10136" i="13"/>
  <c r="B10135" i="13"/>
  <c r="A10135" i="13"/>
  <c r="B10134" i="13"/>
  <c r="A10134" i="13"/>
  <c r="B10133" i="13"/>
  <c r="A10133" i="13"/>
  <c r="B10132" i="13"/>
  <c r="A10132" i="13"/>
  <c r="B10131" i="13"/>
  <c r="A10131" i="13"/>
  <c r="B10130" i="13"/>
  <c r="A10130" i="13"/>
  <c r="B10129" i="13"/>
  <c r="A10129" i="13"/>
  <c r="B10128" i="13"/>
  <c r="A10128" i="13"/>
  <c r="B10127" i="13"/>
  <c r="A10127" i="13"/>
  <c r="B10126" i="13"/>
  <c r="A10126" i="13"/>
  <c r="B10125" i="13"/>
  <c r="A10125" i="13"/>
  <c r="B10124" i="13"/>
  <c r="A10124" i="13"/>
  <c r="B10123" i="13"/>
  <c r="A10123" i="13"/>
  <c r="B10122" i="13"/>
  <c r="A10122" i="13"/>
  <c r="B10121" i="13"/>
  <c r="A10121" i="13"/>
  <c r="B10120" i="13"/>
  <c r="A10120" i="13"/>
  <c r="B10119" i="13"/>
  <c r="A10119" i="13"/>
  <c r="B10118" i="13"/>
  <c r="A10118" i="13"/>
  <c r="B10117" i="13"/>
  <c r="A10117" i="13"/>
  <c r="B10116" i="13"/>
  <c r="A10116" i="13"/>
  <c r="B10115" i="13"/>
  <c r="A10115" i="13"/>
  <c r="B10114" i="13"/>
  <c r="A10114" i="13"/>
  <c r="B10113" i="13"/>
  <c r="A10113" i="13"/>
  <c r="B10112" i="13"/>
  <c r="A10112" i="13"/>
  <c r="B10111" i="13"/>
  <c r="A10111" i="13"/>
  <c r="B10110" i="13"/>
  <c r="A10110" i="13"/>
  <c r="B10109" i="13"/>
  <c r="A10109" i="13"/>
  <c r="B10108" i="13"/>
  <c r="A10108" i="13"/>
  <c r="B10107" i="13"/>
  <c r="A10107" i="13"/>
  <c r="B10106" i="13"/>
  <c r="A10106" i="13"/>
  <c r="B10105" i="13"/>
  <c r="A10105" i="13"/>
  <c r="B10104" i="13"/>
  <c r="A10104" i="13"/>
  <c r="B10103" i="13"/>
  <c r="A10103" i="13"/>
  <c r="B10102" i="13"/>
  <c r="A10102" i="13"/>
  <c r="B10101" i="13"/>
  <c r="A10101" i="13"/>
  <c r="B10100" i="13"/>
  <c r="A10100" i="13"/>
  <c r="B10099" i="13"/>
  <c r="A10099" i="13"/>
  <c r="B10098" i="13"/>
  <c r="A10098" i="13"/>
  <c r="B10097" i="13"/>
  <c r="A10097" i="13"/>
  <c r="B10096" i="13"/>
  <c r="A10096" i="13"/>
  <c r="B10095" i="13"/>
  <c r="A10095" i="13"/>
  <c r="B10094" i="13"/>
  <c r="A10094" i="13"/>
  <c r="B10093" i="13"/>
  <c r="A10093" i="13"/>
  <c r="B10092" i="13"/>
  <c r="A10092" i="13"/>
  <c r="B10091" i="13"/>
  <c r="A10091" i="13"/>
  <c r="B10090" i="13"/>
  <c r="A10090" i="13"/>
  <c r="B10089" i="13"/>
  <c r="A10089" i="13"/>
  <c r="B10088" i="13"/>
  <c r="A10088" i="13"/>
  <c r="B10087" i="13"/>
  <c r="A10087" i="13"/>
  <c r="B10086" i="13"/>
  <c r="A10086" i="13"/>
  <c r="B10085" i="13"/>
  <c r="A10085" i="13"/>
  <c r="B10084" i="13"/>
  <c r="A10084" i="13"/>
  <c r="B10083" i="13"/>
  <c r="A10083" i="13"/>
  <c r="B10082" i="13"/>
  <c r="A10082" i="13"/>
  <c r="B10081" i="13"/>
  <c r="A10081" i="13"/>
  <c r="B10080" i="13"/>
  <c r="A10080" i="13"/>
  <c r="B10079" i="13"/>
  <c r="A10079" i="13"/>
  <c r="B10078" i="13"/>
  <c r="A10078" i="13"/>
  <c r="B10077" i="13"/>
  <c r="A10077" i="13"/>
  <c r="B10076" i="13"/>
  <c r="A10076" i="13"/>
  <c r="B10075" i="13"/>
  <c r="A10075" i="13"/>
  <c r="B10074" i="13"/>
  <c r="A10074" i="13"/>
  <c r="B10073" i="13"/>
  <c r="A10073" i="13"/>
  <c r="B10072" i="13"/>
  <c r="A10072" i="13"/>
  <c r="B10071" i="13"/>
  <c r="A10071" i="13"/>
  <c r="B10070" i="13"/>
  <c r="A10070" i="13"/>
  <c r="B10069" i="13"/>
  <c r="A10069" i="13"/>
  <c r="B10068" i="13"/>
  <c r="A10068" i="13"/>
  <c r="B10067" i="13"/>
  <c r="A10067" i="13"/>
  <c r="B10066" i="13"/>
  <c r="A10066" i="13"/>
  <c r="B10065" i="13"/>
  <c r="A10065" i="13"/>
  <c r="B10064" i="13"/>
  <c r="A10064" i="13"/>
  <c r="B10063" i="13"/>
  <c r="A10063" i="13"/>
  <c r="B10062" i="13"/>
  <c r="A10062" i="13"/>
  <c r="B10061" i="13"/>
  <c r="A10061" i="13"/>
  <c r="B10060" i="13"/>
  <c r="A10060" i="13"/>
  <c r="B10059" i="13"/>
  <c r="A10059" i="13"/>
  <c r="B10058" i="13"/>
  <c r="A10058" i="13"/>
  <c r="B10057" i="13"/>
  <c r="A10057" i="13"/>
  <c r="B10056" i="13"/>
  <c r="A10056" i="13"/>
  <c r="B10055" i="13"/>
  <c r="A10055" i="13"/>
  <c r="B10054" i="13"/>
  <c r="A10054" i="13"/>
  <c r="B10053" i="13"/>
  <c r="A10053" i="13"/>
  <c r="B10052" i="13"/>
  <c r="A10052" i="13"/>
  <c r="B10051" i="13"/>
  <c r="A10051" i="13"/>
  <c r="B10050" i="13"/>
  <c r="A10050" i="13"/>
  <c r="B10049" i="13"/>
  <c r="A10049" i="13"/>
  <c r="B10048" i="13"/>
  <c r="A10048" i="13"/>
  <c r="B10047" i="13"/>
  <c r="A10047" i="13"/>
  <c r="B10046" i="13"/>
  <c r="A10046" i="13"/>
  <c r="B10045" i="13"/>
  <c r="A10045" i="13"/>
  <c r="B10044" i="13"/>
  <c r="A10044" i="13"/>
  <c r="B10043" i="13"/>
  <c r="A10043" i="13"/>
  <c r="B10042" i="13"/>
  <c r="A10042" i="13"/>
  <c r="B10041" i="13"/>
  <c r="A10041" i="13"/>
  <c r="B10040" i="13"/>
  <c r="A10040" i="13"/>
  <c r="B10039" i="13"/>
  <c r="A10039" i="13"/>
  <c r="B10038" i="13"/>
  <c r="A10038" i="13"/>
  <c r="B10037" i="13"/>
  <c r="A10037" i="13"/>
  <c r="B10036" i="13"/>
  <c r="A10036" i="13"/>
  <c r="B10035" i="13"/>
  <c r="A10035" i="13"/>
  <c r="B10034" i="13"/>
  <c r="A10034" i="13"/>
  <c r="B10033" i="13"/>
  <c r="A10033" i="13"/>
  <c r="B10032" i="13"/>
  <c r="A10032" i="13"/>
  <c r="B10031" i="13"/>
  <c r="A10031" i="13"/>
  <c r="B10030" i="13"/>
  <c r="A10030" i="13"/>
  <c r="B10029" i="13"/>
  <c r="A10029" i="13"/>
  <c r="B10028" i="13"/>
  <c r="A10028" i="13"/>
  <c r="B10027" i="13"/>
  <c r="A10027" i="13"/>
  <c r="B10026" i="13"/>
  <c r="A10026" i="13"/>
  <c r="B10025" i="13"/>
  <c r="A10025" i="13"/>
  <c r="B10024" i="13"/>
  <c r="A10024" i="13"/>
  <c r="B10023" i="13"/>
  <c r="A10023" i="13"/>
  <c r="B10022" i="13"/>
  <c r="A10022" i="13"/>
  <c r="B10021" i="13"/>
  <c r="A10021" i="13"/>
  <c r="B10020" i="13"/>
  <c r="A10020" i="13"/>
  <c r="B10019" i="13"/>
  <c r="A10019" i="13"/>
  <c r="B10018" i="13"/>
  <c r="A10018" i="13"/>
  <c r="B10017" i="13"/>
  <c r="A10017" i="13"/>
  <c r="B10016" i="13"/>
  <c r="A10016" i="13"/>
  <c r="B10015" i="13"/>
  <c r="A10015" i="13"/>
  <c r="B10014" i="13"/>
  <c r="A10014" i="13"/>
  <c r="B10013" i="13"/>
  <c r="A10013" i="13"/>
  <c r="B10012" i="13"/>
  <c r="A10012" i="13"/>
  <c r="B10011" i="13"/>
  <c r="A10011" i="13"/>
  <c r="B10010" i="13"/>
  <c r="A10010" i="13"/>
  <c r="B10009" i="13"/>
  <c r="A10009" i="13"/>
  <c r="B10008" i="13"/>
  <c r="A10008" i="13"/>
  <c r="B10007" i="13"/>
  <c r="A10007" i="13"/>
  <c r="B10006" i="13"/>
  <c r="A10006" i="13"/>
  <c r="B10005" i="13"/>
  <c r="A10005" i="13"/>
  <c r="B10004" i="13"/>
  <c r="A10004" i="13"/>
  <c r="B10003" i="13"/>
  <c r="A10003" i="13"/>
  <c r="B10002" i="13"/>
  <c r="A10002" i="13"/>
  <c r="B10001" i="13"/>
  <c r="A10001" i="13"/>
  <c r="B10000" i="13"/>
  <c r="A10000" i="13"/>
  <c r="B9999" i="13"/>
  <c r="A9999" i="13"/>
  <c r="B9998" i="13"/>
  <c r="A9998" i="13"/>
  <c r="B9997" i="13"/>
  <c r="A9997" i="13"/>
  <c r="B9996" i="13"/>
  <c r="A9996" i="13"/>
  <c r="B9995" i="13"/>
  <c r="A9995" i="13"/>
  <c r="B9994" i="13"/>
  <c r="A9994" i="13"/>
  <c r="B9993" i="13"/>
  <c r="A9993" i="13"/>
  <c r="B9992" i="13"/>
  <c r="A9992" i="13"/>
  <c r="B9991" i="13"/>
  <c r="A9991" i="13"/>
  <c r="B9990" i="13"/>
  <c r="A9990" i="13"/>
  <c r="B9989" i="13"/>
  <c r="A9989" i="13"/>
  <c r="B9988" i="13"/>
  <c r="A9988" i="13"/>
  <c r="B9987" i="13"/>
  <c r="A9987" i="13"/>
  <c r="B9986" i="13"/>
  <c r="A9986" i="13"/>
  <c r="B9985" i="13"/>
  <c r="A9985" i="13"/>
  <c r="B9984" i="13"/>
  <c r="A9984" i="13"/>
  <c r="B9983" i="13"/>
  <c r="A9983" i="13"/>
  <c r="B9982" i="13"/>
  <c r="A9982" i="13"/>
  <c r="B9981" i="13"/>
  <c r="A9981" i="13"/>
  <c r="B9980" i="13"/>
  <c r="A9980" i="13"/>
  <c r="B9979" i="13"/>
  <c r="A9979" i="13"/>
  <c r="B9978" i="13"/>
  <c r="A9978" i="13"/>
  <c r="B9977" i="13"/>
  <c r="A9977" i="13"/>
  <c r="B9976" i="13"/>
  <c r="A9976" i="13"/>
  <c r="B9975" i="13"/>
  <c r="A9975" i="13"/>
  <c r="B9974" i="13"/>
  <c r="A9974" i="13"/>
  <c r="B9973" i="13"/>
  <c r="A9973" i="13"/>
  <c r="B9972" i="13"/>
  <c r="A9972" i="13"/>
  <c r="B9971" i="13"/>
  <c r="A9971" i="13"/>
  <c r="B9970" i="13"/>
  <c r="A9970" i="13"/>
  <c r="B9969" i="13"/>
  <c r="A9969" i="13"/>
  <c r="B9968" i="13"/>
  <c r="A9968" i="13"/>
  <c r="B9967" i="13"/>
  <c r="A9967" i="13"/>
  <c r="B9966" i="13"/>
  <c r="A9966" i="13"/>
  <c r="B9965" i="13"/>
  <c r="A9965" i="13"/>
  <c r="B9964" i="13"/>
  <c r="A9964" i="13"/>
  <c r="B9963" i="13"/>
  <c r="A9963" i="13"/>
  <c r="B9962" i="13"/>
  <c r="A9962" i="13"/>
  <c r="B9961" i="13"/>
  <c r="A9961" i="13"/>
  <c r="B9960" i="13"/>
  <c r="A9960" i="13"/>
  <c r="B9959" i="13"/>
  <c r="A9959" i="13"/>
  <c r="B9958" i="13"/>
  <c r="A9958" i="13"/>
  <c r="B9957" i="13"/>
  <c r="A9957" i="13"/>
  <c r="B9956" i="13"/>
  <c r="A9956" i="13"/>
  <c r="B9955" i="13"/>
  <c r="A9955" i="13"/>
  <c r="B9954" i="13"/>
  <c r="A9954" i="13"/>
  <c r="B9953" i="13"/>
  <c r="A9953" i="13"/>
  <c r="B9952" i="13"/>
  <c r="A9952" i="13"/>
  <c r="B9951" i="13"/>
  <c r="A9951" i="13"/>
  <c r="B9950" i="13"/>
  <c r="A9950" i="13"/>
  <c r="B9949" i="13"/>
  <c r="A9949" i="13"/>
  <c r="B9948" i="13"/>
  <c r="A9948" i="13"/>
  <c r="B9947" i="13"/>
  <c r="A9947" i="13"/>
  <c r="B9946" i="13"/>
  <c r="A9946" i="13"/>
  <c r="B9945" i="13"/>
  <c r="A9945" i="13"/>
  <c r="B9944" i="13"/>
  <c r="A9944" i="13"/>
  <c r="B9943" i="13"/>
  <c r="A9943" i="13"/>
  <c r="B9942" i="13"/>
  <c r="A9942" i="13"/>
  <c r="B9941" i="13"/>
  <c r="A9941" i="13"/>
  <c r="B9940" i="13"/>
  <c r="A9940" i="13"/>
  <c r="B9939" i="13"/>
  <c r="A9939" i="13"/>
  <c r="B9938" i="13"/>
  <c r="A9938" i="13"/>
  <c r="B9937" i="13"/>
  <c r="A9937" i="13"/>
  <c r="B9936" i="13"/>
  <c r="A9936" i="13"/>
  <c r="B9935" i="13"/>
  <c r="A9935" i="13"/>
  <c r="B9934" i="13"/>
  <c r="A9934" i="13"/>
  <c r="B9933" i="13"/>
  <c r="A9933" i="13"/>
  <c r="B9932" i="13"/>
  <c r="A9932" i="13"/>
  <c r="B9931" i="13"/>
  <c r="A9931" i="13"/>
  <c r="B9930" i="13"/>
  <c r="A9930" i="13"/>
  <c r="B9929" i="13"/>
  <c r="A9929" i="13"/>
  <c r="B9928" i="13"/>
  <c r="A9928" i="13"/>
  <c r="B9927" i="13"/>
  <c r="A9927" i="13"/>
  <c r="B9926" i="13"/>
  <c r="A9926" i="13"/>
  <c r="B9925" i="13"/>
  <c r="A9925" i="13"/>
  <c r="B9924" i="13"/>
  <c r="A9924" i="13"/>
  <c r="B9923" i="13"/>
  <c r="A9923" i="13"/>
  <c r="B9922" i="13"/>
  <c r="A9922" i="13"/>
  <c r="B9921" i="13"/>
  <c r="A9921" i="13"/>
  <c r="B9920" i="13"/>
  <c r="A9920" i="13"/>
  <c r="B9919" i="13"/>
  <c r="A9919" i="13"/>
  <c r="B9918" i="13"/>
  <c r="A9918" i="13"/>
  <c r="B9917" i="13"/>
  <c r="A9917" i="13"/>
  <c r="B9916" i="13"/>
  <c r="A9916" i="13"/>
  <c r="B9915" i="13"/>
  <c r="A9915" i="13"/>
  <c r="B9914" i="13"/>
  <c r="A9914" i="13"/>
  <c r="B9913" i="13"/>
  <c r="A9913" i="13"/>
  <c r="B9912" i="13"/>
  <c r="A9912" i="13"/>
  <c r="B9911" i="13"/>
  <c r="A9911" i="13"/>
  <c r="B9910" i="13"/>
  <c r="A9910" i="13"/>
  <c r="B9909" i="13"/>
  <c r="A9909" i="13"/>
  <c r="B9908" i="13"/>
  <c r="A9908" i="13"/>
  <c r="B9907" i="13"/>
  <c r="A9907" i="13"/>
  <c r="B9906" i="13"/>
  <c r="A9906" i="13"/>
  <c r="B9905" i="13"/>
  <c r="A9905" i="13"/>
  <c r="B9904" i="13"/>
  <c r="A9904" i="13"/>
  <c r="B9903" i="13"/>
  <c r="A9903" i="13"/>
  <c r="B9902" i="13"/>
  <c r="A9902" i="13"/>
  <c r="B9901" i="13"/>
  <c r="A9901" i="13"/>
  <c r="B9900" i="13"/>
  <c r="A9900" i="13"/>
  <c r="B9899" i="13"/>
  <c r="A9899" i="13"/>
  <c r="B9898" i="13"/>
  <c r="A9898" i="13"/>
  <c r="B9897" i="13"/>
  <c r="A9897" i="13"/>
  <c r="B9896" i="13"/>
  <c r="A9896" i="13"/>
  <c r="B9895" i="13"/>
  <c r="A9895" i="13"/>
  <c r="B9894" i="13"/>
  <c r="A9894" i="13"/>
  <c r="B9893" i="13"/>
  <c r="A9893" i="13"/>
  <c r="B9892" i="13"/>
  <c r="A9892" i="13"/>
  <c r="B9891" i="13"/>
  <c r="A9891" i="13"/>
  <c r="B9890" i="13"/>
  <c r="A9890" i="13"/>
  <c r="B9889" i="13"/>
  <c r="A9889" i="13"/>
  <c r="B9888" i="13"/>
  <c r="A9888" i="13"/>
  <c r="B9887" i="13"/>
  <c r="A9887" i="13"/>
  <c r="B9886" i="13"/>
  <c r="A9886" i="13"/>
  <c r="B9885" i="13"/>
  <c r="A9885" i="13"/>
  <c r="B9884" i="13"/>
  <c r="A9884" i="13"/>
  <c r="B9883" i="13"/>
  <c r="A9883" i="13"/>
  <c r="B9882" i="13"/>
  <c r="A9882" i="13"/>
  <c r="B9881" i="13"/>
  <c r="A9881" i="13"/>
  <c r="B9880" i="13"/>
  <c r="A9880" i="13"/>
  <c r="B9879" i="13"/>
  <c r="A9879" i="13"/>
  <c r="B9878" i="13"/>
  <c r="A9878" i="13"/>
  <c r="B9877" i="13"/>
  <c r="A9877" i="13"/>
  <c r="B9876" i="13"/>
  <c r="A9876" i="13"/>
  <c r="B9875" i="13"/>
  <c r="A9875" i="13"/>
  <c r="B9874" i="13"/>
  <c r="A9874" i="13"/>
  <c r="B9873" i="13"/>
  <c r="A9873" i="13"/>
  <c r="B9872" i="13"/>
  <c r="A9872" i="13"/>
  <c r="B9871" i="13"/>
  <c r="A9871" i="13"/>
  <c r="B9870" i="13"/>
  <c r="A9870" i="13"/>
  <c r="B9869" i="13"/>
  <c r="A9869" i="13"/>
  <c r="B9868" i="13"/>
  <c r="A9868" i="13"/>
  <c r="B9867" i="13"/>
  <c r="A9867" i="13"/>
  <c r="B9866" i="13"/>
  <c r="A9866" i="13"/>
  <c r="B9865" i="13"/>
  <c r="A9865" i="13"/>
  <c r="B9864" i="13"/>
  <c r="A9864" i="13"/>
  <c r="B9863" i="13"/>
  <c r="A9863" i="13"/>
  <c r="B9862" i="13"/>
  <c r="A9862" i="13"/>
  <c r="B9861" i="13"/>
  <c r="A9861" i="13"/>
  <c r="B9860" i="13"/>
  <c r="A9860" i="13"/>
  <c r="B9859" i="13"/>
  <c r="A9859" i="13"/>
  <c r="B9858" i="13"/>
  <c r="A9858" i="13"/>
  <c r="B9857" i="13"/>
  <c r="A9857" i="13"/>
  <c r="B9856" i="13"/>
  <c r="A9856" i="13"/>
  <c r="B9855" i="13"/>
  <c r="A9855" i="13"/>
  <c r="B9854" i="13"/>
  <c r="A9854" i="13"/>
  <c r="B9853" i="13"/>
  <c r="A9853" i="13"/>
  <c r="B9852" i="13"/>
  <c r="A9852" i="13"/>
  <c r="B9851" i="13"/>
  <c r="A9851" i="13"/>
  <c r="B9850" i="13"/>
  <c r="A9850" i="13"/>
  <c r="B9849" i="13"/>
  <c r="A9849" i="13"/>
  <c r="B9848" i="13"/>
  <c r="A9848" i="13"/>
  <c r="B9847" i="13"/>
  <c r="A9847" i="13"/>
  <c r="B9846" i="13"/>
  <c r="A9846" i="13"/>
  <c r="B9845" i="13"/>
  <c r="A9845" i="13"/>
  <c r="B9844" i="13"/>
  <c r="A9844" i="13"/>
  <c r="B9843" i="13"/>
  <c r="A9843" i="13"/>
  <c r="B9842" i="13"/>
  <c r="A9842" i="13"/>
  <c r="B9841" i="13"/>
  <c r="A9841" i="13"/>
  <c r="B9840" i="13"/>
  <c r="A9840" i="13"/>
  <c r="B9839" i="13"/>
  <c r="A9839" i="13"/>
  <c r="B9838" i="13"/>
  <c r="A9838" i="13"/>
  <c r="B9837" i="13"/>
  <c r="A9837" i="13"/>
  <c r="B9836" i="13"/>
  <c r="A9836" i="13"/>
  <c r="B9835" i="13"/>
  <c r="A9835" i="13"/>
  <c r="B9834" i="13"/>
  <c r="A9834" i="13"/>
  <c r="B9833" i="13"/>
  <c r="A9833" i="13"/>
  <c r="B9832" i="13"/>
  <c r="A9832" i="13"/>
  <c r="B9831" i="13"/>
  <c r="A9831" i="13"/>
  <c r="B9830" i="13"/>
  <c r="A9830" i="13"/>
  <c r="B9829" i="13"/>
  <c r="A9829" i="13"/>
  <c r="B9828" i="13"/>
  <c r="A9828" i="13"/>
  <c r="B9827" i="13"/>
  <c r="A9827" i="13"/>
  <c r="B9826" i="13"/>
  <c r="A9826" i="13"/>
  <c r="B9825" i="13"/>
  <c r="A9825" i="13"/>
  <c r="B9824" i="13"/>
  <c r="A9824" i="13"/>
  <c r="B9823" i="13"/>
  <c r="A9823" i="13"/>
  <c r="B9822" i="13"/>
  <c r="A9822" i="13"/>
  <c r="B9821" i="13"/>
  <c r="A9821" i="13"/>
  <c r="B9820" i="13"/>
  <c r="A9820" i="13"/>
  <c r="B9819" i="13"/>
  <c r="A9819" i="13"/>
  <c r="B9818" i="13"/>
  <c r="A9818" i="13"/>
  <c r="B9817" i="13"/>
  <c r="A9817" i="13"/>
  <c r="B9816" i="13"/>
  <c r="A9816" i="13"/>
  <c r="B9815" i="13"/>
  <c r="A9815" i="13"/>
  <c r="B9814" i="13"/>
  <c r="A9814" i="13"/>
  <c r="B9813" i="13"/>
  <c r="A9813" i="13"/>
  <c r="B9812" i="13"/>
  <c r="A9812" i="13"/>
  <c r="B9811" i="13"/>
  <c r="A9811" i="13"/>
  <c r="B9810" i="13"/>
  <c r="A9810" i="13"/>
  <c r="B9809" i="13"/>
  <c r="A9809" i="13"/>
  <c r="B9808" i="13"/>
  <c r="A9808" i="13"/>
  <c r="B9807" i="13"/>
  <c r="A9807" i="13"/>
  <c r="B9806" i="13"/>
  <c r="A9806" i="13"/>
  <c r="B9805" i="13"/>
  <c r="A9805" i="13"/>
  <c r="B9804" i="13"/>
  <c r="A9804" i="13"/>
  <c r="B9803" i="13"/>
  <c r="A9803" i="13"/>
  <c r="B9802" i="13"/>
  <c r="A9802" i="13"/>
  <c r="B9801" i="13"/>
  <c r="A9801" i="13"/>
  <c r="B9800" i="13"/>
  <c r="A9800" i="13"/>
  <c r="B9799" i="13"/>
  <c r="A9799" i="13"/>
  <c r="B9798" i="13"/>
  <c r="A9798" i="13"/>
  <c r="B9797" i="13"/>
  <c r="A9797" i="13"/>
  <c r="B9796" i="13"/>
  <c r="A9796" i="13"/>
  <c r="B9795" i="13"/>
  <c r="A9795" i="13"/>
  <c r="B9794" i="13"/>
  <c r="A9794" i="13"/>
  <c r="B9793" i="13"/>
  <c r="A9793" i="13"/>
  <c r="B9792" i="13"/>
  <c r="A9792" i="13"/>
  <c r="B9791" i="13"/>
  <c r="A9791" i="13"/>
  <c r="B9790" i="13"/>
  <c r="A9790" i="13"/>
  <c r="B9789" i="13"/>
  <c r="A9789" i="13"/>
  <c r="B9788" i="13"/>
  <c r="A9788" i="13"/>
  <c r="B9787" i="13"/>
  <c r="A9787" i="13"/>
  <c r="B9786" i="13"/>
  <c r="A9786" i="13"/>
  <c r="B9785" i="13"/>
  <c r="A9785" i="13"/>
  <c r="B9784" i="13"/>
  <c r="A9784" i="13"/>
  <c r="B9783" i="13"/>
  <c r="A9783" i="13"/>
  <c r="B9782" i="13"/>
  <c r="A9782" i="13"/>
  <c r="B9781" i="13"/>
  <c r="A9781" i="13"/>
  <c r="B9780" i="13"/>
  <c r="A9780" i="13"/>
  <c r="B9779" i="13"/>
  <c r="A9779" i="13"/>
  <c r="B9778" i="13"/>
  <c r="A9778" i="13"/>
  <c r="B9777" i="13"/>
  <c r="A9777" i="13"/>
  <c r="B9776" i="13"/>
  <c r="A9776" i="13"/>
  <c r="B9775" i="13"/>
  <c r="A9775" i="13"/>
  <c r="B9774" i="13"/>
  <c r="A9774" i="13"/>
  <c r="B9773" i="13"/>
  <c r="A9773" i="13"/>
  <c r="B9772" i="13"/>
  <c r="A9772" i="13"/>
  <c r="B9771" i="13"/>
  <c r="A9771" i="13"/>
  <c r="B9770" i="13"/>
  <c r="A9770" i="13"/>
  <c r="B9769" i="13"/>
  <c r="A9769" i="13"/>
  <c r="B9768" i="13"/>
  <c r="A9768" i="13"/>
  <c r="B9767" i="13"/>
  <c r="A9767" i="13"/>
  <c r="B9766" i="13"/>
  <c r="A9766" i="13"/>
  <c r="B9765" i="13"/>
  <c r="A9765" i="13"/>
  <c r="B9764" i="13"/>
  <c r="A9764" i="13"/>
  <c r="B9763" i="13"/>
  <c r="A9763" i="13"/>
  <c r="B9762" i="13"/>
  <c r="A9762" i="13"/>
  <c r="B9761" i="13"/>
  <c r="A9761" i="13"/>
  <c r="B9760" i="13"/>
  <c r="A9760" i="13"/>
  <c r="B9759" i="13"/>
  <c r="A9759" i="13"/>
  <c r="B9758" i="13"/>
  <c r="A9758" i="13"/>
  <c r="B9757" i="13"/>
  <c r="A9757" i="13"/>
  <c r="B9756" i="13"/>
  <c r="A9756" i="13"/>
  <c r="B9755" i="13"/>
  <c r="A9755" i="13"/>
  <c r="B9754" i="13"/>
  <c r="A9754" i="13"/>
  <c r="B9753" i="13"/>
  <c r="A9753" i="13"/>
  <c r="B9752" i="13"/>
  <c r="A9752" i="13"/>
  <c r="B9751" i="13"/>
  <c r="A9751" i="13"/>
  <c r="B9750" i="13"/>
  <c r="A9750" i="13"/>
  <c r="B9749" i="13"/>
  <c r="A9749" i="13"/>
  <c r="B9748" i="13"/>
  <c r="A9748" i="13"/>
  <c r="B9747" i="13"/>
  <c r="A9747" i="13"/>
  <c r="B9746" i="13"/>
  <c r="A9746" i="13"/>
  <c r="B9745" i="13"/>
  <c r="A9745" i="13"/>
  <c r="B9744" i="13"/>
  <c r="A9744" i="13"/>
  <c r="B9743" i="13"/>
  <c r="A9743" i="13"/>
  <c r="B9742" i="13"/>
  <c r="A9742" i="13"/>
  <c r="B9741" i="13"/>
  <c r="A9741" i="13"/>
  <c r="B9740" i="13"/>
  <c r="A9740" i="13"/>
  <c r="B9739" i="13"/>
  <c r="A9739" i="13"/>
  <c r="B9738" i="13"/>
  <c r="A9738" i="13"/>
  <c r="B9737" i="13"/>
  <c r="A9737" i="13"/>
  <c r="B9736" i="13"/>
  <c r="A9736" i="13"/>
  <c r="B9735" i="13"/>
  <c r="A9735" i="13"/>
  <c r="B9734" i="13"/>
  <c r="A9734" i="13"/>
  <c r="B9733" i="13"/>
  <c r="A9733" i="13"/>
  <c r="B9732" i="13"/>
  <c r="A9732" i="13"/>
  <c r="B9731" i="13"/>
  <c r="A9731" i="13"/>
  <c r="B9730" i="13"/>
  <c r="A9730" i="13"/>
  <c r="B9729" i="13"/>
  <c r="A9729" i="13"/>
  <c r="B9728" i="13"/>
  <c r="A9728" i="13"/>
  <c r="B9727" i="13"/>
  <c r="A9727" i="13"/>
  <c r="B9726" i="13"/>
  <c r="A9726" i="13"/>
  <c r="B9725" i="13"/>
  <c r="A9725" i="13"/>
  <c r="B9724" i="13"/>
  <c r="A9724" i="13"/>
  <c r="B9723" i="13"/>
  <c r="A9723" i="13"/>
  <c r="B9722" i="13"/>
  <c r="A9722" i="13"/>
  <c r="B9721" i="13"/>
  <c r="A9721" i="13"/>
  <c r="B9720" i="13"/>
  <c r="A9720" i="13"/>
  <c r="B9719" i="13"/>
  <c r="A9719" i="13"/>
  <c r="B9718" i="13"/>
  <c r="A9718" i="13"/>
  <c r="B9717" i="13"/>
  <c r="A9717" i="13"/>
  <c r="B9716" i="13"/>
  <c r="A9716" i="13"/>
  <c r="B9715" i="13"/>
  <c r="A9715" i="13"/>
  <c r="B9714" i="13"/>
  <c r="A9714" i="13"/>
  <c r="B9713" i="13"/>
  <c r="A9713" i="13"/>
  <c r="B9712" i="13"/>
  <c r="A9712" i="13"/>
  <c r="B9711" i="13"/>
  <c r="A9711" i="13"/>
  <c r="B9710" i="13"/>
  <c r="A9710" i="13"/>
  <c r="B9709" i="13"/>
  <c r="A9709" i="13"/>
  <c r="B9708" i="13"/>
  <c r="A9708" i="13"/>
  <c r="B9707" i="13"/>
  <c r="A9707" i="13"/>
  <c r="B9706" i="13"/>
  <c r="A9706" i="13"/>
  <c r="B9705" i="13"/>
  <c r="A9705" i="13"/>
  <c r="B9704" i="13"/>
  <c r="A9704" i="13"/>
  <c r="B9703" i="13"/>
  <c r="A9703" i="13"/>
  <c r="B9702" i="13"/>
  <c r="A9702" i="13"/>
  <c r="B9701" i="13"/>
  <c r="A9701" i="13"/>
  <c r="B9700" i="13"/>
  <c r="A9700" i="13"/>
  <c r="B9699" i="13"/>
  <c r="A9699" i="13"/>
  <c r="B9698" i="13"/>
  <c r="A9698" i="13"/>
  <c r="B9697" i="13"/>
  <c r="A9697" i="13"/>
  <c r="B9696" i="13"/>
  <c r="A9696" i="13"/>
  <c r="B9695" i="13"/>
  <c r="A9695" i="13"/>
  <c r="B9694" i="13"/>
  <c r="A9694" i="13"/>
  <c r="B9693" i="13"/>
  <c r="A9693" i="13"/>
  <c r="B9692" i="13"/>
  <c r="A9692" i="13"/>
  <c r="B9691" i="13"/>
  <c r="A9691" i="13"/>
  <c r="B9690" i="13"/>
  <c r="A9690" i="13"/>
  <c r="B9689" i="13"/>
  <c r="A9689" i="13"/>
  <c r="B9688" i="13"/>
  <c r="A9688" i="13"/>
  <c r="B9687" i="13"/>
  <c r="A9687" i="13"/>
  <c r="B9686" i="13"/>
  <c r="A9686" i="13"/>
  <c r="B9685" i="13"/>
  <c r="A9685" i="13"/>
  <c r="B9684" i="13"/>
  <c r="A9684" i="13"/>
  <c r="B9683" i="13"/>
  <c r="A9683" i="13"/>
  <c r="B9682" i="13"/>
  <c r="A9682" i="13"/>
  <c r="B9681" i="13"/>
  <c r="A9681" i="13"/>
  <c r="B9680" i="13"/>
  <c r="A9680" i="13"/>
  <c r="B9679" i="13"/>
  <c r="A9679" i="13"/>
  <c r="B9678" i="13"/>
  <c r="A9678" i="13"/>
  <c r="B9677" i="13"/>
  <c r="A9677" i="13"/>
  <c r="B9676" i="13"/>
  <c r="A9676" i="13"/>
  <c r="B9675" i="13"/>
  <c r="A9675" i="13"/>
  <c r="B9674" i="13"/>
  <c r="A9674" i="13"/>
  <c r="B9673" i="13"/>
  <c r="A9673" i="13"/>
  <c r="B9672" i="13"/>
  <c r="A9672" i="13"/>
  <c r="B9671" i="13"/>
  <c r="A9671" i="13"/>
  <c r="B9670" i="13"/>
  <c r="A9670" i="13"/>
  <c r="B9669" i="13"/>
  <c r="A9669" i="13"/>
  <c r="B9668" i="13"/>
  <c r="A9668" i="13"/>
  <c r="B9667" i="13"/>
  <c r="A9667" i="13"/>
  <c r="B9666" i="13"/>
  <c r="A9666" i="13"/>
  <c r="B9665" i="13"/>
  <c r="A9665" i="13"/>
  <c r="B9664" i="13"/>
  <c r="A9664" i="13"/>
  <c r="B9663" i="13"/>
  <c r="A9663" i="13"/>
  <c r="B9662" i="13"/>
  <c r="A9662" i="13"/>
  <c r="B9661" i="13"/>
  <c r="A9661" i="13"/>
  <c r="B9660" i="13"/>
  <c r="A9660" i="13"/>
  <c r="B9659" i="13"/>
  <c r="A9659" i="13"/>
  <c r="B9658" i="13"/>
  <c r="A9658" i="13"/>
  <c r="B9657" i="13"/>
  <c r="A9657" i="13"/>
  <c r="B9656" i="13"/>
  <c r="A9656" i="13"/>
  <c r="B9655" i="13"/>
  <c r="A9655" i="13"/>
  <c r="B9654" i="13"/>
  <c r="A9654" i="13"/>
  <c r="B9653" i="13"/>
  <c r="A9653" i="13"/>
  <c r="B9652" i="13"/>
  <c r="A9652" i="13"/>
  <c r="B9651" i="13"/>
  <c r="A9651" i="13"/>
  <c r="B9650" i="13"/>
  <c r="A9650" i="13"/>
  <c r="B9649" i="13"/>
  <c r="A9649" i="13"/>
  <c r="B9648" i="13"/>
  <c r="A9648" i="13"/>
  <c r="B9647" i="13"/>
  <c r="A9647" i="13"/>
  <c r="B9646" i="13"/>
  <c r="A9646" i="13"/>
  <c r="B9645" i="13"/>
  <c r="A9645" i="13"/>
  <c r="B9644" i="13"/>
  <c r="A9644" i="13"/>
  <c r="B9643" i="13"/>
  <c r="A9643" i="13"/>
  <c r="B9642" i="13"/>
  <c r="A9642" i="13"/>
  <c r="B9641" i="13"/>
  <c r="A9641" i="13"/>
  <c r="B9640" i="13"/>
  <c r="A9640" i="13"/>
  <c r="B9639" i="13"/>
  <c r="A9639" i="13"/>
  <c r="B9638" i="13"/>
  <c r="A9638" i="13"/>
  <c r="B9637" i="13"/>
  <c r="A9637" i="13"/>
  <c r="B9636" i="13"/>
  <c r="A9636" i="13"/>
  <c r="B9635" i="13"/>
  <c r="A9635" i="13"/>
  <c r="B9634" i="13"/>
  <c r="A9634" i="13"/>
  <c r="B9633" i="13"/>
  <c r="A9633" i="13"/>
  <c r="B9632" i="13"/>
  <c r="A9632" i="13"/>
  <c r="B9631" i="13"/>
  <c r="A9631" i="13"/>
  <c r="B9630" i="13"/>
  <c r="A9630" i="13"/>
  <c r="B9629" i="13"/>
  <c r="A9629" i="13"/>
  <c r="B9628" i="13"/>
  <c r="A9628" i="13"/>
  <c r="B9627" i="13"/>
  <c r="A9627" i="13"/>
  <c r="B9626" i="13"/>
  <c r="A9626" i="13"/>
  <c r="B9625" i="13"/>
  <c r="A9625" i="13"/>
  <c r="B9624" i="13"/>
  <c r="A9624" i="13"/>
  <c r="B9623" i="13"/>
  <c r="A9623" i="13"/>
  <c r="B9622" i="13"/>
  <c r="A9622" i="13"/>
  <c r="B9621" i="13"/>
  <c r="A9621" i="13"/>
  <c r="B9620" i="13"/>
  <c r="A9620" i="13"/>
  <c r="B9619" i="13"/>
  <c r="A9619" i="13"/>
  <c r="B9618" i="13"/>
  <c r="A9618" i="13"/>
  <c r="B9617" i="13"/>
  <c r="A9617" i="13"/>
  <c r="B9616" i="13"/>
  <c r="A9616" i="13"/>
  <c r="B9615" i="13"/>
  <c r="A9615" i="13"/>
  <c r="B9614" i="13"/>
  <c r="A9614" i="13"/>
  <c r="B9613" i="13"/>
  <c r="A9613" i="13"/>
  <c r="B9612" i="13"/>
  <c r="A9612" i="13"/>
  <c r="B9611" i="13"/>
  <c r="A9611" i="13"/>
  <c r="B9610" i="13"/>
  <c r="A9610" i="13"/>
  <c r="B9609" i="13"/>
  <c r="A9609" i="13"/>
  <c r="B9608" i="13"/>
  <c r="A9608" i="13"/>
  <c r="B9607" i="13"/>
  <c r="A9607" i="13"/>
  <c r="B9606" i="13"/>
  <c r="A9606" i="13"/>
  <c r="B9605" i="13"/>
  <c r="A9605" i="13"/>
  <c r="B9604" i="13"/>
  <c r="A9604" i="13"/>
  <c r="B9603" i="13"/>
  <c r="A9603" i="13"/>
  <c r="B9602" i="13"/>
  <c r="A9602" i="13"/>
  <c r="B9601" i="13"/>
  <c r="A9601" i="13"/>
  <c r="B9600" i="13"/>
  <c r="A9600" i="13"/>
  <c r="B9599" i="13"/>
  <c r="A9599" i="13"/>
  <c r="B9598" i="13"/>
  <c r="A9598" i="13"/>
  <c r="B9597" i="13"/>
  <c r="A9597" i="13"/>
  <c r="B9596" i="13"/>
  <c r="A9596" i="13"/>
  <c r="B9595" i="13"/>
  <c r="A9595" i="13"/>
  <c r="B9594" i="13"/>
  <c r="A9594" i="13"/>
  <c r="B9593" i="13"/>
  <c r="A9593" i="13"/>
  <c r="B9592" i="13"/>
  <c r="A9592" i="13"/>
  <c r="B9591" i="13"/>
  <c r="A9591" i="13"/>
  <c r="B9590" i="13"/>
  <c r="A9590" i="13"/>
  <c r="B9589" i="13"/>
  <c r="A9589" i="13"/>
  <c r="B9588" i="13"/>
  <c r="A9588" i="13"/>
  <c r="B9587" i="13"/>
  <c r="A9587" i="13"/>
  <c r="B9586" i="13"/>
  <c r="A9586" i="13"/>
  <c r="B9585" i="13"/>
  <c r="A9585" i="13"/>
  <c r="B9584" i="13"/>
  <c r="A9584" i="13"/>
  <c r="B9583" i="13"/>
  <c r="A9583" i="13"/>
  <c r="B9582" i="13"/>
  <c r="A9582" i="13"/>
  <c r="B9581" i="13"/>
  <c r="A9581" i="13"/>
  <c r="B9580" i="13"/>
  <c r="A9580" i="13"/>
  <c r="B9579" i="13"/>
  <c r="A9579" i="13"/>
  <c r="B9578" i="13"/>
  <c r="A9578" i="13"/>
  <c r="B9577" i="13"/>
  <c r="A9577" i="13"/>
  <c r="B9576" i="13"/>
  <c r="A9576" i="13"/>
  <c r="B9575" i="13"/>
  <c r="A9575" i="13"/>
  <c r="B9574" i="13"/>
  <c r="A9574" i="13"/>
  <c r="B9573" i="13"/>
  <c r="A9573" i="13"/>
  <c r="B9572" i="13"/>
  <c r="A9572" i="13"/>
  <c r="B9571" i="13"/>
  <c r="A9571" i="13"/>
  <c r="B9570" i="13"/>
  <c r="A9570" i="13"/>
  <c r="B9569" i="13"/>
  <c r="A9569" i="13"/>
  <c r="B9568" i="13"/>
  <c r="A9568" i="13"/>
  <c r="B9567" i="13"/>
  <c r="A9567" i="13"/>
  <c r="B9566" i="13"/>
  <c r="A9566" i="13"/>
  <c r="B9565" i="13"/>
  <c r="A9565" i="13"/>
  <c r="B9564" i="13"/>
  <c r="A9564" i="13"/>
  <c r="B9563" i="13"/>
  <c r="A9563" i="13"/>
  <c r="B9562" i="13"/>
  <c r="A9562" i="13"/>
  <c r="B9561" i="13"/>
  <c r="A9561" i="13"/>
  <c r="B9560" i="13"/>
  <c r="A9560" i="13"/>
  <c r="B9559" i="13"/>
  <c r="A9559" i="13"/>
  <c r="B9558" i="13"/>
  <c r="A9558" i="13"/>
  <c r="B9557" i="13"/>
  <c r="A9557" i="13"/>
  <c r="B9556" i="13"/>
  <c r="A9556" i="13"/>
  <c r="B9555" i="13"/>
  <c r="A9555" i="13"/>
  <c r="B9554" i="13"/>
  <c r="A9554" i="13"/>
  <c r="B9553" i="13"/>
  <c r="A9553" i="13"/>
  <c r="B9552" i="13"/>
  <c r="A9552" i="13"/>
  <c r="B9551" i="13"/>
  <c r="A9551" i="13"/>
  <c r="B9550" i="13"/>
  <c r="A9550" i="13"/>
  <c r="B9549" i="13"/>
  <c r="A9549" i="13"/>
  <c r="B9548" i="13"/>
  <c r="A9548" i="13"/>
  <c r="Y1" i="1" l="1"/>
  <c r="B9011" i="13" l="1"/>
  <c r="A9011" i="13"/>
  <c r="B9010" i="13"/>
  <c r="A9010" i="13"/>
  <c r="B9009" i="13"/>
  <c r="A9009" i="13"/>
  <c r="B9008" i="13"/>
  <c r="A9008" i="13"/>
  <c r="B9007" i="13"/>
  <c r="A9007" i="13"/>
  <c r="B9006" i="13"/>
  <c r="A9006" i="13"/>
  <c r="B9005" i="13"/>
  <c r="A9005" i="13"/>
  <c r="B9004" i="13"/>
  <c r="A9004" i="13"/>
  <c r="B9003" i="13"/>
  <c r="A9003" i="13"/>
  <c r="B9002" i="13"/>
  <c r="A9002" i="13"/>
  <c r="B9001" i="13"/>
  <c r="A9001" i="13"/>
  <c r="B9000" i="13"/>
  <c r="A9000" i="13"/>
  <c r="B8999" i="13"/>
  <c r="A8999" i="13"/>
  <c r="B8998" i="13"/>
  <c r="A8998" i="13"/>
  <c r="B8997" i="13"/>
  <c r="A8997" i="13"/>
  <c r="B8996" i="13"/>
  <c r="A8996" i="13"/>
  <c r="B8995" i="13"/>
  <c r="A8995" i="13"/>
  <c r="B8994" i="13"/>
  <c r="A8994" i="13"/>
  <c r="B8993" i="13"/>
  <c r="A8993" i="13"/>
  <c r="B8992" i="13"/>
  <c r="A8992" i="13"/>
  <c r="B8991" i="13"/>
  <c r="A8991" i="13"/>
  <c r="B8990" i="13"/>
  <c r="A8990" i="13"/>
  <c r="B8989" i="13"/>
  <c r="A8989" i="13"/>
  <c r="B8988" i="13"/>
  <c r="A8988" i="13"/>
  <c r="B8987" i="13"/>
  <c r="A8987" i="13"/>
  <c r="B8986" i="13"/>
  <c r="A8986" i="13"/>
  <c r="B8985" i="13"/>
  <c r="A8985" i="13"/>
  <c r="B8984" i="13"/>
  <c r="A8984" i="13"/>
  <c r="B8983" i="13"/>
  <c r="A8983" i="13"/>
  <c r="B8982" i="13"/>
  <c r="A8982" i="13"/>
  <c r="B8981" i="13"/>
  <c r="A8981" i="13"/>
  <c r="B8980" i="13"/>
  <c r="A8980" i="13"/>
  <c r="B8979" i="13"/>
  <c r="A8979" i="13"/>
  <c r="B8978" i="13"/>
  <c r="A8978" i="13"/>
  <c r="B8977" i="13"/>
  <c r="A8977" i="13"/>
  <c r="B8976" i="13"/>
  <c r="A8976" i="13"/>
  <c r="B8975" i="13"/>
  <c r="A8975" i="13"/>
  <c r="B8974" i="13"/>
  <c r="A8974" i="13"/>
  <c r="B8973" i="13"/>
  <c r="A8973" i="13"/>
  <c r="B8972" i="13"/>
  <c r="A8972" i="13"/>
  <c r="B8971" i="13"/>
  <c r="A8971" i="13"/>
  <c r="B8970" i="13"/>
  <c r="A8970" i="13"/>
  <c r="B8969" i="13"/>
  <c r="A8969" i="13"/>
  <c r="B8968" i="13"/>
  <c r="A8968" i="13"/>
  <c r="B8967" i="13"/>
  <c r="A8967" i="13"/>
  <c r="B8966" i="13"/>
  <c r="A8966" i="13"/>
  <c r="B8965" i="13"/>
  <c r="A8965" i="13"/>
  <c r="B8964" i="13"/>
  <c r="A8964" i="13"/>
  <c r="B8963" i="13"/>
  <c r="A8963" i="13"/>
  <c r="B8962" i="13"/>
  <c r="A8962" i="13"/>
  <c r="B8961" i="13"/>
  <c r="A8961" i="13"/>
  <c r="B8960" i="13"/>
  <c r="A8960" i="13"/>
  <c r="B8959" i="13"/>
  <c r="A8959" i="13"/>
  <c r="B8958" i="13"/>
  <c r="A8958" i="13"/>
  <c r="B8957" i="13"/>
  <c r="A8957" i="13"/>
  <c r="B8956" i="13"/>
  <c r="A8956" i="13"/>
  <c r="B8955" i="13"/>
  <c r="A8955" i="13"/>
  <c r="B8954" i="13"/>
  <c r="A8954" i="13"/>
  <c r="B8953" i="13"/>
  <c r="A8953" i="13"/>
  <c r="B8952" i="13"/>
  <c r="A8952" i="13"/>
  <c r="B8951" i="13"/>
  <c r="A8951" i="13"/>
  <c r="B8950" i="13"/>
  <c r="A8950" i="13"/>
  <c r="B8949" i="13"/>
  <c r="A8949" i="13"/>
  <c r="B8948" i="13"/>
  <c r="A8948" i="13"/>
  <c r="B8947" i="13"/>
  <c r="A8947" i="13"/>
  <c r="B8946" i="13"/>
  <c r="A8946" i="13"/>
  <c r="B8945" i="13"/>
  <c r="A8945" i="13"/>
  <c r="B8944" i="13"/>
  <c r="A8944" i="13"/>
  <c r="B8943" i="13"/>
  <c r="A8943" i="13"/>
  <c r="B8942" i="13"/>
  <c r="A8942" i="13"/>
  <c r="B8941" i="13"/>
  <c r="A8941" i="13"/>
  <c r="B8940" i="13"/>
  <c r="A8940" i="13"/>
  <c r="B8939" i="13"/>
  <c r="A8939" i="13"/>
  <c r="B8938" i="13"/>
  <c r="A8938" i="13"/>
  <c r="B8937" i="13"/>
  <c r="A8937" i="13"/>
  <c r="B8936" i="13"/>
  <c r="A8936" i="13"/>
  <c r="B8935" i="13"/>
  <c r="A8935" i="13"/>
  <c r="B8934" i="13"/>
  <c r="A8934" i="13"/>
  <c r="B8933" i="13"/>
  <c r="A8933" i="13"/>
  <c r="B8932" i="13"/>
  <c r="A8932" i="13"/>
  <c r="B8931" i="13"/>
  <c r="A8931" i="13"/>
  <c r="B8930" i="13"/>
  <c r="A8930" i="13"/>
  <c r="B8929" i="13"/>
  <c r="A8929" i="13"/>
  <c r="B8928" i="13"/>
  <c r="A8928" i="13"/>
  <c r="B8927" i="13"/>
  <c r="A8927" i="13"/>
  <c r="B8926" i="13"/>
  <c r="A8926" i="13"/>
  <c r="B8925" i="13"/>
  <c r="A8925" i="13"/>
  <c r="B8924" i="13"/>
  <c r="A8924" i="13"/>
  <c r="B8923" i="13"/>
  <c r="A8923" i="13"/>
  <c r="B8922" i="13"/>
  <c r="A8922" i="13"/>
  <c r="B8921" i="13"/>
  <c r="A8921" i="13"/>
  <c r="B8920" i="13"/>
  <c r="A8920" i="13"/>
  <c r="B8919" i="13"/>
  <c r="A8919" i="13"/>
  <c r="B8918" i="13"/>
  <c r="A8918" i="13"/>
  <c r="B8917" i="13"/>
  <c r="A8917" i="13"/>
  <c r="B8916" i="13"/>
  <c r="A8916" i="13"/>
  <c r="B8915" i="13"/>
  <c r="A8915" i="13"/>
  <c r="B8914" i="13"/>
  <c r="A8914" i="13"/>
  <c r="B8913" i="13"/>
  <c r="A8913" i="13"/>
  <c r="B8912" i="13"/>
  <c r="A8912" i="13"/>
  <c r="B8911" i="13"/>
  <c r="A8911" i="13"/>
  <c r="B8910" i="13"/>
  <c r="A8910" i="13"/>
  <c r="B8909" i="13"/>
  <c r="A8909" i="13"/>
  <c r="B8908" i="13"/>
  <c r="A8908" i="13"/>
  <c r="B8907" i="13"/>
  <c r="A8907" i="13"/>
  <c r="B8906" i="13"/>
  <c r="A8906" i="13"/>
  <c r="B8905" i="13"/>
  <c r="A8905" i="13"/>
  <c r="B8904" i="13"/>
  <c r="A8904" i="13"/>
  <c r="B8903" i="13"/>
  <c r="A8903" i="13"/>
  <c r="B8902" i="13"/>
  <c r="A8902" i="13"/>
  <c r="B8901" i="13"/>
  <c r="A8901" i="13"/>
  <c r="B8900" i="13"/>
  <c r="A8900" i="13"/>
  <c r="B8899" i="13"/>
  <c r="A8899" i="13"/>
  <c r="B8898" i="13"/>
  <c r="A8898" i="13"/>
  <c r="B8897" i="13"/>
  <c r="A8897" i="13"/>
  <c r="B8896" i="13"/>
  <c r="A8896" i="13"/>
  <c r="B8895" i="13"/>
  <c r="A8895" i="13"/>
  <c r="B8894" i="13"/>
  <c r="A8894" i="13"/>
  <c r="B8893" i="13"/>
  <c r="A8893" i="13"/>
  <c r="B8892" i="13"/>
  <c r="A8892" i="13"/>
  <c r="B8891" i="13"/>
  <c r="A8891" i="13"/>
  <c r="B8890" i="13"/>
  <c r="A8890" i="13"/>
  <c r="B8889" i="13"/>
  <c r="A8889" i="13"/>
  <c r="B8888" i="13"/>
  <c r="A8888" i="13"/>
  <c r="B8887" i="13"/>
  <c r="A8887" i="13"/>
  <c r="B8886" i="13"/>
  <c r="A8886" i="13"/>
  <c r="B8885" i="13"/>
  <c r="A8885" i="13"/>
  <c r="B8884" i="13"/>
  <c r="A8884" i="13"/>
  <c r="B8883" i="13"/>
  <c r="A8883" i="13"/>
  <c r="B8882" i="13"/>
  <c r="A8882" i="13"/>
  <c r="B8881" i="13"/>
  <c r="A8881" i="13"/>
  <c r="B8880" i="13"/>
  <c r="A8880" i="13"/>
  <c r="B8879" i="13"/>
  <c r="A8879" i="13"/>
  <c r="B8878" i="13"/>
  <c r="A8878" i="13"/>
  <c r="B8877" i="13"/>
  <c r="A8877" i="13"/>
  <c r="B8876" i="13"/>
  <c r="A8876" i="13"/>
  <c r="B8875" i="13"/>
  <c r="A8875" i="13"/>
  <c r="B8874" i="13"/>
  <c r="A8874" i="13"/>
  <c r="B8873" i="13"/>
  <c r="A8873" i="13"/>
  <c r="B8872" i="13"/>
  <c r="A8872" i="13"/>
  <c r="B8871" i="13"/>
  <c r="A8871" i="13"/>
  <c r="B8870" i="13"/>
  <c r="A8870" i="13"/>
  <c r="B8869" i="13"/>
  <c r="A8869" i="13"/>
  <c r="B8868" i="13"/>
  <c r="A8868" i="13"/>
  <c r="B8867" i="13"/>
  <c r="A8867" i="13"/>
  <c r="B8866" i="13"/>
  <c r="A8866" i="13"/>
  <c r="B8865" i="13"/>
  <c r="A8865" i="13"/>
  <c r="B8864" i="13"/>
  <c r="A8864" i="13"/>
  <c r="B8863" i="13"/>
  <c r="A8863" i="13"/>
  <c r="B8862" i="13"/>
  <c r="A8862" i="13"/>
  <c r="B8861" i="13"/>
  <c r="A8861" i="13"/>
  <c r="B8860" i="13"/>
  <c r="A8860" i="13"/>
  <c r="B8859" i="13"/>
  <c r="A8859" i="13"/>
  <c r="B8858" i="13"/>
  <c r="A8858" i="13"/>
  <c r="B8857" i="13"/>
  <c r="A8857" i="13"/>
  <c r="B8856" i="13"/>
  <c r="A8856" i="13"/>
  <c r="B8855" i="13"/>
  <c r="A8855" i="13"/>
  <c r="B8854" i="13"/>
  <c r="A8854" i="13"/>
  <c r="B8853" i="13"/>
  <c r="A8853" i="13"/>
  <c r="B8852" i="13"/>
  <c r="A8852" i="13"/>
  <c r="B8851" i="13"/>
  <c r="A8851" i="13"/>
  <c r="B8850" i="13"/>
  <c r="A8850" i="13"/>
  <c r="B8849" i="13"/>
  <c r="A8849" i="13"/>
  <c r="B8848" i="13"/>
  <c r="A8848" i="13"/>
  <c r="B8847" i="13"/>
  <c r="A8847" i="13"/>
  <c r="B8846" i="13"/>
  <c r="A8846" i="13"/>
  <c r="B8845" i="13"/>
  <c r="A8845" i="13"/>
  <c r="B8844" i="13"/>
  <c r="A8844" i="13"/>
  <c r="B8843" i="13"/>
  <c r="A8843" i="13"/>
  <c r="B8842" i="13"/>
  <c r="A8842" i="13"/>
  <c r="B8841" i="13"/>
  <c r="A8841" i="13"/>
  <c r="B8840" i="13"/>
  <c r="A8840" i="13"/>
  <c r="B8839" i="13"/>
  <c r="A8839" i="13"/>
  <c r="B8838" i="13"/>
  <c r="A8838" i="13"/>
  <c r="B8837" i="13"/>
  <c r="A8837" i="13"/>
  <c r="B8836" i="13"/>
  <c r="A8836" i="13"/>
  <c r="B8835" i="13"/>
  <c r="A8835" i="13"/>
  <c r="B8834" i="13"/>
  <c r="A8834" i="13"/>
  <c r="B8833" i="13"/>
  <c r="A8833" i="13"/>
  <c r="B8832" i="13"/>
  <c r="A8832" i="13"/>
  <c r="B8831" i="13"/>
  <c r="A8831" i="13"/>
  <c r="B8830" i="13"/>
  <c r="A8830" i="13"/>
  <c r="B8829" i="13"/>
  <c r="A8829" i="13"/>
  <c r="B8828" i="13"/>
  <c r="A8828" i="13"/>
  <c r="B8827" i="13"/>
  <c r="A8827" i="13"/>
  <c r="B8826" i="13"/>
  <c r="A8826" i="13"/>
  <c r="B8825" i="13"/>
  <c r="A8825" i="13"/>
  <c r="B8824" i="13"/>
  <c r="A8824" i="13"/>
  <c r="B8823" i="13"/>
  <c r="A8823" i="13"/>
  <c r="B8822" i="13"/>
  <c r="A8822" i="13"/>
  <c r="B8821" i="13"/>
  <c r="A8821" i="13"/>
  <c r="B8820" i="13"/>
  <c r="A8820" i="13"/>
  <c r="B8819" i="13"/>
  <c r="A8819" i="13"/>
  <c r="B8818" i="13"/>
  <c r="A8818" i="13"/>
  <c r="B8817" i="13"/>
  <c r="A8817" i="13"/>
  <c r="B8816" i="13"/>
  <c r="A8816" i="13"/>
  <c r="B8815" i="13"/>
  <c r="A8815" i="13"/>
  <c r="B8814" i="13"/>
  <c r="A8814" i="13"/>
  <c r="B8813" i="13"/>
  <c r="A8813" i="13"/>
  <c r="B8812" i="13"/>
  <c r="A8812" i="13"/>
  <c r="B8811" i="13"/>
  <c r="A8811" i="13"/>
  <c r="B8810" i="13"/>
  <c r="A8810" i="13"/>
  <c r="B8809" i="13"/>
  <c r="A8809" i="13"/>
  <c r="B8808" i="13"/>
  <c r="A8808" i="13"/>
  <c r="B8807" i="13"/>
  <c r="A8807" i="13"/>
  <c r="B8806" i="13"/>
  <c r="A8806" i="13"/>
  <c r="B8805" i="13"/>
  <c r="A8805" i="13"/>
  <c r="B8804" i="13"/>
  <c r="A8804" i="13"/>
  <c r="B8803" i="13"/>
  <c r="A8803" i="13"/>
  <c r="B8802" i="13"/>
  <c r="A8802" i="13"/>
  <c r="B8801" i="13"/>
  <c r="A8801" i="13"/>
  <c r="B8800" i="13"/>
  <c r="A8800" i="13"/>
  <c r="B8799" i="13"/>
  <c r="A8799" i="13"/>
  <c r="B8798" i="13"/>
  <c r="A8798" i="13"/>
  <c r="B8797" i="13"/>
  <c r="A8797" i="13"/>
  <c r="B8796" i="13"/>
  <c r="A8796" i="13"/>
  <c r="B8795" i="13"/>
  <c r="A8795" i="13"/>
  <c r="B8794" i="13"/>
  <c r="A8794" i="13"/>
  <c r="B8793" i="13"/>
  <c r="A8793" i="13"/>
  <c r="B8792" i="13"/>
  <c r="A8792" i="13"/>
  <c r="B8791" i="13"/>
  <c r="A8791" i="13"/>
  <c r="B8790" i="13"/>
  <c r="A8790" i="13"/>
  <c r="B8789" i="13"/>
  <c r="A8789" i="13"/>
  <c r="B8788" i="13"/>
  <c r="A8788" i="13"/>
  <c r="B8787" i="13"/>
  <c r="A8787" i="13"/>
  <c r="B8786" i="13"/>
  <c r="A8786" i="13"/>
  <c r="B8785" i="13"/>
  <c r="A8785" i="13"/>
  <c r="B8784" i="13"/>
  <c r="A8784" i="13"/>
  <c r="B8783" i="13"/>
  <c r="A8783" i="13"/>
  <c r="B8782" i="13"/>
  <c r="A8782" i="13"/>
  <c r="B8781" i="13"/>
  <c r="A8781" i="13"/>
  <c r="B8780" i="13"/>
  <c r="A8780" i="13"/>
  <c r="B8779" i="13"/>
  <c r="A8779" i="13"/>
  <c r="B8778" i="13"/>
  <c r="A8778" i="13"/>
  <c r="B8777" i="13"/>
  <c r="A8777" i="13"/>
  <c r="B8776" i="13"/>
  <c r="A8776" i="13"/>
  <c r="B8775" i="13"/>
  <c r="A8775" i="13"/>
  <c r="B8774" i="13"/>
  <c r="A8774" i="13"/>
  <c r="B8773" i="13"/>
  <c r="A8773" i="13"/>
  <c r="B8772" i="13"/>
  <c r="A8772" i="13"/>
  <c r="B8771" i="13"/>
  <c r="A8771" i="13"/>
  <c r="B8770" i="13"/>
  <c r="A8770" i="13"/>
  <c r="B8769" i="13"/>
  <c r="A8769" i="13"/>
  <c r="B8768" i="13"/>
  <c r="A8768" i="13"/>
  <c r="B8767" i="13"/>
  <c r="A8767" i="13"/>
  <c r="B8766" i="13"/>
  <c r="A8766" i="13"/>
  <c r="B8765" i="13"/>
  <c r="A8765" i="13"/>
  <c r="B8764" i="13"/>
  <c r="A8764" i="13"/>
  <c r="B8763" i="13"/>
  <c r="A8763" i="13"/>
  <c r="B8762" i="13"/>
  <c r="A8762" i="13"/>
  <c r="B8761" i="13"/>
  <c r="A8761" i="13"/>
  <c r="B8760" i="13"/>
  <c r="A8760" i="13"/>
  <c r="B8759" i="13"/>
  <c r="A8759" i="13"/>
  <c r="B8758" i="13"/>
  <c r="A8758" i="13"/>
  <c r="B8757" i="13"/>
  <c r="A8757" i="13"/>
  <c r="B8756" i="13"/>
  <c r="A8756" i="13"/>
  <c r="B8755" i="13"/>
  <c r="A8755" i="13"/>
  <c r="B8754" i="13"/>
  <c r="A8754" i="13"/>
  <c r="B8753" i="13"/>
  <c r="A8753" i="13"/>
  <c r="B8752" i="13"/>
  <c r="A8752" i="13"/>
  <c r="B8751" i="13"/>
  <c r="A8751" i="13"/>
  <c r="B8750" i="13"/>
  <c r="A8750" i="13"/>
  <c r="B8749" i="13"/>
  <c r="A8749" i="13"/>
  <c r="B8748" i="13"/>
  <c r="A8748" i="13"/>
  <c r="B8747" i="13"/>
  <c r="A8747" i="13"/>
  <c r="B8746" i="13"/>
  <c r="A8746" i="13"/>
  <c r="B8745" i="13"/>
  <c r="A8745" i="13"/>
  <c r="B8744" i="13"/>
  <c r="A8744" i="13"/>
  <c r="B8743" i="13"/>
  <c r="A8743" i="13"/>
  <c r="B8742" i="13"/>
  <c r="A8742" i="13"/>
  <c r="B8741" i="13"/>
  <c r="A8741" i="13"/>
  <c r="B8740" i="13"/>
  <c r="A8740" i="13"/>
  <c r="B8739" i="13"/>
  <c r="A8739" i="13"/>
  <c r="B8738" i="13"/>
  <c r="A8738" i="13"/>
  <c r="B8737" i="13"/>
  <c r="A8737" i="13"/>
  <c r="B8736" i="13"/>
  <c r="A8736" i="13"/>
  <c r="B8735" i="13"/>
  <c r="A8735" i="13"/>
  <c r="B8734" i="13"/>
  <c r="A8734" i="13"/>
  <c r="B8733" i="13"/>
  <c r="A8733" i="13"/>
  <c r="B8732" i="13"/>
  <c r="A8732" i="13"/>
  <c r="B8731" i="13"/>
  <c r="A8731" i="13"/>
  <c r="B8730" i="13"/>
  <c r="A8730" i="13"/>
  <c r="B8729" i="13"/>
  <c r="A8729" i="13"/>
  <c r="B8728" i="13"/>
  <c r="A8728" i="13"/>
  <c r="B8727" i="13"/>
  <c r="A8727" i="13"/>
  <c r="B8726" i="13"/>
  <c r="A8726" i="13"/>
  <c r="B8725" i="13"/>
  <c r="A8725" i="13"/>
  <c r="B8724" i="13"/>
  <c r="A8724" i="13"/>
  <c r="B8723" i="13"/>
  <c r="A8723" i="13"/>
  <c r="B8722" i="13"/>
  <c r="A8722" i="13"/>
  <c r="B8721" i="13"/>
  <c r="A8721" i="13"/>
  <c r="B8720" i="13"/>
  <c r="A8720" i="13"/>
  <c r="B8719" i="13"/>
  <c r="A8719" i="13"/>
  <c r="B8718" i="13"/>
  <c r="A8718" i="13"/>
  <c r="B8717" i="13"/>
  <c r="A8717" i="13"/>
  <c r="B8716" i="13"/>
  <c r="A8716" i="13"/>
  <c r="B8715" i="13"/>
  <c r="A8715" i="13"/>
  <c r="B8714" i="13"/>
  <c r="A8714" i="13"/>
  <c r="B8713" i="13"/>
  <c r="A8713" i="13"/>
  <c r="B8712" i="13"/>
  <c r="A8712" i="13"/>
  <c r="B8711" i="13"/>
  <c r="A8711" i="13"/>
  <c r="B8710" i="13"/>
  <c r="A8710" i="13"/>
  <c r="B8709" i="13"/>
  <c r="A8709" i="13"/>
  <c r="B8708" i="13"/>
  <c r="A8708" i="13"/>
  <c r="B8707" i="13"/>
  <c r="A8707" i="13"/>
  <c r="B8706" i="13"/>
  <c r="A8706" i="13"/>
  <c r="B8705" i="13"/>
  <c r="A8705" i="13"/>
  <c r="B8704" i="13"/>
  <c r="A8704" i="13"/>
  <c r="B8703" i="13"/>
  <c r="A8703" i="13"/>
  <c r="B8702" i="13"/>
  <c r="A8702" i="13"/>
  <c r="B8701" i="13"/>
  <c r="A8701" i="13"/>
  <c r="B8700" i="13"/>
  <c r="A8700" i="13"/>
  <c r="B8699" i="13"/>
  <c r="A8699" i="13"/>
  <c r="B8698" i="13"/>
  <c r="A8698" i="13"/>
  <c r="B8697" i="13"/>
  <c r="A8697" i="13"/>
  <c r="B8696" i="13"/>
  <c r="A8696" i="13"/>
  <c r="B8695" i="13"/>
  <c r="A8695" i="13"/>
  <c r="B8694" i="13"/>
  <c r="A8694" i="13"/>
  <c r="B8693" i="13"/>
  <c r="A8693" i="13"/>
  <c r="B8692" i="13"/>
  <c r="A8692" i="13"/>
  <c r="B8691" i="13"/>
  <c r="A8691" i="13"/>
  <c r="B8690" i="13"/>
  <c r="A8690" i="13"/>
  <c r="B8689" i="13"/>
  <c r="A8689" i="13"/>
  <c r="B8688" i="13"/>
  <c r="A8688" i="13"/>
  <c r="B8687" i="13"/>
  <c r="A8687" i="13"/>
  <c r="B8686" i="13"/>
  <c r="A8686" i="13"/>
  <c r="B8685" i="13"/>
  <c r="A8685" i="13"/>
  <c r="B8684" i="13"/>
  <c r="A8684" i="13"/>
  <c r="B8683" i="13"/>
  <c r="A8683" i="13"/>
  <c r="B8682" i="13"/>
  <c r="A8682" i="13"/>
  <c r="B8681" i="13"/>
  <c r="A8681" i="13"/>
  <c r="B8680" i="13"/>
  <c r="A8680" i="13"/>
  <c r="B8679" i="13"/>
  <c r="A8679" i="13"/>
  <c r="B8678" i="13"/>
  <c r="A8678" i="13"/>
  <c r="B8677" i="13"/>
  <c r="A8677" i="13"/>
  <c r="B8676" i="13"/>
  <c r="A8676" i="13"/>
  <c r="B8675" i="13"/>
  <c r="A8675" i="13"/>
  <c r="B8674" i="13"/>
  <c r="A8674" i="13"/>
  <c r="B8673" i="13"/>
  <c r="A8673" i="13"/>
  <c r="B8672" i="13"/>
  <c r="A8672" i="13"/>
  <c r="B8671" i="13"/>
  <c r="A8671" i="13"/>
  <c r="B8670" i="13"/>
  <c r="A8670" i="13"/>
  <c r="B8669" i="13"/>
  <c r="A8669" i="13"/>
  <c r="B8668" i="13"/>
  <c r="A8668" i="13"/>
  <c r="B8667" i="13"/>
  <c r="A8667" i="13"/>
  <c r="B8666" i="13"/>
  <c r="A8666" i="13"/>
  <c r="B8665" i="13"/>
  <c r="A8665" i="13"/>
  <c r="B8664" i="13"/>
  <c r="A8664" i="13"/>
  <c r="B8663" i="13"/>
  <c r="A8663" i="13"/>
  <c r="B8662" i="13"/>
  <c r="A8662" i="13"/>
  <c r="B8661" i="13"/>
  <c r="A8661" i="13"/>
  <c r="B8660" i="13"/>
  <c r="A8660" i="13"/>
  <c r="B8659" i="13"/>
  <c r="A8659" i="13"/>
  <c r="B8658" i="13"/>
  <c r="A8658" i="13"/>
  <c r="B8657" i="13"/>
  <c r="A8657" i="13"/>
  <c r="B8656" i="13"/>
  <c r="A8656" i="13"/>
  <c r="B8655" i="13"/>
  <c r="A8655" i="13"/>
  <c r="B8654" i="13"/>
  <c r="A8654" i="13"/>
  <c r="B8653" i="13"/>
  <c r="A8653" i="13"/>
  <c r="B8652" i="13"/>
  <c r="A8652" i="13"/>
  <c r="B8651" i="13"/>
  <c r="A8651" i="13"/>
  <c r="B8650" i="13"/>
  <c r="A8650" i="13"/>
  <c r="B8649" i="13"/>
  <c r="A8649" i="13"/>
  <c r="B8648" i="13"/>
  <c r="A8648" i="13"/>
  <c r="B8647" i="13"/>
  <c r="A8647" i="13"/>
  <c r="B8646" i="13"/>
  <c r="A8646" i="13"/>
  <c r="B8645" i="13"/>
  <c r="A8645" i="13"/>
  <c r="B8644" i="13"/>
  <c r="A8644" i="13"/>
  <c r="B8643" i="13"/>
  <c r="A8643" i="13"/>
  <c r="B8642" i="13"/>
  <c r="A8642" i="13"/>
  <c r="B8641" i="13"/>
  <c r="A8641" i="13"/>
  <c r="B8640" i="13"/>
  <c r="A8640" i="13"/>
  <c r="B8639" i="13"/>
  <c r="A8639" i="13"/>
  <c r="B8638" i="13"/>
  <c r="A8638" i="13"/>
  <c r="B8637" i="13"/>
  <c r="A8637" i="13"/>
  <c r="B8636" i="13"/>
  <c r="A8636" i="13"/>
  <c r="B8635" i="13"/>
  <c r="A8635" i="13"/>
  <c r="B8634" i="13"/>
  <c r="A8634" i="13"/>
  <c r="B8633" i="13"/>
  <c r="A8633" i="13"/>
  <c r="B8632" i="13"/>
  <c r="A8632" i="13"/>
  <c r="B8631" i="13"/>
  <c r="A8631" i="13"/>
  <c r="B8630" i="13"/>
  <c r="A8630" i="13"/>
  <c r="B8629" i="13"/>
  <c r="A8629" i="13"/>
  <c r="B8628" i="13"/>
  <c r="A8628" i="13"/>
  <c r="B8627" i="13"/>
  <c r="A8627" i="13"/>
  <c r="B8626" i="13"/>
  <c r="A8626" i="13"/>
  <c r="B8625" i="13"/>
  <c r="A8625" i="13"/>
  <c r="B8624" i="13"/>
  <c r="A8624" i="13"/>
  <c r="B8623" i="13"/>
  <c r="A8623" i="13"/>
  <c r="B8622" i="13"/>
  <c r="A8622" i="13"/>
  <c r="B8621" i="13"/>
  <c r="A8621" i="13"/>
  <c r="B8620" i="13"/>
  <c r="A8620" i="13"/>
  <c r="B8619" i="13"/>
  <c r="A8619" i="13"/>
  <c r="B8618" i="13"/>
  <c r="A8618" i="13"/>
  <c r="B8617" i="13"/>
  <c r="A8617" i="13"/>
  <c r="B8616" i="13"/>
  <c r="A8616" i="13"/>
  <c r="B8615" i="13"/>
  <c r="A8615" i="13"/>
  <c r="B8614" i="13"/>
  <c r="A8614" i="13"/>
  <c r="B8613" i="13"/>
  <c r="A8613" i="13"/>
  <c r="B8612" i="13"/>
  <c r="A8612" i="13"/>
  <c r="B8611" i="13"/>
  <c r="A8611" i="13"/>
  <c r="B8610" i="13"/>
  <c r="A8610" i="13"/>
  <c r="B8609" i="13"/>
  <c r="A8609" i="13"/>
  <c r="B8608" i="13"/>
  <c r="A8608" i="13"/>
  <c r="B8607" i="13"/>
  <c r="A8607" i="13"/>
  <c r="B8606" i="13"/>
  <c r="A8606" i="13"/>
  <c r="B8605" i="13"/>
  <c r="A8605" i="13"/>
  <c r="B8604" i="13"/>
  <c r="A8604" i="13"/>
  <c r="B8603" i="13"/>
  <c r="A8603" i="13"/>
  <c r="B8602" i="13"/>
  <c r="A8602" i="13"/>
  <c r="B8601" i="13"/>
  <c r="A8601" i="13"/>
  <c r="B8600" i="13"/>
  <c r="A8600" i="13"/>
  <c r="B8599" i="13"/>
  <c r="A8599" i="13"/>
  <c r="B8598" i="13"/>
  <c r="A8598" i="13"/>
  <c r="B8597" i="13"/>
  <c r="A8597" i="13"/>
  <c r="B8596" i="13"/>
  <c r="A8596" i="13"/>
  <c r="B8595" i="13"/>
  <c r="A8595" i="13"/>
  <c r="B8594" i="13"/>
  <c r="A8594" i="13"/>
  <c r="B8593" i="13"/>
  <c r="A8593" i="13"/>
  <c r="B8592" i="13"/>
  <c r="A8592" i="13"/>
  <c r="B8591" i="13"/>
  <c r="A8591" i="13"/>
  <c r="B8590" i="13"/>
  <c r="A8590" i="13"/>
  <c r="B8589" i="13"/>
  <c r="A8589" i="13"/>
  <c r="B8588" i="13"/>
  <c r="A8588" i="13"/>
  <c r="B8587" i="13"/>
  <c r="A8587" i="13"/>
  <c r="B8586" i="13"/>
  <c r="A8586" i="13"/>
  <c r="B8585" i="13"/>
  <c r="A8585" i="13"/>
  <c r="B8584" i="13"/>
  <c r="A8584" i="13"/>
  <c r="B8583" i="13"/>
  <c r="A8583" i="13"/>
  <c r="B8582" i="13"/>
  <c r="A8582" i="13"/>
  <c r="B8581" i="13"/>
  <c r="A8581" i="13"/>
  <c r="B8580" i="13"/>
  <c r="A8580" i="13"/>
  <c r="B8579" i="13"/>
  <c r="A8579" i="13"/>
  <c r="B8578" i="13"/>
  <c r="A8578" i="13"/>
  <c r="B8577" i="13"/>
  <c r="A8577" i="13"/>
  <c r="B8576" i="13"/>
  <c r="A8576" i="13"/>
  <c r="B8575" i="13"/>
  <c r="A8575" i="13"/>
  <c r="B8574" i="13"/>
  <c r="A8574" i="13"/>
  <c r="B8573" i="13"/>
  <c r="A8573" i="13"/>
  <c r="B8572" i="13"/>
  <c r="A8572" i="13"/>
  <c r="B8571" i="13"/>
  <c r="A8571" i="13"/>
  <c r="B8570" i="13"/>
  <c r="A8570" i="13"/>
  <c r="B8569" i="13"/>
  <c r="A8569" i="13"/>
  <c r="B8568" i="13"/>
  <c r="A8568" i="13"/>
  <c r="B8567" i="13"/>
  <c r="A8567" i="13"/>
  <c r="B8566" i="13"/>
  <c r="A8566" i="13"/>
  <c r="B8565" i="13"/>
  <c r="A8565" i="13"/>
  <c r="B8564" i="13"/>
  <c r="A8564" i="13"/>
  <c r="B8563" i="13"/>
  <c r="A8563" i="13"/>
  <c r="B8562" i="13"/>
  <c r="A8562" i="13"/>
  <c r="B8561" i="13"/>
  <c r="A8561" i="13"/>
  <c r="B8560" i="13"/>
  <c r="A8560" i="13"/>
  <c r="B8559" i="13"/>
  <c r="A8559" i="13"/>
  <c r="B8558" i="13"/>
  <c r="A8558" i="13"/>
  <c r="B8557" i="13"/>
  <c r="A8557" i="13"/>
  <c r="B8556" i="13"/>
  <c r="A8556" i="13"/>
  <c r="B8555" i="13"/>
  <c r="A8555" i="13"/>
  <c r="B8554" i="13"/>
  <c r="A8554" i="13"/>
  <c r="B8553" i="13"/>
  <c r="A8553" i="13"/>
  <c r="B8552" i="13"/>
  <c r="A8552" i="13"/>
  <c r="B8551" i="13"/>
  <c r="A8551" i="13"/>
  <c r="B8550" i="13"/>
  <c r="A8550" i="13"/>
  <c r="B8549" i="13"/>
  <c r="A8549" i="13"/>
  <c r="B8548" i="13"/>
  <c r="A8548" i="13"/>
  <c r="B8547" i="13"/>
  <c r="A8547" i="13"/>
  <c r="B8546" i="13"/>
  <c r="A8546" i="13"/>
  <c r="B8545" i="13"/>
  <c r="A8545" i="13"/>
  <c r="B8544" i="13"/>
  <c r="A8544" i="13"/>
  <c r="B8543" i="13"/>
  <c r="A8543" i="13"/>
  <c r="B8542" i="13"/>
  <c r="A8542" i="13"/>
  <c r="B8541" i="13"/>
  <c r="A8541" i="13"/>
  <c r="B8540" i="13"/>
  <c r="A8540" i="13"/>
  <c r="B8539" i="13"/>
  <c r="A8539" i="13"/>
  <c r="B8538" i="13"/>
  <c r="A8538" i="13"/>
  <c r="B8537" i="13"/>
  <c r="A8537" i="13"/>
  <c r="B8536" i="13"/>
  <c r="A8536" i="13"/>
  <c r="B8535" i="13"/>
  <c r="A8535" i="13"/>
  <c r="B8534" i="13"/>
  <c r="A8534" i="13"/>
  <c r="B8533" i="13"/>
  <c r="A8533" i="13"/>
  <c r="B8532" i="13"/>
  <c r="A8532" i="13"/>
  <c r="B8531" i="13"/>
  <c r="A8531" i="13"/>
  <c r="B8530" i="13"/>
  <c r="A8530" i="13"/>
  <c r="B8529" i="13"/>
  <c r="A8529" i="13"/>
  <c r="B8528" i="13"/>
  <c r="A8528" i="13"/>
  <c r="B8527" i="13"/>
  <c r="A8527" i="13"/>
  <c r="B8526" i="13"/>
  <c r="A8526" i="13"/>
  <c r="B8525" i="13"/>
  <c r="A8525" i="13"/>
  <c r="B8524" i="13"/>
  <c r="A8524" i="13"/>
  <c r="B8523" i="13"/>
  <c r="A8523" i="13"/>
  <c r="B8522" i="13"/>
  <c r="A8522" i="13"/>
  <c r="B8521" i="13"/>
  <c r="A8521" i="13"/>
  <c r="B8520" i="13"/>
  <c r="A8520" i="13"/>
  <c r="B8519" i="13"/>
  <c r="A8519" i="13"/>
  <c r="B8518" i="13"/>
  <c r="A8518" i="13"/>
  <c r="B8517" i="13"/>
  <c r="A8517" i="13"/>
  <c r="B8516" i="13"/>
  <c r="A8516" i="13"/>
  <c r="B8515" i="13"/>
  <c r="A8515" i="13"/>
  <c r="B8514" i="13"/>
  <c r="A8514" i="13"/>
  <c r="B8513" i="13"/>
  <c r="A8513" i="13"/>
  <c r="B8512" i="13"/>
  <c r="A8512" i="13"/>
  <c r="B8511" i="13"/>
  <c r="A8511" i="13"/>
  <c r="B8510" i="13"/>
  <c r="A8510" i="13"/>
  <c r="B8509" i="13"/>
  <c r="A8509" i="13"/>
  <c r="B8508" i="13"/>
  <c r="A8508" i="13"/>
  <c r="B8507" i="13"/>
  <c r="A8507" i="13"/>
  <c r="B8506" i="13"/>
  <c r="A8506" i="13"/>
  <c r="B8505" i="13"/>
  <c r="A8505" i="13"/>
  <c r="B8504" i="13"/>
  <c r="A8504" i="13"/>
  <c r="B8503" i="13"/>
  <c r="A8503" i="13"/>
  <c r="B8502" i="13"/>
  <c r="A8502" i="13"/>
  <c r="B8501" i="13"/>
  <c r="A8501" i="13"/>
  <c r="B8500" i="13"/>
  <c r="A8500" i="13"/>
  <c r="B8499" i="13"/>
  <c r="A8499" i="13"/>
  <c r="B8498" i="13"/>
  <c r="A8498" i="13"/>
  <c r="B8497" i="13"/>
  <c r="A8497" i="13"/>
  <c r="B8496" i="13"/>
  <c r="A8496" i="13"/>
  <c r="B8495" i="13"/>
  <c r="A8495" i="13"/>
  <c r="B8494" i="13"/>
  <c r="A8494" i="13"/>
  <c r="B8493" i="13"/>
  <c r="A8493" i="13"/>
  <c r="B8492" i="13"/>
  <c r="A8492" i="13"/>
  <c r="B8491" i="13"/>
  <c r="A8491" i="13"/>
  <c r="B8490" i="13"/>
  <c r="A8490" i="13"/>
  <c r="B8489" i="13"/>
  <c r="A8489" i="13"/>
  <c r="B8488" i="13"/>
  <c r="A8488" i="13"/>
  <c r="B8487" i="13"/>
  <c r="A8487" i="13"/>
  <c r="B8486" i="13"/>
  <c r="A8486" i="13"/>
  <c r="B8485" i="13"/>
  <c r="A8485" i="13"/>
  <c r="B8484" i="13"/>
  <c r="A8484" i="13"/>
  <c r="B8483" i="13"/>
  <c r="A8483" i="13"/>
  <c r="B8482" i="13"/>
  <c r="A8482" i="13"/>
  <c r="B8481" i="13"/>
  <c r="A8481" i="13"/>
  <c r="B8480" i="13"/>
  <c r="A8480" i="13"/>
  <c r="B8479" i="13"/>
  <c r="A8479" i="13"/>
  <c r="B8478" i="13"/>
  <c r="A8478" i="13"/>
  <c r="B8477" i="13"/>
  <c r="A8477" i="13"/>
  <c r="B8476" i="13"/>
  <c r="A8476" i="13"/>
  <c r="B8475" i="13"/>
  <c r="A8475" i="13"/>
  <c r="B8474" i="13"/>
  <c r="A8474" i="13"/>
  <c r="B8473" i="13"/>
  <c r="A8473" i="13"/>
  <c r="B8472" i="13"/>
  <c r="A8472" i="13"/>
  <c r="B8471" i="13"/>
  <c r="A8471" i="13"/>
  <c r="B8470" i="13"/>
  <c r="A8470" i="13"/>
  <c r="B8469" i="13"/>
  <c r="A8469" i="13"/>
  <c r="B8468" i="13"/>
  <c r="A8468" i="13"/>
  <c r="B8467" i="13"/>
  <c r="A8467" i="13"/>
  <c r="B8466" i="13"/>
  <c r="A8466" i="13"/>
  <c r="B8465" i="13"/>
  <c r="A8465" i="13"/>
  <c r="B8464" i="13"/>
  <c r="A8464" i="13"/>
  <c r="B8463" i="13"/>
  <c r="A8463" i="13"/>
  <c r="B8462" i="13"/>
  <c r="A8462" i="13"/>
  <c r="B8461" i="13"/>
  <c r="A8461" i="13"/>
  <c r="B8460" i="13"/>
  <c r="A8460" i="13"/>
  <c r="B8459" i="13"/>
  <c r="A8459" i="13"/>
  <c r="B8458" i="13"/>
  <c r="A8458" i="13"/>
  <c r="B8457" i="13"/>
  <c r="A8457" i="13"/>
  <c r="B8456" i="13"/>
  <c r="A8456" i="13"/>
  <c r="B8455" i="13"/>
  <c r="A8455" i="13"/>
  <c r="B8454" i="13"/>
  <c r="A8454" i="13"/>
  <c r="B8453" i="13"/>
  <c r="A8453" i="13"/>
  <c r="B8452" i="13"/>
  <c r="A8452" i="13"/>
  <c r="B8451" i="13"/>
  <c r="A8451" i="13"/>
  <c r="B8450" i="13"/>
  <c r="A8450" i="13"/>
  <c r="B8449" i="13"/>
  <c r="A8449" i="13"/>
  <c r="B8448" i="13"/>
  <c r="A8448" i="13"/>
  <c r="B8447" i="13"/>
  <c r="A8447" i="13"/>
  <c r="B8446" i="13"/>
  <c r="A8446" i="13"/>
  <c r="B8445" i="13"/>
  <c r="A8445" i="13"/>
  <c r="B8444" i="13"/>
  <c r="A8444" i="13"/>
  <c r="B8443" i="13"/>
  <c r="A8443" i="13"/>
  <c r="B8442" i="13"/>
  <c r="A8442" i="13"/>
  <c r="B8441" i="13"/>
  <c r="A8441" i="13"/>
  <c r="B8440" i="13"/>
  <c r="A8440" i="13"/>
  <c r="B8439" i="13"/>
  <c r="A8439" i="13"/>
  <c r="B8438" i="13"/>
  <c r="A8438" i="13"/>
  <c r="B8437" i="13"/>
  <c r="A8437" i="13"/>
  <c r="B8436" i="13"/>
  <c r="A8436" i="13"/>
  <c r="B8435" i="13"/>
  <c r="A8435" i="13"/>
  <c r="B8434" i="13"/>
  <c r="A8434" i="13"/>
  <c r="B8433" i="13"/>
  <c r="A8433" i="13"/>
  <c r="B8432" i="13"/>
  <c r="A8432" i="13"/>
  <c r="B8431" i="13"/>
  <c r="A8431" i="13"/>
  <c r="B8430" i="13"/>
  <c r="A8430" i="13"/>
  <c r="B8429" i="13"/>
  <c r="A8429" i="13"/>
  <c r="B8428" i="13"/>
  <c r="A8428" i="13"/>
  <c r="B8427" i="13"/>
  <c r="A8427" i="13"/>
  <c r="B8426" i="13"/>
  <c r="A8426" i="13"/>
  <c r="B8425" i="13"/>
  <c r="A8425" i="13"/>
  <c r="B8424" i="13"/>
  <c r="A8424" i="13"/>
  <c r="B8423" i="13"/>
  <c r="A8423" i="13"/>
  <c r="B8422" i="13"/>
  <c r="A8422" i="13"/>
  <c r="B8421" i="13"/>
  <c r="A8421" i="13"/>
  <c r="B8420" i="13"/>
  <c r="A8420" i="13"/>
  <c r="B8419" i="13"/>
  <c r="A8419" i="13"/>
  <c r="B8418" i="13"/>
  <c r="A8418" i="13"/>
  <c r="B8417" i="13"/>
  <c r="A8417" i="13"/>
  <c r="B8416" i="13"/>
  <c r="A8416" i="13"/>
  <c r="B8415" i="13"/>
  <c r="A8415" i="13"/>
  <c r="B8414" i="13"/>
  <c r="A8414" i="13"/>
  <c r="B8413" i="13"/>
  <c r="A8413" i="13"/>
  <c r="B8412" i="13"/>
  <c r="A8412" i="13"/>
  <c r="B8411" i="13"/>
  <c r="A8411" i="13"/>
  <c r="B8410" i="13"/>
  <c r="A8410" i="13"/>
  <c r="B8409" i="13"/>
  <c r="A8409" i="13"/>
  <c r="B8408" i="13"/>
  <c r="A8408" i="13"/>
  <c r="B8407" i="13"/>
  <c r="A8407" i="13"/>
  <c r="B8406" i="13"/>
  <c r="A8406" i="13"/>
  <c r="B8405" i="13"/>
  <c r="A8405" i="13"/>
  <c r="B8404" i="13"/>
  <c r="A8404" i="13"/>
  <c r="B8403" i="13"/>
  <c r="A8403" i="13"/>
  <c r="B8402" i="13"/>
  <c r="A8402" i="13"/>
  <c r="B8401" i="13"/>
  <c r="A8401" i="13"/>
  <c r="B8400" i="13"/>
  <c r="A8400" i="13"/>
  <c r="B8399" i="13"/>
  <c r="A8399" i="13"/>
  <c r="B8398" i="13"/>
  <c r="A8398" i="13"/>
  <c r="B8397" i="13"/>
  <c r="A8397" i="13"/>
  <c r="B8396" i="13"/>
  <c r="A8396" i="13"/>
  <c r="B8395" i="13"/>
  <c r="A8395" i="13"/>
  <c r="B8394" i="13"/>
  <c r="A8394" i="13"/>
  <c r="B8393" i="13"/>
  <c r="A8393" i="13"/>
  <c r="B8392" i="13"/>
  <c r="A8392" i="13"/>
  <c r="B8391" i="13"/>
  <c r="A8391" i="13"/>
  <c r="B8390" i="13"/>
  <c r="A8390" i="13"/>
  <c r="B8389" i="13"/>
  <c r="A8389" i="13"/>
  <c r="B8388" i="13"/>
  <c r="A8388" i="13"/>
  <c r="B8387" i="13"/>
  <c r="A8387" i="13"/>
  <c r="B8386" i="13"/>
  <c r="A8386" i="13"/>
  <c r="B8385" i="13"/>
  <c r="A8385" i="13"/>
  <c r="B8384" i="13"/>
  <c r="A8384" i="13"/>
  <c r="B8383" i="13"/>
  <c r="A8383" i="13"/>
  <c r="B8382" i="13"/>
  <c r="A8382" i="13"/>
  <c r="B8381" i="13"/>
  <c r="A8381" i="13"/>
  <c r="B8380" i="13"/>
  <c r="A8380" i="13"/>
  <c r="B8379" i="13"/>
  <c r="A8379" i="13"/>
  <c r="B8378" i="13"/>
  <c r="A8378" i="13"/>
  <c r="B8377" i="13"/>
  <c r="A8377" i="13"/>
  <c r="B8376" i="13"/>
  <c r="A8376" i="13"/>
  <c r="B8375" i="13"/>
  <c r="A8375" i="13"/>
  <c r="B8374" i="13"/>
  <c r="A8374" i="13"/>
  <c r="B8373" i="13"/>
  <c r="A8373" i="13"/>
  <c r="B8372" i="13"/>
  <c r="A8372" i="13"/>
  <c r="B8371" i="13"/>
  <c r="A8371" i="13"/>
  <c r="B8370" i="13"/>
  <c r="A8370" i="13"/>
  <c r="B8369" i="13"/>
  <c r="A8369" i="13"/>
  <c r="B8368" i="13"/>
  <c r="A8368" i="13"/>
  <c r="B8367" i="13"/>
  <c r="A8367" i="13"/>
  <c r="B8366" i="13"/>
  <c r="A8366" i="13"/>
  <c r="B8365" i="13"/>
  <c r="A8365" i="13"/>
  <c r="B8364" i="13"/>
  <c r="A8364" i="13"/>
  <c r="B8363" i="13"/>
  <c r="A8363" i="13"/>
  <c r="B8362" i="13"/>
  <c r="A8362" i="13"/>
  <c r="B8361" i="13"/>
  <c r="A8361" i="13"/>
  <c r="B8360" i="13"/>
  <c r="A8360" i="13"/>
  <c r="B8359" i="13"/>
  <c r="A8359" i="13"/>
  <c r="B8358" i="13"/>
  <c r="A8358" i="13"/>
  <c r="B8357" i="13"/>
  <c r="A8357" i="13"/>
  <c r="B8356" i="13"/>
  <c r="A8356" i="13"/>
  <c r="B8355" i="13"/>
  <c r="A8355" i="13"/>
  <c r="B8354" i="13"/>
  <c r="A8354" i="13"/>
  <c r="B8353" i="13"/>
  <c r="A8353" i="13"/>
  <c r="B8352" i="13"/>
  <c r="A8352" i="13"/>
  <c r="B8351" i="13"/>
  <c r="A8351" i="13"/>
  <c r="B8350" i="13"/>
  <c r="A8350" i="13"/>
  <c r="B8349" i="13"/>
  <c r="A8349" i="13"/>
  <c r="B8348" i="13"/>
  <c r="A8348" i="13"/>
  <c r="B8347" i="13"/>
  <c r="A8347" i="13"/>
  <c r="B8346" i="13"/>
  <c r="A8346" i="13"/>
  <c r="B8345" i="13"/>
  <c r="A8345" i="13"/>
  <c r="B8344" i="13"/>
  <c r="A8344" i="13"/>
  <c r="B8343" i="13"/>
  <c r="A8343" i="13"/>
  <c r="B8342" i="13"/>
  <c r="A8342" i="13"/>
  <c r="B8341" i="13"/>
  <c r="A8341" i="13"/>
  <c r="B8340" i="13"/>
  <c r="A8340" i="13"/>
  <c r="B8339" i="13"/>
  <c r="A8339" i="13"/>
  <c r="B8338" i="13"/>
  <c r="A8338" i="13"/>
  <c r="B8337" i="13"/>
  <c r="A8337" i="13"/>
  <c r="B8336" i="13"/>
  <c r="A8336" i="13"/>
  <c r="B8335" i="13"/>
  <c r="A8335" i="13"/>
  <c r="B8334" i="13"/>
  <c r="A8334" i="13"/>
  <c r="B8333" i="13"/>
  <c r="A8333" i="13"/>
  <c r="B8332" i="13"/>
  <c r="A8332" i="13"/>
  <c r="B8331" i="13"/>
  <c r="A8331" i="13"/>
  <c r="B8330" i="13"/>
  <c r="A8330" i="13"/>
  <c r="B8329" i="13"/>
  <c r="A8329" i="13"/>
  <c r="B8328" i="13"/>
  <c r="A8328" i="13"/>
  <c r="B8327" i="13"/>
  <c r="A8327" i="13"/>
  <c r="B8326" i="13"/>
  <c r="A8326" i="13"/>
  <c r="B8325" i="13"/>
  <c r="A8325" i="13"/>
  <c r="B8324" i="13"/>
  <c r="A8324" i="13"/>
  <c r="B8323" i="13"/>
  <c r="A8323" i="13"/>
  <c r="B8322" i="13"/>
  <c r="A8322" i="13"/>
  <c r="B8321" i="13"/>
  <c r="A8321" i="13"/>
  <c r="B8320" i="13"/>
  <c r="A8320" i="13"/>
  <c r="B8319" i="13"/>
  <c r="A8319" i="13"/>
  <c r="B8318" i="13"/>
  <c r="A8318" i="13"/>
  <c r="B8317" i="13"/>
  <c r="A8317" i="13"/>
  <c r="B8316" i="13"/>
  <c r="A8316" i="13"/>
  <c r="B8315" i="13"/>
  <c r="A8315" i="13"/>
  <c r="B8314" i="13"/>
  <c r="A8314" i="13"/>
  <c r="B8313" i="13"/>
  <c r="A8313" i="13"/>
  <c r="B8312" i="13"/>
  <c r="A8312" i="13"/>
  <c r="B8311" i="13"/>
  <c r="A8311" i="13"/>
  <c r="B8310" i="13"/>
  <c r="A8310" i="13"/>
  <c r="B8309" i="13"/>
  <c r="A8309" i="13"/>
  <c r="B8308" i="13"/>
  <c r="A8308" i="13"/>
  <c r="B8307" i="13"/>
  <c r="A8307" i="13"/>
  <c r="B8306" i="13"/>
  <c r="A8306" i="13"/>
  <c r="B8305" i="13"/>
  <c r="A8305" i="13"/>
  <c r="B8304" i="13"/>
  <c r="A8304" i="13"/>
  <c r="B8303" i="13"/>
  <c r="A8303" i="13"/>
  <c r="B8302" i="13"/>
  <c r="A8302" i="13"/>
  <c r="B8301" i="13"/>
  <c r="A8301" i="13"/>
  <c r="B8300" i="13"/>
  <c r="A8300" i="13"/>
  <c r="B8299" i="13"/>
  <c r="A8299" i="13"/>
  <c r="B8298" i="13"/>
  <c r="A8298" i="13"/>
  <c r="B8297" i="13"/>
  <c r="A8297" i="13"/>
  <c r="B8296" i="13"/>
  <c r="A8296" i="13"/>
  <c r="B8295" i="13"/>
  <c r="A8295" i="13"/>
  <c r="B8294" i="13"/>
  <c r="A8294" i="13"/>
  <c r="B8293" i="13"/>
  <c r="A8293" i="13"/>
  <c r="B8292" i="13"/>
  <c r="A8292" i="13"/>
  <c r="B8291" i="13"/>
  <c r="A8291" i="13"/>
  <c r="B8290" i="13"/>
  <c r="A8290" i="13"/>
  <c r="B8289" i="13"/>
  <c r="A8289" i="13"/>
  <c r="B8288" i="13"/>
  <c r="A8288" i="13"/>
  <c r="B8287" i="13"/>
  <c r="A8287" i="13"/>
  <c r="B8286" i="13"/>
  <c r="A8286" i="13"/>
  <c r="B8285" i="13"/>
  <c r="A8285" i="13"/>
  <c r="B8284" i="13"/>
  <c r="A8284" i="13"/>
  <c r="B8283" i="13"/>
  <c r="A8283" i="13"/>
  <c r="B8282" i="13"/>
  <c r="A8282" i="13"/>
  <c r="B8281" i="13"/>
  <c r="A8281" i="13"/>
  <c r="B8280" i="13"/>
  <c r="A8280" i="13"/>
  <c r="B8279" i="13"/>
  <c r="A8279" i="13"/>
  <c r="B8278" i="13"/>
  <c r="A8278" i="13"/>
  <c r="B8277" i="13"/>
  <c r="A8277" i="13"/>
  <c r="B8276" i="13"/>
  <c r="A8276" i="13"/>
  <c r="B8275" i="13"/>
  <c r="A8275" i="13"/>
  <c r="B8274" i="13"/>
  <c r="A8274" i="13"/>
  <c r="B8273" i="13"/>
  <c r="A8273" i="13"/>
  <c r="B8272" i="13"/>
  <c r="A8272" i="13"/>
  <c r="B8271" i="13"/>
  <c r="A8271" i="13"/>
  <c r="B8270" i="13"/>
  <c r="A8270" i="13"/>
  <c r="B8269" i="13"/>
  <c r="A8269" i="13"/>
  <c r="B8268" i="13"/>
  <c r="A8268" i="13"/>
  <c r="B8267" i="13"/>
  <c r="A8267" i="13"/>
  <c r="B8266" i="13"/>
  <c r="A8266" i="13"/>
  <c r="B8265" i="13"/>
  <c r="A8265" i="13"/>
  <c r="B8264" i="13"/>
  <c r="A8264" i="13"/>
  <c r="B8263" i="13"/>
  <c r="A8263" i="13"/>
  <c r="B8262" i="13"/>
  <c r="A8262" i="13"/>
  <c r="B8261" i="13"/>
  <c r="A8261" i="13"/>
  <c r="B8260" i="13"/>
  <c r="A8260" i="13"/>
  <c r="B8259" i="13"/>
  <c r="A8259" i="13"/>
  <c r="B8258" i="13"/>
  <c r="A8258" i="13"/>
  <c r="B8257" i="13"/>
  <c r="A8257" i="13"/>
  <c r="B8256" i="13"/>
  <c r="A8256" i="13"/>
  <c r="B8255" i="13"/>
  <c r="A8255" i="13"/>
  <c r="B8254" i="13"/>
  <c r="A8254" i="13"/>
  <c r="B8253" i="13"/>
  <c r="A8253" i="13"/>
  <c r="B8252" i="13"/>
  <c r="A8252" i="13"/>
  <c r="B8251" i="13"/>
  <c r="A8251" i="13"/>
  <c r="B8250" i="13"/>
  <c r="A8250" i="13"/>
  <c r="B8249" i="13"/>
  <c r="A8249" i="13"/>
  <c r="B8248" i="13"/>
  <c r="A8248" i="13"/>
  <c r="B8247" i="13"/>
  <c r="A8247" i="13"/>
  <c r="B8246" i="13"/>
  <c r="A8246" i="13"/>
  <c r="B8245" i="13"/>
  <c r="A8245" i="13"/>
  <c r="B8244" i="13"/>
  <c r="A8244" i="13"/>
  <c r="B8243" i="13"/>
  <c r="A8243" i="13"/>
  <c r="B8242" i="13"/>
  <c r="A8242" i="13"/>
  <c r="B8241" i="13"/>
  <c r="A8241" i="13"/>
  <c r="B8240" i="13"/>
  <c r="A8240" i="13"/>
  <c r="B8239" i="13"/>
  <c r="A8239" i="13"/>
  <c r="B8238" i="13"/>
  <c r="A8238" i="13"/>
  <c r="B8237" i="13"/>
  <c r="A8237" i="13"/>
  <c r="B8236" i="13"/>
  <c r="A8236" i="13"/>
  <c r="B8235" i="13"/>
  <c r="A8235" i="13"/>
  <c r="B8234" i="13"/>
  <c r="A8234" i="13"/>
  <c r="B8233" i="13"/>
  <c r="A8233" i="13"/>
  <c r="B8232" i="13"/>
  <c r="A8232" i="13"/>
  <c r="B8231" i="13"/>
  <c r="A8231" i="13"/>
  <c r="B8230" i="13"/>
  <c r="A8230" i="13"/>
  <c r="B8229" i="13"/>
  <c r="A8229" i="13"/>
  <c r="B8228" i="13"/>
  <c r="A8228" i="13"/>
  <c r="B8227" i="13"/>
  <c r="A8227" i="13"/>
  <c r="B8226" i="13"/>
  <c r="A8226" i="13"/>
  <c r="B8225" i="13"/>
  <c r="A8225" i="13"/>
  <c r="B8224" i="13"/>
  <c r="A8224" i="13"/>
  <c r="B8223" i="13"/>
  <c r="A8223" i="13"/>
  <c r="B8222" i="13"/>
  <c r="A8222" i="13"/>
  <c r="B8221" i="13"/>
  <c r="A8221" i="13"/>
  <c r="B8220" i="13"/>
  <c r="A8220" i="13"/>
  <c r="B8219" i="13"/>
  <c r="A8219" i="13"/>
  <c r="B8218" i="13"/>
  <c r="A8218" i="13"/>
  <c r="B8217" i="13"/>
  <c r="A8217" i="13"/>
  <c r="B8216" i="13"/>
  <c r="A8216" i="13"/>
  <c r="B8215" i="13"/>
  <c r="A8215" i="13"/>
  <c r="B8214" i="13"/>
  <c r="A8214" i="13"/>
  <c r="B8213" i="13"/>
  <c r="A8213" i="13"/>
  <c r="B8212" i="13"/>
  <c r="A8212" i="13"/>
  <c r="B8211" i="13"/>
  <c r="A8211" i="13"/>
  <c r="B8210" i="13"/>
  <c r="A8210" i="13"/>
  <c r="B8209" i="13"/>
  <c r="A8209" i="13"/>
  <c r="B8208" i="13"/>
  <c r="A8208" i="13"/>
  <c r="B8207" i="13"/>
  <c r="A8207" i="13"/>
  <c r="B8206" i="13"/>
  <c r="A8206" i="13"/>
  <c r="B8205" i="13"/>
  <c r="A8205" i="13"/>
  <c r="B8204" i="13"/>
  <c r="A8204" i="13"/>
  <c r="B8203" i="13"/>
  <c r="A8203" i="13"/>
  <c r="B8202" i="13"/>
  <c r="A8202" i="13"/>
  <c r="B8201" i="13"/>
  <c r="A8201" i="13"/>
  <c r="B8200" i="13"/>
  <c r="A8200" i="13"/>
  <c r="B8199" i="13"/>
  <c r="A8199" i="13"/>
  <c r="B8198" i="13"/>
  <c r="A8198" i="13"/>
  <c r="B8197" i="13"/>
  <c r="A8197" i="13"/>
  <c r="B8196" i="13"/>
  <c r="A8196" i="13"/>
  <c r="B8195" i="13"/>
  <c r="A8195" i="13"/>
  <c r="B8194" i="13"/>
  <c r="A8194" i="13"/>
  <c r="B8193" i="13"/>
  <c r="A8193" i="13"/>
  <c r="B8192" i="13"/>
  <c r="A8192" i="13"/>
  <c r="B8191" i="13"/>
  <c r="A8191" i="13"/>
  <c r="B8190" i="13"/>
  <c r="A8190" i="13"/>
  <c r="B8189" i="13"/>
  <c r="A8189" i="13"/>
  <c r="B8188" i="13"/>
  <c r="A8188" i="13"/>
  <c r="B8187" i="13"/>
  <c r="A8187" i="13"/>
  <c r="B8186" i="13"/>
  <c r="A8186" i="13"/>
  <c r="B8185" i="13"/>
  <c r="A8185" i="13"/>
  <c r="B8184" i="13"/>
  <c r="A8184" i="13"/>
  <c r="B8183" i="13"/>
  <c r="A8183" i="13"/>
  <c r="B8182" i="13"/>
  <c r="A8182" i="13"/>
  <c r="B8181" i="13"/>
  <c r="A8181" i="13"/>
  <c r="B8180" i="13"/>
  <c r="A8180" i="13"/>
  <c r="B8179" i="13"/>
  <c r="A8179" i="13"/>
  <c r="B8178" i="13"/>
  <c r="A8178" i="13"/>
  <c r="B8177" i="13"/>
  <c r="A8177" i="13"/>
  <c r="B8176" i="13"/>
  <c r="A8176" i="13"/>
  <c r="B8175" i="13"/>
  <c r="A8175" i="13"/>
  <c r="B8174" i="13"/>
  <c r="A8174" i="13"/>
  <c r="B8173" i="13"/>
  <c r="A8173" i="13"/>
  <c r="B8172" i="13"/>
  <c r="A8172" i="13"/>
  <c r="B8171" i="13"/>
  <c r="A8171" i="13"/>
  <c r="B8170" i="13"/>
  <c r="A8170" i="13"/>
  <c r="B8169" i="13"/>
  <c r="A8169" i="13"/>
  <c r="B8168" i="13"/>
  <c r="A8168" i="13"/>
  <c r="B8167" i="13"/>
  <c r="A8167" i="13"/>
  <c r="B8166" i="13"/>
  <c r="A8166" i="13"/>
  <c r="B8165" i="13"/>
  <c r="A8165" i="13"/>
  <c r="B8164" i="13"/>
  <c r="A8164" i="13"/>
  <c r="B8163" i="13"/>
  <c r="A8163" i="13"/>
  <c r="B8162" i="13"/>
  <c r="A8162" i="13"/>
  <c r="B8161" i="13"/>
  <c r="A8161" i="13"/>
  <c r="B8160" i="13"/>
  <c r="A8160" i="13"/>
  <c r="B8159" i="13"/>
  <c r="A8159" i="13"/>
  <c r="B8158" i="13"/>
  <c r="A8158" i="13"/>
  <c r="B8157" i="13"/>
  <c r="A8157" i="13"/>
  <c r="B8156" i="13"/>
  <c r="A8156" i="13"/>
  <c r="B8155" i="13"/>
  <c r="A8155" i="13"/>
  <c r="B8154" i="13"/>
  <c r="A8154" i="13"/>
  <c r="B8153" i="13"/>
  <c r="A8153" i="13"/>
  <c r="B8152" i="13"/>
  <c r="A8152" i="13"/>
  <c r="B8151" i="13"/>
  <c r="A8151" i="13"/>
  <c r="B8150" i="13"/>
  <c r="A8150" i="13"/>
  <c r="B8149" i="13"/>
  <c r="A8149" i="13"/>
  <c r="B8148" i="13"/>
  <c r="A8148" i="13"/>
  <c r="B8147" i="13"/>
  <c r="A8147" i="13"/>
  <c r="B8146" i="13"/>
  <c r="A8146" i="13"/>
  <c r="B8145" i="13"/>
  <c r="A8145" i="13"/>
  <c r="B8144" i="13"/>
  <c r="A8144" i="13"/>
  <c r="B8143" i="13"/>
  <c r="A8143" i="13"/>
  <c r="B8142" i="13"/>
  <c r="A8142" i="13"/>
  <c r="B8141" i="13"/>
  <c r="A8141" i="13"/>
  <c r="B8140" i="13"/>
  <c r="A8140" i="13"/>
  <c r="B8139" i="13"/>
  <c r="A8139" i="13"/>
  <c r="B8138" i="13"/>
  <c r="A8138" i="13"/>
  <c r="B8137" i="13"/>
  <c r="A8137" i="13"/>
  <c r="B8136" i="13"/>
  <c r="A8136" i="13"/>
  <c r="B8135" i="13"/>
  <c r="A8135" i="13"/>
  <c r="B8134" i="13"/>
  <c r="A8134" i="13"/>
  <c r="B8133" i="13"/>
  <c r="A8133" i="13"/>
  <c r="B8132" i="13"/>
  <c r="A8132" i="13"/>
  <c r="B8131" i="13"/>
  <c r="A8131" i="13"/>
  <c r="B8130" i="13"/>
  <c r="A8130" i="13"/>
  <c r="B8129" i="13"/>
  <c r="A8129" i="13"/>
  <c r="B8128" i="13"/>
  <c r="A8128" i="13"/>
  <c r="B8127" i="13"/>
  <c r="A8127" i="13"/>
  <c r="B8126" i="13"/>
  <c r="A8126" i="13"/>
  <c r="B8125" i="13"/>
  <c r="A8125" i="13"/>
  <c r="B8124" i="13"/>
  <c r="A8124" i="13"/>
  <c r="B8123" i="13"/>
  <c r="A8123" i="13"/>
  <c r="B8122" i="13"/>
  <c r="A8122" i="13"/>
  <c r="B8121" i="13"/>
  <c r="A8121" i="13"/>
  <c r="A8084" i="13"/>
  <c r="B8083" i="13"/>
  <c r="A8083" i="13"/>
  <c r="B8082" i="13"/>
  <c r="A8082" i="13"/>
  <c r="B8081" i="13"/>
  <c r="A8081" i="13"/>
  <c r="B8080" i="13"/>
  <c r="A8080" i="13"/>
  <c r="B8079" i="13"/>
  <c r="A8079" i="13"/>
  <c r="B8078" i="13"/>
  <c r="A8078" i="13"/>
  <c r="B8077" i="13"/>
  <c r="A8077" i="13"/>
  <c r="B8076" i="13"/>
  <c r="A8076" i="13"/>
  <c r="B8075" i="13"/>
  <c r="A8075" i="13"/>
  <c r="B8074" i="13"/>
  <c r="A8074" i="13"/>
  <c r="B8073" i="13"/>
  <c r="A8073" i="13"/>
  <c r="B8072" i="13"/>
  <c r="A8072" i="13"/>
  <c r="B8071" i="13"/>
  <c r="A8071" i="13"/>
  <c r="B8070" i="13"/>
  <c r="A8070" i="13"/>
  <c r="B8069" i="13"/>
  <c r="A8069" i="13"/>
  <c r="B8068" i="13"/>
  <c r="A8068" i="13"/>
  <c r="B8067" i="13"/>
  <c r="A8067" i="13"/>
  <c r="B8066" i="13"/>
  <c r="A8066" i="13"/>
  <c r="B8065" i="13"/>
  <c r="A8065" i="13"/>
  <c r="B8064" i="13"/>
  <c r="A8064" i="13"/>
  <c r="B8063" i="13"/>
  <c r="A8063" i="13"/>
  <c r="B8062" i="13"/>
  <c r="A8062" i="13"/>
  <c r="B8061" i="13"/>
  <c r="A8061" i="13"/>
  <c r="B8060" i="13"/>
  <c r="A8060" i="13"/>
  <c r="B8059" i="13"/>
  <c r="A8059" i="13"/>
  <c r="B8058" i="13"/>
  <c r="A8058" i="13"/>
  <c r="B8057" i="13"/>
  <c r="A8057" i="13"/>
  <c r="B8056" i="13"/>
  <c r="A8056" i="13"/>
  <c r="B8055" i="13"/>
  <c r="A8055" i="13"/>
  <c r="B8054" i="13"/>
  <c r="A8054" i="13"/>
  <c r="B8053" i="13"/>
  <c r="A8053" i="13"/>
  <c r="B8052" i="13"/>
  <c r="A8052" i="13"/>
  <c r="B8051" i="13"/>
  <c r="A8051" i="13"/>
  <c r="B8050" i="13"/>
  <c r="A8050" i="13"/>
  <c r="B8049" i="13"/>
  <c r="A8049" i="13"/>
  <c r="B8048" i="13"/>
  <c r="A8048" i="13"/>
  <c r="B8047" i="13"/>
  <c r="A8047" i="13"/>
  <c r="B8046" i="13"/>
  <c r="A8046" i="13"/>
  <c r="B8045" i="13"/>
  <c r="A8045" i="13"/>
  <c r="B8044" i="13"/>
  <c r="A8044" i="13"/>
  <c r="B8043" i="13"/>
  <c r="A8043" i="13"/>
  <c r="B8042" i="13"/>
  <c r="A8042" i="13"/>
  <c r="B8041" i="13"/>
  <c r="A8041" i="13"/>
  <c r="B8040" i="13"/>
  <c r="A8040" i="13"/>
  <c r="B8039" i="13"/>
  <c r="A8039" i="13"/>
  <c r="B8038" i="13"/>
  <c r="A8038" i="13"/>
  <c r="B8037" i="13"/>
  <c r="A8037" i="13"/>
  <c r="B8036" i="13"/>
  <c r="A8036" i="13"/>
  <c r="B8035" i="13"/>
  <c r="A8035" i="13"/>
  <c r="B8034" i="13"/>
  <c r="A8034" i="13"/>
  <c r="B8033" i="13"/>
  <c r="A8033" i="13"/>
  <c r="B8032" i="13"/>
  <c r="A8032" i="13"/>
  <c r="B8031" i="13"/>
  <c r="A8031" i="13"/>
  <c r="B8030" i="13"/>
  <c r="A8030" i="13"/>
  <c r="B8029" i="13"/>
  <c r="A8029" i="13"/>
  <c r="B8028" i="13"/>
  <c r="A8028" i="13"/>
  <c r="B8027" i="13"/>
  <c r="A8027" i="13"/>
  <c r="B8026" i="13"/>
  <c r="A8026" i="13"/>
  <c r="B8025" i="13"/>
  <c r="A8025" i="13"/>
  <c r="B8024" i="13"/>
  <c r="A8024" i="13"/>
  <c r="B8023" i="13"/>
  <c r="A8023" i="13"/>
  <c r="B8022" i="13"/>
  <c r="A8022" i="13"/>
  <c r="B8021" i="13"/>
  <c r="A8021" i="13"/>
  <c r="B8020" i="13"/>
  <c r="A8020" i="13"/>
  <c r="B8019" i="13"/>
  <c r="A8019" i="13"/>
  <c r="B8018" i="13"/>
  <c r="A8018" i="13"/>
  <c r="B8017" i="13"/>
  <c r="A8017" i="13"/>
  <c r="B8016" i="13"/>
  <c r="A8016" i="13"/>
  <c r="B8015" i="13"/>
  <c r="A8015" i="13"/>
  <c r="B8014" i="13"/>
  <c r="A8014" i="13"/>
  <c r="B8013" i="13"/>
  <c r="A8013" i="13"/>
  <c r="B8012" i="13"/>
  <c r="A8012" i="13"/>
  <c r="B8011" i="13"/>
  <c r="A8011" i="13"/>
  <c r="B8010" i="13"/>
  <c r="A8010" i="13"/>
  <c r="B8009" i="13"/>
  <c r="A8009" i="13"/>
  <c r="B8008" i="13"/>
  <c r="A8008" i="13"/>
  <c r="B8007" i="13"/>
  <c r="A8007" i="13"/>
  <c r="B8006" i="13"/>
  <c r="A8006" i="13"/>
  <c r="B8005" i="13"/>
  <c r="A8005" i="13"/>
  <c r="B8004" i="13"/>
  <c r="A8004" i="13"/>
  <c r="B8003" i="13"/>
  <c r="A8003" i="13"/>
  <c r="B8002" i="13"/>
  <c r="A8002" i="13"/>
  <c r="B8001" i="13"/>
  <c r="A8001" i="13"/>
  <c r="B8000" i="13"/>
  <c r="A8000" i="13"/>
  <c r="B7999" i="13"/>
  <c r="A7999" i="13"/>
  <c r="B7998" i="13"/>
  <c r="A7998" i="13"/>
  <c r="B7997" i="13"/>
  <c r="A7997" i="13"/>
  <c r="B7996" i="13"/>
  <c r="A7996" i="13"/>
  <c r="B7995" i="13"/>
  <c r="A7995" i="13"/>
  <c r="B7994" i="13"/>
  <c r="A7994" i="13"/>
  <c r="B7993" i="13"/>
  <c r="A7993" i="13"/>
  <c r="B7992" i="13"/>
  <c r="A7992" i="13"/>
  <c r="B7991" i="13"/>
  <c r="A7991" i="13"/>
  <c r="B7990" i="13"/>
  <c r="A7990" i="13"/>
  <c r="B7989" i="13"/>
  <c r="A7989" i="13"/>
  <c r="B7988" i="13"/>
  <c r="A7988" i="13"/>
  <c r="B7987" i="13"/>
  <c r="A7987" i="13"/>
  <c r="B7986" i="13"/>
  <c r="A7986" i="13"/>
  <c r="B7985" i="13"/>
  <c r="A7985" i="13"/>
  <c r="B7984" i="13"/>
  <c r="A7984" i="13"/>
  <c r="B7983" i="13"/>
  <c r="A7983" i="13"/>
  <c r="B7982" i="13"/>
  <c r="A7982" i="13"/>
  <c r="B7981" i="13"/>
  <c r="A7981" i="13"/>
  <c r="B7980" i="13"/>
  <c r="A7980" i="13"/>
  <c r="B7979" i="13"/>
  <c r="A7979" i="13"/>
  <c r="B7978" i="13"/>
  <c r="A7978" i="13"/>
  <c r="B7977" i="13"/>
  <c r="A7977" i="13"/>
  <c r="B7976" i="13"/>
  <c r="A7976" i="13"/>
  <c r="B7975" i="13"/>
  <c r="A7975" i="13"/>
  <c r="B7974" i="13"/>
  <c r="A7974" i="13"/>
  <c r="B7973" i="13"/>
  <c r="A7973" i="13"/>
  <c r="B7972" i="13"/>
  <c r="A7972" i="13"/>
  <c r="B7971" i="13"/>
  <c r="A7971" i="13"/>
  <c r="B7970" i="13"/>
  <c r="A7970" i="13"/>
  <c r="B7969" i="13"/>
  <c r="A7969" i="13"/>
  <c r="B7968" i="13"/>
  <c r="A7968" i="13"/>
  <c r="B7967" i="13"/>
  <c r="A7967" i="13"/>
  <c r="B7966" i="13"/>
  <c r="A7966" i="13"/>
  <c r="B7965" i="13"/>
  <c r="A7965" i="13"/>
  <c r="B7964" i="13"/>
  <c r="A7964" i="13"/>
  <c r="B7963" i="13"/>
  <c r="A7963" i="13"/>
  <c r="B7962" i="13"/>
  <c r="A7962" i="13"/>
  <c r="B7961" i="13"/>
  <c r="A7961" i="13"/>
  <c r="B7960" i="13"/>
  <c r="A7960" i="13"/>
  <c r="B7959" i="13"/>
  <c r="A7959" i="13"/>
  <c r="B7958" i="13"/>
  <c r="A7958" i="13"/>
  <c r="B7957" i="13"/>
  <c r="A7957" i="13"/>
  <c r="B7956" i="13"/>
  <c r="A7956" i="13"/>
  <c r="B7955" i="13"/>
  <c r="A7955" i="13"/>
  <c r="B7954" i="13"/>
  <c r="A7954" i="13"/>
  <c r="B7953" i="13"/>
  <c r="A7953" i="13"/>
  <c r="B7952" i="13"/>
  <c r="A7952" i="13"/>
  <c r="B7951" i="13"/>
  <c r="A7951" i="13"/>
  <c r="B7950" i="13"/>
  <c r="A7950" i="13"/>
  <c r="B7949" i="13"/>
  <c r="A7949" i="13"/>
  <c r="B7948" i="13"/>
  <c r="A7948" i="13"/>
  <c r="B7947" i="13"/>
  <c r="A7947" i="13"/>
  <c r="B7946" i="13"/>
  <c r="A7946" i="13"/>
  <c r="B7945" i="13"/>
  <c r="A7945" i="13"/>
  <c r="B7944" i="13"/>
  <c r="A7944" i="13"/>
  <c r="B7943" i="13"/>
  <c r="A7943" i="13"/>
  <c r="B7942" i="13"/>
  <c r="A7942" i="13"/>
  <c r="B7941" i="13"/>
  <c r="A7941" i="13"/>
  <c r="B7940" i="13"/>
  <c r="A7940" i="13"/>
  <c r="B7939" i="13"/>
  <c r="A7939" i="13"/>
  <c r="B7938" i="13"/>
  <c r="A7938" i="13"/>
  <c r="B7937" i="13"/>
  <c r="A7937" i="13"/>
  <c r="B7936" i="13"/>
  <c r="A7936" i="13"/>
  <c r="B7935" i="13"/>
  <c r="A7935" i="13"/>
  <c r="B7934" i="13"/>
  <c r="A7934" i="13"/>
  <c r="B7933" i="13"/>
  <c r="A7933" i="13"/>
  <c r="B7932" i="13"/>
  <c r="A7932" i="13"/>
  <c r="B7931" i="13"/>
  <c r="A7931" i="13"/>
  <c r="B7930" i="13"/>
  <c r="A7930" i="13"/>
  <c r="B7929" i="13"/>
  <c r="A7929" i="13"/>
  <c r="B7928" i="13"/>
  <c r="A7928" i="13"/>
  <c r="B7927" i="13"/>
  <c r="A7927" i="13"/>
  <c r="B7926" i="13"/>
  <c r="A7926" i="13"/>
  <c r="B7925" i="13"/>
  <c r="A7925" i="13"/>
  <c r="B7924" i="13"/>
  <c r="A7924" i="13"/>
  <c r="B7923" i="13"/>
  <c r="A7923" i="13"/>
  <c r="B7922" i="13"/>
  <c r="A7922" i="13"/>
  <c r="B7921" i="13"/>
  <c r="A7921" i="13"/>
  <c r="B7920" i="13"/>
  <c r="A7920" i="13"/>
  <c r="B7919" i="13"/>
  <c r="A7919" i="13"/>
  <c r="B7918" i="13"/>
  <c r="A7918" i="13"/>
  <c r="B7917" i="13"/>
  <c r="A7917" i="13"/>
  <c r="B7916" i="13"/>
  <c r="A7916" i="13"/>
  <c r="B7915" i="13"/>
  <c r="A7915" i="13"/>
  <c r="B7914" i="13"/>
  <c r="A7914" i="13"/>
  <c r="B7913" i="13"/>
  <c r="A7913" i="13"/>
  <c r="B7912" i="13"/>
  <c r="A7912" i="13"/>
  <c r="B7911" i="13"/>
  <c r="A7911" i="13"/>
  <c r="B7910" i="13"/>
  <c r="A7910" i="13"/>
  <c r="B7909" i="13"/>
  <c r="A7909" i="13"/>
  <c r="B7908" i="13"/>
  <c r="A7908" i="13"/>
  <c r="B7907" i="13"/>
  <c r="A7907" i="13"/>
  <c r="B7906" i="13"/>
  <c r="A7906" i="13"/>
  <c r="B7905" i="13"/>
  <c r="A7905" i="13"/>
  <c r="B7904" i="13"/>
  <c r="A7904" i="13"/>
  <c r="B7903" i="13"/>
  <c r="A7903" i="13"/>
  <c r="B7902" i="13"/>
  <c r="A7902" i="13"/>
  <c r="B7901" i="13"/>
  <c r="A7901" i="13"/>
  <c r="B7900" i="13"/>
  <c r="A7900" i="13"/>
  <c r="B7899" i="13"/>
  <c r="A7899" i="13"/>
  <c r="B7898" i="13"/>
  <c r="A7898" i="13"/>
  <c r="B7897" i="13"/>
  <c r="A7897" i="13"/>
  <c r="B7896" i="13"/>
  <c r="A7896" i="13"/>
  <c r="B7895" i="13"/>
  <c r="A7895" i="13"/>
  <c r="B7894" i="13"/>
  <c r="A7894" i="13"/>
  <c r="B7893" i="13"/>
  <c r="A7893" i="13"/>
  <c r="B7892" i="13"/>
  <c r="A7892" i="13"/>
  <c r="B7891" i="13"/>
  <c r="A7891" i="13"/>
  <c r="B7890" i="13"/>
  <c r="A7890" i="13"/>
  <c r="B7889" i="13"/>
  <c r="A7889" i="13"/>
  <c r="B7888" i="13"/>
  <c r="A7888" i="13"/>
  <c r="B7887" i="13"/>
  <c r="A7887" i="13"/>
  <c r="B7886" i="13"/>
  <c r="A7886" i="13"/>
  <c r="B7885" i="13"/>
  <c r="A7885" i="13"/>
  <c r="B7884" i="13"/>
  <c r="A7884" i="13"/>
  <c r="B7883" i="13"/>
  <c r="A7883" i="13"/>
  <c r="B7882" i="13"/>
  <c r="A7882" i="13"/>
  <c r="B7881" i="13"/>
  <c r="A7881" i="13"/>
  <c r="B7880" i="13"/>
  <c r="A7880" i="13"/>
  <c r="B7879" i="13"/>
  <c r="A7879" i="13"/>
  <c r="B7878" i="13"/>
  <c r="A7878" i="13"/>
  <c r="B7877" i="13"/>
  <c r="A7877" i="13"/>
  <c r="B7876" i="13"/>
  <c r="A7876" i="13"/>
  <c r="B7875" i="13"/>
  <c r="A7875" i="13"/>
  <c r="B7874" i="13"/>
  <c r="A7874" i="13"/>
  <c r="B7873" i="13"/>
  <c r="A7873" i="13"/>
  <c r="B7872" i="13"/>
  <c r="A7872" i="13"/>
  <c r="B7871" i="13"/>
  <c r="A7871" i="13"/>
  <c r="B7870" i="13"/>
  <c r="A7870" i="13"/>
  <c r="B7869" i="13"/>
  <c r="A7869" i="13"/>
  <c r="B7868" i="13"/>
  <c r="A7868" i="13"/>
  <c r="B7867" i="13"/>
  <c r="A7867" i="13"/>
  <c r="B7866" i="13"/>
  <c r="A7866" i="13"/>
  <c r="B7865" i="13"/>
  <c r="A7865" i="13"/>
  <c r="B7864" i="13"/>
  <c r="A7864" i="13"/>
  <c r="B7863" i="13"/>
  <c r="A7863" i="13"/>
  <c r="B7862" i="13"/>
  <c r="A7862" i="13"/>
  <c r="B7861" i="13"/>
  <c r="A7861" i="13"/>
  <c r="B7860" i="13"/>
  <c r="A7860" i="13"/>
  <c r="B7859" i="13"/>
  <c r="A7859" i="13"/>
  <c r="B7858" i="13"/>
  <c r="A7858" i="13"/>
  <c r="B7857" i="13"/>
  <c r="A7857" i="13"/>
  <c r="B7856" i="13"/>
  <c r="A7856" i="13"/>
  <c r="B7855" i="13"/>
  <c r="A7855" i="13"/>
  <c r="B7854" i="13"/>
  <c r="A7854" i="13"/>
  <c r="B7853" i="13"/>
  <c r="A7853" i="13"/>
  <c r="B7852" i="13"/>
  <c r="A7852" i="13"/>
  <c r="B7851" i="13"/>
  <c r="A7851" i="13"/>
  <c r="B7850" i="13"/>
  <c r="A7850" i="13"/>
  <c r="B7849" i="13"/>
  <c r="A7849" i="13"/>
  <c r="B7848" i="13"/>
  <c r="A7848" i="13"/>
  <c r="B7847" i="13"/>
  <c r="A7847" i="13"/>
  <c r="B7846" i="13"/>
  <c r="A7846" i="13"/>
  <c r="B7845" i="13"/>
  <c r="A7845" i="13"/>
  <c r="B7844" i="13"/>
  <c r="A7844" i="13"/>
  <c r="B7843" i="13"/>
  <c r="A7843" i="13"/>
  <c r="B7842" i="13"/>
  <c r="A7842" i="13"/>
  <c r="B7841" i="13"/>
  <c r="A7841" i="13"/>
  <c r="B7840" i="13"/>
  <c r="A7840" i="13"/>
  <c r="B7839" i="13"/>
  <c r="A7839" i="13"/>
  <c r="B7838" i="13"/>
  <c r="A7838" i="13"/>
  <c r="B7837" i="13"/>
  <c r="A7837" i="13"/>
  <c r="B7836" i="13"/>
  <c r="A7836" i="13"/>
  <c r="B7835" i="13"/>
  <c r="A7835" i="13"/>
  <c r="B7834" i="13"/>
  <c r="A7834" i="13"/>
  <c r="B7833" i="13"/>
  <c r="A7833" i="13"/>
  <c r="B7832" i="13"/>
  <c r="A7832" i="13"/>
  <c r="B7831" i="13"/>
  <c r="A7831" i="13"/>
  <c r="B7830" i="13"/>
  <c r="A7830" i="13"/>
  <c r="B7829" i="13"/>
  <c r="A7829" i="13"/>
  <c r="B7828" i="13"/>
  <c r="A7828" i="13"/>
  <c r="B7827" i="13"/>
  <c r="A7827" i="13"/>
  <c r="B7826" i="13"/>
  <c r="A7826" i="13"/>
  <c r="B7825" i="13"/>
  <c r="A7825" i="13"/>
  <c r="B7824" i="13"/>
  <c r="A7824" i="13"/>
  <c r="B7823" i="13"/>
  <c r="A7823" i="13"/>
  <c r="B7822" i="13"/>
  <c r="A7822" i="13"/>
  <c r="B7821" i="13"/>
  <c r="A7821" i="13"/>
  <c r="B7820" i="13"/>
  <c r="A7820" i="13"/>
  <c r="B7819" i="13"/>
  <c r="A7819" i="13"/>
  <c r="B7818" i="13"/>
  <c r="A7818" i="13"/>
  <c r="B7817" i="13"/>
  <c r="A7817" i="13"/>
  <c r="B7816" i="13"/>
  <c r="A7816" i="13"/>
  <c r="B7815" i="13"/>
  <c r="A7815" i="13"/>
  <c r="B7814" i="13"/>
  <c r="A7814" i="13"/>
  <c r="B7813" i="13"/>
  <c r="A7813" i="13"/>
  <c r="B7812" i="13"/>
  <c r="A7812" i="13"/>
  <c r="B7811" i="13"/>
  <c r="A7811" i="13"/>
  <c r="B7810" i="13"/>
  <c r="A7810" i="13"/>
  <c r="B7809" i="13"/>
  <c r="A7809" i="13"/>
  <c r="B7808" i="13"/>
  <c r="A7808" i="13"/>
  <c r="B7807" i="13"/>
  <c r="A7807" i="13"/>
  <c r="B7806" i="13"/>
  <c r="A7806" i="13"/>
  <c r="B7805" i="13"/>
  <c r="A7805" i="13"/>
  <c r="B7804" i="13"/>
  <c r="A7804" i="13"/>
  <c r="B7803" i="13"/>
  <c r="A7803" i="13"/>
  <c r="B7802" i="13"/>
  <c r="A7802" i="13"/>
  <c r="B7801" i="13"/>
  <c r="A7801" i="13"/>
  <c r="B7800" i="13"/>
  <c r="A7800" i="13"/>
  <c r="B7799" i="13"/>
  <c r="A7799" i="13"/>
  <c r="B7798" i="13"/>
  <c r="A7798" i="13"/>
  <c r="B7797" i="13"/>
  <c r="A7797" i="13"/>
  <c r="B7796" i="13"/>
  <c r="A7796" i="13"/>
  <c r="B7795" i="13"/>
  <c r="A7795" i="13"/>
  <c r="B7794" i="13"/>
  <c r="A7794" i="13"/>
  <c r="B7793" i="13"/>
  <c r="A7793" i="13"/>
  <c r="B7792" i="13"/>
  <c r="A7792" i="13"/>
  <c r="B7791" i="13"/>
  <c r="A7791" i="13"/>
  <c r="B7790" i="13"/>
  <c r="A7790" i="13"/>
  <c r="B7789" i="13"/>
  <c r="A7789" i="13"/>
  <c r="B7788" i="13"/>
  <c r="A7788" i="13"/>
  <c r="B7787" i="13"/>
  <c r="A7787" i="13"/>
  <c r="B7786" i="13"/>
  <c r="A7786" i="13"/>
  <c r="B7785" i="13"/>
  <c r="A7785" i="13"/>
  <c r="B7784" i="13"/>
  <c r="A7784" i="13"/>
  <c r="B7783" i="13"/>
  <c r="A7783" i="13"/>
  <c r="B7782" i="13"/>
  <c r="A7782" i="13"/>
  <c r="B7781" i="13"/>
  <c r="A7781" i="13"/>
  <c r="B7780" i="13"/>
  <c r="A7780" i="13"/>
  <c r="B7779" i="13"/>
  <c r="A7779" i="13"/>
  <c r="B7778" i="13"/>
  <c r="A7778" i="13"/>
  <c r="B7777" i="13"/>
  <c r="A7777" i="13"/>
  <c r="B7776" i="13"/>
  <c r="A7776" i="13"/>
  <c r="B7775" i="13"/>
  <c r="A7775" i="13"/>
  <c r="B7774" i="13"/>
  <c r="A7774" i="13"/>
  <c r="B7773" i="13"/>
  <c r="A7773" i="13"/>
  <c r="B7772" i="13"/>
  <c r="A7772" i="13"/>
  <c r="B7771" i="13"/>
  <c r="A7771" i="13"/>
  <c r="B7770" i="13"/>
  <c r="A7770" i="13"/>
  <c r="B7769" i="13"/>
  <c r="A7769" i="13"/>
  <c r="B7768" i="13"/>
  <c r="A7768" i="13"/>
  <c r="B7767" i="13"/>
  <c r="A7767" i="13"/>
  <c r="B7766" i="13"/>
  <c r="A7766" i="13"/>
  <c r="B7765" i="13"/>
  <c r="A7765" i="13"/>
  <c r="B7764" i="13"/>
  <c r="A7764" i="13"/>
  <c r="B7763" i="13"/>
  <c r="A7763" i="13"/>
  <c r="B7762" i="13"/>
  <c r="A7762" i="13"/>
  <c r="B7761" i="13"/>
  <c r="A7761" i="13"/>
  <c r="B7760" i="13"/>
  <c r="A7760" i="13"/>
  <c r="B7759" i="13"/>
  <c r="A7759" i="13"/>
  <c r="B7758" i="13"/>
  <c r="A7758" i="13"/>
  <c r="B7757" i="13"/>
  <c r="A7757" i="13"/>
  <c r="B7756" i="13"/>
  <c r="A7756" i="13"/>
  <c r="B7755" i="13"/>
  <c r="A7755" i="13"/>
  <c r="B7754" i="13"/>
  <c r="A7754" i="13"/>
  <c r="B7753" i="13"/>
  <c r="A7753" i="13"/>
  <c r="B7752" i="13"/>
  <c r="A7752" i="13"/>
  <c r="B7751" i="13"/>
  <c r="A7751" i="13"/>
  <c r="B7750" i="13"/>
  <c r="A7750" i="13"/>
  <c r="B7749" i="13"/>
  <c r="A7749" i="13"/>
  <c r="B7748" i="13"/>
  <c r="A7748" i="13"/>
  <c r="B7747" i="13"/>
  <c r="A7747" i="13"/>
  <c r="B7746" i="13"/>
  <c r="A7746" i="13"/>
  <c r="B7745" i="13"/>
  <c r="A7745" i="13"/>
  <c r="B7744" i="13"/>
  <c r="A7744" i="13"/>
  <c r="B7743" i="13"/>
  <c r="A7743" i="13"/>
  <c r="B7742" i="13"/>
  <c r="A7742" i="13"/>
  <c r="B7741" i="13"/>
  <c r="A7741" i="13"/>
  <c r="B7740" i="13"/>
  <c r="A7740" i="13"/>
  <c r="B7739" i="13"/>
  <c r="A7739" i="13"/>
  <c r="B7738" i="13"/>
  <c r="A7738" i="13"/>
  <c r="B7737" i="13"/>
  <c r="A7737" i="13"/>
  <c r="B7736" i="13"/>
  <c r="A7736" i="13"/>
  <c r="B7735" i="13"/>
  <c r="A7735" i="13"/>
  <c r="B7734" i="13"/>
  <c r="A7734" i="13"/>
  <c r="B7733" i="13"/>
  <c r="A7733" i="13"/>
  <c r="B7732" i="13"/>
  <c r="A7732" i="13"/>
  <c r="B7731" i="13"/>
  <c r="A7731" i="13"/>
  <c r="B7730" i="13"/>
  <c r="A7730" i="13"/>
  <c r="B7729" i="13"/>
  <c r="A7729" i="13"/>
  <c r="B7728" i="13"/>
  <c r="A7728" i="13"/>
  <c r="B7727" i="13"/>
  <c r="A7727" i="13"/>
  <c r="B7726" i="13"/>
  <c r="A7726" i="13"/>
  <c r="B7725" i="13"/>
  <c r="A7725" i="13"/>
  <c r="B7724" i="13"/>
  <c r="A7724" i="13"/>
  <c r="B7723" i="13"/>
  <c r="A7723" i="13"/>
  <c r="B7722" i="13"/>
  <c r="A7722" i="13"/>
  <c r="B7721" i="13"/>
  <c r="A7721" i="13"/>
  <c r="B7720" i="13"/>
  <c r="A7720" i="13"/>
  <c r="B7719" i="13"/>
  <c r="A7719" i="13"/>
  <c r="B7718" i="13"/>
  <c r="A7718" i="13"/>
  <c r="B7717" i="13"/>
  <c r="A7717" i="13"/>
  <c r="B7716" i="13"/>
  <c r="A7716" i="13"/>
  <c r="B7715" i="13"/>
  <c r="A7715" i="13"/>
  <c r="B7714" i="13"/>
  <c r="A7714" i="13"/>
  <c r="B7713" i="13"/>
  <c r="A7713" i="13"/>
  <c r="B7712" i="13"/>
  <c r="A7712" i="13"/>
  <c r="B7711" i="13"/>
  <c r="A7711" i="13"/>
  <c r="B7710" i="13"/>
  <c r="A7710" i="13"/>
  <c r="B7709" i="13"/>
  <c r="A7709" i="13"/>
  <c r="B7708" i="13"/>
  <c r="A7708" i="13"/>
  <c r="B7707" i="13"/>
  <c r="A7707" i="13"/>
  <c r="B7706" i="13"/>
  <c r="A7706" i="13"/>
  <c r="B7705" i="13"/>
  <c r="A7705" i="13"/>
  <c r="B7704" i="13"/>
  <c r="A7704" i="13"/>
  <c r="B7703" i="13"/>
  <c r="A7703" i="13"/>
  <c r="B7702" i="13"/>
  <c r="A7702" i="13"/>
  <c r="B7701" i="13"/>
  <c r="A7701" i="13"/>
  <c r="B7700" i="13"/>
  <c r="A7700" i="13"/>
  <c r="B7699" i="13"/>
  <c r="A7699" i="13"/>
  <c r="B7698" i="13"/>
  <c r="A7698" i="13"/>
  <c r="B7697" i="13"/>
  <c r="A7697" i="13"/>
  <c r="B7696" i="13"/>
  <c r="A7696" i="13"/>
  <c r="B7695" i="13"/>
  <c r="A7695" i="13"/>
  <c r="B7694" i="13"/>
  <c r="A7694" i="13"/>
  <c r="B7693" i="13"/>
  <c r="A7693" i="13"/>
  <c r="B7692" i="13"/>
  <c r="A7692" i="13"/>
  <c r="B7691" i="13"/>
  <c r="A7691" i="13"/>
  <c r="B7690" i="13"/>
  <c r="A7690" i="13"/>
  <c r="B7689" i="13"/>
  <c r="A7689" i="13"/>
  <c r="B7688" i="13"/>
  <c r="A7688" i="13"/>
  <c r="B7687" i="13"/>
  <c r="A7687" i="13"/>
  <c r="B7686" i="13"/>
  <c r="A7686" i="13"/>
  <c r="B7685" i="13"/>
  <c r="A7685" i="13"/>
  <c r="B7684" i="13"/>
  <c r="A7684" i="13"/>
  <c r="B7683" i="13"/>
  <c r="A7683" i="13"/>
  <c r="B7682" i="13"/>
  <c r="A7682" i="13"/>
  <c r="B7681" i="13"/>
  <c r="A7681" i="13"/>
  <c r="B7680" i="13"/>
  <c r="A7680" i="13"/>
  <c r="B7679" i="13"/>
  <c r="A7679" i="13"/>
  <c r="B7678" i="13"/>
  <c r="A7678" i="13"/>
  <c r="B7677" i="13"/>
  <c r="A7677" i="13"/>
  <c r="B7676" i="13"/>
  <c r="A7676" i="13"/>
  <c r="B7675" i="13"/>
  <c r="A7675" i="13"/>
  <c r="B7674" i="13"/>
  <c r="A7674" i="13"/>
  <c r="B7673" i="13"/>
  <c r="A7673" i="13"/>
  <c r="B7672" i="13"/>
  <c r="A7672" i="13"/>
  <c r="B7671" i="13"/>
  <c r="A7671" i="13"/>
  <c r="B7670" i="13"/>
  <c r="A7670" i="13"/>
  <c r="B7669" i="13"/>
  <c r="A7669" i="13"/>
  <c r="B7668" i="13"/>
  <c r="A7668" i="13"/>
  <c r="B7667" i="13"/>
  <c r="A7667" i="13"/>
  <c r="B7666" i="13"/>
  <c r="A7666" i="13"/>
  <c r="B7665" i="13"/>
  <c r="A7665" i="13"/>
  <c r="B7664" i="13"/>
  <c r="A7664" i="13"/>
  <c r="B7663" i="13"/>
  <c r="A7663" i="13"/>
  <c r="B7662" i="13"/>
  <c r="A7662" i="13"/>
  <c r="B7661" i="13"/>
  <c r="A7661" i="13"/>
  <c r="B7660" i="13"/>
  <c r="A7660" i="13"/>
  <c r="B7659" i="13"/>
  <c r="A7659" i="13"/>
  <c r="B7658" i="13"/>
  <c r="A7658" i="13"/>
  <c r="B7657" i="13"/>
  <c r="A7657" i="13"/>
  <c r="B7656" i="13"/>
  <c r="A7656" i="13"/>
  <c r="B7655" i="13"/>
  <c r="A7655" i="13"/>
  <c r="B7654" i="13"/>
  <c r="A7654" i="13"/>
  <c r="B7653" i="13"/>
  <c r="A7653" i="13"/>
  <c r="B7652" i="13"/>
  <c r="A7652" i="13"/>
  <c r="B7651" i="13"/>
  <c r="A7651" i="13"/>
  <c r="B7650" i="13"/>
  <c r="A7650" i="13"/>
  <c r="B7649" i="13"/>
  <c r="A7649" i="13"/>
  <c r="B7648" i="13"/>
  <c r="A7648" i="13"/>
  <c r="B7647" i="13"/>
  <c r="A7647" i="13"/>
  <c r="B7646" i="13"/>
  <c r="A7646" i="13"/>
  <c r="B7645" i="13"/>
  <c r="A7645" i="13"/>
  <c r="B7644" i="13"/>
  <c r="A7644" i="13"/>
  <c r="B7643" i="13"/>
  <c r="A7643" i="13"/>
  <c r="B7642" i="13"/>
  <c r="A7642" i="13"/>
  <c r="B7641" i="13"/>
  <c r="A7641" i="13"/>
  <c r="B7640" i="13"/>
  <c r="A7640" i="13"/>
  <c r="B7639" i="13"/>
  <c r="A7639" i="13"/>
  <c r="B7638" i="13"/>
  <c r="A7638" i="13"/>
  <c r="B7637" i="13"/>
  <c r="A7637" i="13"/>
  <c r="B7636" i="13"/>
  <c r="A7636" i="13"/>
  <c r="B7635" i="13"/>
  <c r="A7635" i="13"/>
  <c r="B7634" i="13"/>
  <c r="A7634" i="13"/>
  <c r="B7633" i="13"/>
  <c r="A7633" i="13"/>
  <c r="B7632" i="13"/>
  <c r="A7632" i="13"/>
  <c r="B7631" i="13"/>
  <c r="A7631" i="13"/>
  <c r="B7630" i="13"/>
  <c r="A7630" i="13"/>
  <c r="B7629" i="13"/>
  <c r="A7629" i="13"/>
  <c r="B7628" i="13"/>
  <c r="A7628" i="13"/>
  <c r="B7627" i="13"/>
  <c r="A7627" i="13"/>
  <c r="B7626" i="13"/>
  <c r="A7626" i="13"/>
  <c r="B7625" i="13"/>
  <c r="A7625" i="13"/>
  <c r="B7624" i="13"/>
  <c r="A7624" i="13"/>
  <c r="B7623" i="13"/>
  <c r="A7623" i="13"/>
  <c r="B7622" i="13"/>
  <c r="A7622" i="13"/>
  <c r="B7621" i="13"/>
  <c r="A7621" i="13"/>
  <c r="B7620" i="13"/>
  <c r="A7620" i="13"/>
  <c r="B7619" i="13"/>
  <c r="A7619" i="13"/>
  <c r="B7618" i="13"/>
  <c r="A7618" i="13"/>
  <c r="B7617" i="13"/>
  <c r="A7617" i="13"/>
  <c r="B7616" i="13"/>
  <c r="A7616" i="13"/>
  <c r="B7615" i="13"/>
  <c r="A7615" i="13"/>
  <c r="B7614" i="13"/>
  <c r="A7614" i="13"/>
  <c r="B7613" i="13"/>
  <c r="A7613" i="13"/>
  <c r="B7612" i="13"/>
  <c r="A7612" i="13"/>
  <c r="B7611" i="13"/>
  <c r="A7611" i="13"/>
  <c r="B7610" i="13"/>
  <c r="A7610" i="13"/>
  <c r="B7609" i="13"/>
  <c r="A7609" i="13"/>
  <c r="B7608" i="13"/>
  <c r="A7608" i="13"/>
  <c r="B7607" i="13"/>
  <c r="A7607" i="13"/>
  <c r="B7606" i="13"/>
  <c r="A7606" i="13"/>
  <c r="B7605" i="13"/>
  <c r="A7605" i="13"/>
  <c r="B7604" i="13"/>
  <c r="A7604" i="13"/>
  <c r="B7603" i="13"/>
  <c r="A7603" i="13"/>
  <c r="B7602" i="13"/>
  <c r="A7602" i="13"/>
  <c r="B7601" i="13"/>
  <c r="A7601" i="13"/>
  <c r="B7600" i="13"/>
  <c r="A7600" i="13"/>
  <c r="B7599" i="13"/>
  <c r="A7599" i="13"/>
  <c r="B7598" i="13"/>
  <c r="A7598" i="13"/>
  <c r="B7597" i="13"/>
  <c r="A7597" i="13"/>
  <c r="B7596" i="13"/>
  <c r="A7596" i="13"/>
  <c r="B7595" i="13"/>
  <c r="A7595" i="13"/>
  <c r="B7594" i="13"/>
  <c r="A7594" i="13"/>
  <c r="B7593" i="13"/>
  <c r="A7593" i="13"/>
  <c r="B7592" i="13"/>
  <c r="A7592" i="13"/>
  <c r="B7591" i="13"/>
  <c r="A7591" i="13"/>
  <c r="B7590" i="13"/>
  <c r="A7590" i="13"/>
  <c r="B7589" i="13"/>
  <c r="A7589" i="13"/>
  <c r="B7588" i="13"/>
  <c r="A7588" i="13"/>
  <c r="B7587" i="13"/>
  <c r="A7587" i="13"/>
  <c r="B7586" i="13"/>
  <c r="A7586" i="13"/>
  <c r="B7585" i="13"/>
  <c r="A7585" i="13"/>
  <c r="B7584" i="13"/>
  <c r="A7584" i="13"/>
  <c r="B7583" i="13"/>
  <c r="A7583" i="13"/>
  <c r="B7582" i="13"/>
  <c r="A7582" i="13"/>
  <c r="B7581" i="13"/>
  <c r="A7581" i="13"/>
  <c r="B7580" i="13"/>
  <c r="A7580" i="13"/>
  <c r="B7579" i="13"/>
  <c r="A7579" i="13"/>
  <c r="B7578" i="13"/>
  <c r="A7578" i="13"/>
  <c r="B7577" i="13"/>
  <c r="A7577" i="13"/>
  <c r="B7576" i="13"/>
  <c r="A7576" i="13"/>
  <c r="B7575" i="13"/>
  <c r="A7575" i="13"/>
  <c r="B7574" i="13"/>
  <c r="A7574" i="13"/>
  <c r="B7573" i="13"/>
  <c r="A7573" i="13"/>
  <c r="B7572" i="13"/>
  <c r="A7572" i="13"/>
  <c r="B7571" i="13"/>
  <c r="A7571" i="13"/>
  <c r="B7570" i="13"/>
  <c r="A7570" i="13"/>
  <c r="B7569" i="13"/>
  <c r="A7569" i="13"/>
  <c r="B7568" i="13"/>
  <c r="A7568" i="13"/>
  <c r="B7567" i="13"/>
  <c r="A7567" i="13"/>
  <c r="B7566" i="13"/>
  <c r="A7566" i="13"/>
  <c r="B7565" i="13"/>
  <c r="A7565" i="13"/>
  <c r="B7564" i="13"/>
  <c r="A7564" i="13"/>
  <c r="B7563" i="13"/>
  <c r="A7563" i="13"/>
  <c r="B7562" i="13"/>
  <c r="A7562" i="13"/>
  <c r="B7561" i="13"/>
  <c r="A7561" i="13"/>
  <c r="B7560" i="13"/>
  <c r="A7560" i="13"/>
  <c r="B7559" i="13"/>
  <c r="A7559" i="13"/>
  <c r="B7558" i="13"/>
  <c r="A7558" i="13"/>
  <c r="B7557" i="13"/>
  <c r="A7557" i="13"/>
  <c r="B7556" i="13"/>
  <c r="A7556" i="13"/>
  <c r="B7555" i="13"/>
  <c r="A7555" i="13"/>
  <c r="B7554" i="13"/>
  <c r="A7554" i="13"/>
  <c r="B7553" i="13"/>
  <c r="A7553" i="13"/>
  <c r="B7552" i="13"/>
  <c r="A7552" i="13"/>
  <c r="B7551" i="13"/>
  <c r="A7551" i="13"/>
  <c r="B7550" i="13"/>
  <c r="A7550" i="13"/>
  <c r="B7549" i="13"/>
  <c r="A7549" i="13"/>
  <c r="B7548" i="13"/>
  <c r="A7548" i="13"/>
  <c r="B7547" i="13"/>
  <c r="A7547" i="13"/>
  <c r="B7546" i="13"/>
  <c r="A7546" i="13"/>
  <c r="B7545" i="13"/>
  <c r="A7545" i="13"/>
  <c r="B7544" i="13"/>
  <c r="A7544" i="13"/>
  <c r="B7543" i="13"/>
  <c r="A7543" i="13"/>
  <c r="B7542" i="13"/>
  <c r="A7542" i="13"/>
  <c r="B7541" i="13"/>
  <c r="A7541" i="13"/>
  <c r="B7540" i="13"/>
  <c r="A7540" i="13"/>
  <c r="B7539" i="13"/>
  <c r="A7539" i="13"/>
  <c r="B7538" i="13"/>
  <c r="A7538" i="13"/>
  <c r="B7537" i="13"/>
  <c r="A7537" i="13"/>
  <c r="B7536" i="13"/>
  <c r="A7536" i="13"/>
  <c r="B7535" i="13"/>
  <c r="A7535" i="13"/>
  <c r="B7534" i="13"/>
  <c r="A7534" i="13"/>
  <c r="B7533" i="13"/>
  <c r="A7533" i="13"/>
  <c r="B7532" i="13"/>
  <c r="A7532" i="13"/>
  <c r="B7531" i="13"/>
  <c r="A7531" i="13"/>
  <c r="B7530" i="13"/>
  <c r="A7530" i="13"/>
  <c r="B7529" i="13"/>
  <c r="A7529" i="13"/>
  <c r="B7528" i="13"/>
  <c r="A7528" i="13"/>
  <c r="B7527" i="13"/>
  <c r="A7527" i="13"/>
  <c r="B7526" i="13"/>
  <c r="A7526" i="13"/>
  <c r="B7525" i="13"/>
  <c r="A7525" i="13"/>
  <c r="B7524" i="13"/>
  <c r="A7524" i="13"/>
  <c r="B7523" i="13"/>
  <c r="A7523" i="13"/>
  <c r="B7522" i="13"/>
  <c r="A7522" i="13"/>
  <c r="B7521" i="13"/>
  <c r="A7521" i="13"/>
  <c r="B7520" i="13"/>
  <c r="A7520" i="13"/>
  <c r="B7519" i="13"/>
  <c r="A7519" i="13"/>
  <c r="B7518" i="13"/>
  <c r="A7518" i="13"/>
  <c r="B7517" i="13"/>
  <c r="A7517" i="13"/>
  <c r="B7516" i="13"/>
  <c r="A7516" i="13"/>
  <c r="B7515" i="13"/>
  <c r="A7515" i="13"/>
  <c r="B7514" i="13"/>
  <c r="A7514" i="13"/>
  <c r="B7513" i="13"/>
  <c r="A7513" i="13"/>
  <c r="B7512" i="13"/>
  <c r="A7512" i="13"/>
  <c r="B7511" i="13"/>
  <c r="A7511" i="13"/>
  <c r="B7510" i="13"/>
  <c r="A7510" i="13"/>
  <c r="B7509" i="13"/>
  <c r="A7509" i="13"/>
  <c r="B7508" i="13"/>
  <c r="A7508" i="13"/>
  <c r="B7507" i="13"/>
  <c r="A7507" i="13"/>
  <c r="B7506" i="13"/>
  <c r="A7506" i="13"/>
  <c r="B7505" i="13"/>
  <c r="A7505" i="13"/>
  <c r="B7504" i="13"/>
  <c r="A7504" i="13"/>
  <c r="B7503" i="13"/>
  <c r="A7503" i="13"/>
  <c r="B7502" i="13"/>
  <c r="A7502" i="13"/>
  <c r="B7501" i="13"/>
  <c r="A7501" i="13"/>
  <c r="B7500" i="13"/>
  <c r="A7500" i="13"/>
  <c r="B7499" i="13"/>
  <c r="A7499" i="13"/>
  <c r="B7498" i="13"/>
  <c r="A7498" i="13"/>
  <c r="B7497" i="13"/>
  <c r="A7497" i="13"/>
  <c r="B7496" i="13"/>
  <c r="A7496" i="13"/>
  <c r="B7495" i="13"/>
  <c r="A7495" i="13"/>
  <c r="B7494" i="13"/>
  <c r="A7494" i="13"/>
  <c r="B7493" i="13"/>
  <c r="A7493" i="13"/>
  <c r="B7492" i="13"/>
  <c r="A7492" i="13"/>
  <c r="B7491" i="13"/>
  <c r="A7491" i="13"/>
  <c r="B7490" i="13"/>
  <c r="A7490" i="13"/>
  <c r="B7489" i="13"/>
  <c r="A7489" i="13"/>
  <c r="B7488" i="13"/>
  <c r="A7488" i="13"/>
  <c r="B7487" i="13"/>
  <c r="A7487" i="13"/>
  <c r="B7486" i="13"/>
  <c r="A7486" i="13"/>
  <c r="B7485" i="13"/>
  <c r="A7485" i="13"/>
  <c r="B7484" i="13"/>
  <c r="A7484" i="13"/>
  <c r="B7483" i="13"/>
  <c r="A7483" i="13"/>
  <c r="B7482" i="13"/>
  <c r="A7482" i="13"/>
  <c r="B7481" i="13"/>
  <c r="A7481" i="13"/>
  <c r="B7480" i="13"/>
  <c r="A7480" i="13"/>
  <c r="B7479" i="13"/>
  <c r="A7479" i="13"/>
  <c r="B7478" i="13"/>
  <c r="A7478" i="13"/>
  <c r="B7477" i="13"/>
  <c r="A7477" i="13"/>
  <c r="B7476" i="13"/>
  <c r="A7476" i="13"/>
  <c r="B7475" i="13"/>
  <c r="A7475" i="13"/>
  <c r="B7474" i="13"/>
  <c r="A7474" i="13"/>
  <c r="B7473" i="13"/>
  <c r="A7473" i="13"/>
  <c r="B7472" i="13"/>
  <c r="A7472" i="13"/>
  <c r="B7471" i="13"/>
  <c r="A7471" i="13"/>
  <c r="B7470" i="13"/>
  <c r="A7470" i="13"/>
  <c r="B7469" i="13"/>
  <c r="A7469" i="13"/>
  <c r="B7468" i="13"/>
  <c r="A7468" i="13"/>
  <c r="B7467" i="13"/>
  <c r="A7467" i="13"/>
  <c r="B7466" i="13"/>
  <c r="A7466" i="13"/>
  <c r="B7465" i="13"/>
  <c r="A7465" i="13"/>
  <c r="B7464" i="13"/>
  <c r="A7464" i="13"/>
  <c r="B7463" i="13"/>
  <c r="A7463" i="13"/>
  <c r="B7462" i="13"/>
  <c r="A7462" i="13"/>
  <c r="B7461" i="13"/>
  <c r="A7461" i="13"/>
  <c r="B7460" i="13"/>
  <c r="A7460" i="13"/>
  <c r="B7459" i="13"/>
  <c r="A7459" i="13"/>
  <c r="B7458" i="13"/>
  <c r="A7458" i="13"/>
  <c r="B7457" i="13"/>
  <c r="A7457" i="13"/>
  <c r="B7456" i="13"/>
  <c r="A7456" i="13"/>
  <c r="B7455" i="13"/>
  <c r="A7455" i="13"/>
  <c r="B7454" i="13"/>
  <c r="A7454" i="13"/>
  <c r="B7453" i="13"/>
  <c r="A7453" i="13"/>
  <c r="B7452" i="13"/>
  <c r="A7452" i="13"/>
  <c r="B7451" i="13"/>
  <c r="A7451" i="13"/>
  <c r="B7450" i="13"/>
  <c r="A7450" i="13"/>
  <c r="B7449" i="13"/>
  <c r="A7449" i="13"/>
  <c r="B7448" i="13"/>
  <c r="A7448" i="13"/>
  <c r="B7447" i="13"/>
  <c r="A7447" i="13"/>
  <c r="B7446" i="13"/>
  <c r="A7446" i="13"/>
  <c r="B7445" i="13"/>
  <c r="A7445" i="13"/>
  <c r="B7444" i="13"/>
  <c r="A7444" i="13"/>
  <c r="B7443" i="13"/>
  <c r="A7443" i="13"/>
  <c r="B7442" i="13"/>
  <c r="A7442" i="13"/>
  <c r="B7441" i="13"/>
  <c r="A7441" i="13"/>
  <c r="B7440" i="13"/>
  <c r="A7440" i="13"/>
  <c r="B7439" i="13"/>
  <c r="A7439" i="13"/>
  <c r="B7438" i="13"/>
  <c r="A7438" i="13"/>
  <c r="B7437" i="13"/>
  <c r="A7437" i="13"/>
  <c r="B7436" i="13"/>
  <c r="A7436" i="13"/>
  <c r="B7435" i="13"/>
  <c r="A7435" i="13"/>
  <c r="B7434" i="13"/>
  <c r="A7434" i="13"/>
  <c r="B7433" i="13"/>
  <c r="A7433" i="13"/>
  <c r="B7432" i="13"/>
  <c r="A7432" i="13"/>
  <c r="B7431" i="13"/>
  <c r="A7431" i="13"/>
  <c r="B7430" i="13"/>
  <c r="A7430" i="13"/>
  <c r="B7429" i="13"/>
  <c r="A7429" i="13"/>
  <c r="B7428" i="13"/>
  <c r="A7428" i="13"/>
  <c r="B7427" i="13"/>
  <c r="A7427" i="13"/>
  <c r="B7426" i="13"/>
  <c r="A7426" i="13"/>
  <c r="B7425" i="13"/>
  <c r="A7425" i="13"/>
  <c r="B7424" i="13"/>
  <c r="A7424" i="13"/>
  <c r="B7423" i="13"/>
  <c r="A7423" i="13"/>
  <c r="B7422" i="13"/>
  <c r="A7422" i="13"/>
  <c r="B7421" i="13"/>
  <c r="A7421" i="13"/>
  <c r="B7420" i="13"/>
  <c r="A7420" i="13"/>
  <c r="B7419" i="13"/>
  <c r="A7419" i="13"/>
  <c r="B7418" i="13"/>
  <c r="A7418" i="13"/>
  <c r="B7417" i="13"/>
  <c r="A7417" i="13"/>
  <c r="B7416" i="13"/>
  <c r="A7416" i="13"/>
  <c r="B7415" i="13"/>
  <c r="A7415" i="13"/>
  <c r="B7414" i="13"/>
  <c r="A7414" i="13"/>
  <c r="B7413" i="13"/>
  <c r="A7413" i="13"/>
  <c r="B7412" i="13"/>
  <c r="A7412" i="13"/>
  <c r="B7411" i="13"/>
  <c r="A7411" i="13"/>
  <c r="B7410" i="13"/>
  <c r="A7410" i="13"/>
  <c r="B7409" i="13"/>
  <c r="A7409" i="13"/>
  <c r="B7408" i="13"/>
  <c r="A7408" i="13"/>
  <c r="B7407" i="13"/>
  <c r="A7407" i="13"/>
  <c r="B7406" i="13"/>
  <c r="A7406" i="13"/>
  <c r="B7405" i="13"/>
  <c r="A7405" i="13"/>
  <c r="B7404" i="13"/>
  <c r="A7404" i="13"/>
  <c r="B7403" i="13"/>
  <c r="A7403" i="13"/>
  <c r="B7402" i="13"/>
  <c r="A7402" i="13"/>
  <c r="B7401" i="13"/>
  <c r="A7401" i="13"/>
  <c r="B7400" i="13"/>
  <c r="A7400" i="13"/>
  <c r="B7399" i="13"/>
  <c r="A7399" i="13"/>
  <c r="B7398" i="13"/>
  <c r="A7398" i="13"/>
  <c r="B7397" i="13"/>
  <c r="A7397" i="13"/>
  <c r="B7396" i="13"/>
  <c r="A7396" i="13"/>
  <c r="B7395" i="13"/>
  <c r="A7395" i="13"/>
  <c r="B7394" i="13"/>
  <c r="A7394" i="13"/>
  <c r="B7393" i="13"/>
  <c r="A7393" i="13"/>
  <c r="B7392" i="13"/>
  <c r="A7392" i="13"/>
  <c r="B7391" i="13"/>
  <c r="A7391" i="13"/>
  <c r="B7390" i="13"/>
  <c r="A7390" i="13"/>
  <c r="B7389" i="13"/>
  <c r="A7389" i="13"/>
  <c r="B7388" i="13"/>
  <c r="A7388" i="13"/>
  <c r="B7387" i="13"/>
  <c r="A7387" i="13"/>
  <c r="B7386" i="13"/>
  <c r="A7386" i="13"/>
  <c r="B7385" i="13"/>
  <c r="A7385" i="13"/>
  <c r="B7384" i="13"/>
  <c r="A7384" i="13"/>
  <c r="B7383" i="13"/>
  <c r="A7383" i="13"/>
  <c r="B7382" i="13"/>
  <c r="A7382" i="13"/>
  <c r="B7381" i="13"/>
  <c r="A7381" i="13"/>
  <c r="B7380" i="13"/>
  <c r="A7380" i="13"/>
  <c r="B7379" i="13"/>
  <c r="A7379" i="13"/>
  <c r="B7378" i="13"/>
  <c r="A7378" i="13"/>
  <c r="B7377" i="13"/>
  <c r="A7377" i="13"/>
  <c r="B7376" i="13"/>
  <c r="A7376" i="13"/>
  <c r="B7375" i="13"/>
  <c r="A7375" i="13"/>
  <c r="B7374" i="13"/>
  <c r="A7374" i="13"/>
  <c r="B7373" i="13"/>
  <c r="A7373" i="13"/>
  <c r="B7372" i="13"/>
  <c r="A7372" i="13"/>
  <c r="B7371" i="13"/>
  <c r="A7371" i="13"/>
  <c r="B7370" i="13"/>
  <c r="A7370" i="13"/>
  <c r="B7369" i="13"/>
  <c r="A7369" i="13"/>
  <c r="B7368" i="13"/>
  <c r="A7368" i="13"/>
  <c r="B7367" i="13"/>
  <c r="A7367" i="13"/>
  <c r="B7366" i="13"/>
  <c r="A7366" i="13"/>
  <c r="B7365" i="13"/>
  <c r="A7365" i="13"/>
  <c r="B7364" i="13"/>
  <c r="A7364" i="13"/>
  <c r="B7363" i="13"/>
  <c r="A7363" i="13"/>
  <c r="B7362" i="13"/>
  <c r="A7362" i="13"/>
  <c r="B7361" i="13"/>
  <c r="A7361" i="13"/>
  <c r="B7360" i="13"/>
  <c r="A7360" i="13"/>
  <c r="B7359" i="13"/>
  <c r="A7359" i="13"/>
  <c r="B7358" i="13"/>
  <c r="A7358" i="13"/>
  <c r="B7357" i="13"/>
  <c r="A7357" i="13"/>
  <c r="B7356" i="13"/>
  <c r="A7356" i="13"/>
  <c r="B7355" i="13"/>
  <c r="A7355" i="13"/>
  <c r="B7354" i="13"/>
  <c r="A7354" i="13"/>
  <c r="B7353" i="13"/>
  <c r="A7353" i="13"/>
  <c r="B7352" i="13"/>
  <c r="A7352" i="13"/>
  <c r="B7351" i="13"/>
  <c r="A7351" i="13"/>
  <c r="B7350" i="13"/>
  <c r="A7350" i="13"/>
  <c r="B7349" i="13"/>
  <c r="A7349" i="13"/>
  <c r="B7348" i="13"/>
  <c r="A7348" i="13"/>
  <c r="B7347" i="13"/>
  <c r="A7347" i="13"/>
  <c r="B7346" i="13"/>
  <c r="A7346" i="13"/>
  <c r="B7345" i="13"/>
  <c r="A7345" i="13"/>
  <c r="B7344" i="13"/>
  <c r="A7344" i="13"/>
  <c r="B7343" i="13"/>
  <c r="A7343" i="13"/>
  <c r="B7342" i="13"/>
  <c r="A7342" i="13"/>
  <c r="B7341" i="13"/>
  <c r="A7341" i="13"/>
  <c r="B7340" i="13"/>
  <c r="A7340" i="13"/>
  <c r="B7339" i="13"/>
  <c r="A7339" i="13"/>
  <c r="B7338" i="13"/>
  <c r="A7338" i="13"/>
  <c r="B7337" i="13"/>
  <c r="A7337" i="13"/>
  <c r="B7336" i="13"/>
  <c r="A7336" i="13"/>
  <c r="B7335" i="13"/>
  <c r="A7335" i="13"/>
  <c r="B7334" i="13"/>
  <c r="A7334" i="13"/>
  <c r="B7333" i="13"/>
  <c r="A7333" i="13"/>
  <c r="B7332" i="13"/>
  <c r="A7332" i="13"/>
  <c r="B7331" i="13"/>
  <c r="A7331" i="13"/>
  <c r="B7330" i="13"/>
  <c r="A7330" i="13"/>
  <c r="B7329" i="13"/>
  <c r="A7329" i="13"/>
  <c r="B7328" i="13"/>
  <c r="A7328" i="13"/>
  <c r="B7327" i="13"/>
  <c r="A7327" i="13"/>
  <c r="B7326" i="13"/>
  <c r="A7326" i="13"/>
  <c r="B7325" i="13"/>
  <c r="A7325" i="13"/>
  <c r="B7324" i="13"/>
  <c r="A7324" i="13"/>
  <c r="B7323" i="13"/>
  <c r="A7323" i="13"/>
  <c r="B7322" i="13"/>
  <c r="A7322" i="13"/>
  <c r="B7321" i="13"/>
  <c r="A7321" i="13"/>
  <c r="B7320" i="13"/>
  <c r="A7320" i="13"/>
  <c r="B7319" i="13"/>
  <c r="A7319" i="13"/>
  <c r="B7318" i="13"/>
  <c r="A7318" i="13"/>
  <c r="B7317" i="13"/>
  <c r="A7317" i="13"/>
  <c r="B7316" i="13"/>
  <c r="A7316" i="13"/>
  <c r="B7315" i="13"/>
  <c r="A7315" i="13"/>
  <c r="B7314" i="13"/>
  <c r="A7314" i="13"/>
  <c r="B7313" i="13"/>
  <c r="A7313" i="13"/>
  <c r="B7312" i="13"/>
  <c r="A7312" i="13"/>
  <c r="B7311" i="13"/>
  <c r="A7311" i="13"/>
  <c r="B7310" i="13"/>
  <c r="A7310" i="13"/>
  <c r="B7309" i="13"/>
  <c r="A7309" i="13"/>
  <c r="B7308" i="13"/>
  <c r="A7308" i="13"/>
  <c r="B7307" i="13"/>
  <c r="A7307" i="13"/>
  <c r="B7306" i="13"/>
  <c r="A7306" i="13"/>
  <c r="B7305" i="13"/>
  <c r="A7305" i="13"/>
  <c r="B7304" i="13"/>
  <c r="A7304" i="13"/>
  <c r="B7303" i="13"/>
  <c r="A7303" i="13"/>
  <c r="B7302" i="13"/>
  <c r="A7302" i="13"/>
  <c r="B7301" i="13"/>
  <c r="A7301" i="13"/>
  <c r="B7300" i="13"/>
  <c r="A7300" i="13"/>
  <c r="B7299" i="13"/>
  <c r="A7299" i="13"/>
  <c r="B7298" i="13"/>
  <c r="A7298" i="13"/>
  <c r="B7297" i="13"/>
  <c r="A7297" i="13"/>
  <c r="B7296" i="13"/>
  <c r="A7296" i="13"/>
  <c r="B7295" i="13"/>
  <c r="A7295" i="13"/>
  <c r="B7294" i="13"/>
  <c r="A7294" i="13"/>
  <c r="B7293" i="13"/>
  <c r="A7293" i="13"/>
  <c r="B7292" i="13"/>
  <c r="A7292" i="13"/>
  <c r="B7291" i="13"/>
  <c r="A7291" i="13"/>
  <c r="B7290" i="13"/>
  <c r="A7290" i="13"/>
  <c r="B7289" i="13"/>
  <c r="A7289" i="13"/>
  <c r="B7288" i="13"/>
  <c r="A7288" i="13"/>
  <c r="B7287" i="13"/>
  <c r="A7287" i="13"/>
  <c r="B7286" i="13"/>
  <c r="A7286" i="13"/>
  <c r="B7285" i="13"/>
  <c r="A7285" i="13"/>
  <c r="B7284" i="13"/>
  <c r="A7284" i="13"/>
  <c r="B7283" i="13"/>
  <c r="A7283" i="13"/>
  <c r="B7282" i="13"/>
  <c r="A7282" i="13"/>
  <c r="B7281" i="13"/>
  <c r="A7281" i="13"/>
  <c r="B7280" i="13"/>
  <c r="A7280" i="13"/>
  <c r="B7279" i="13"/>
  <c r="A7279" i="13"/>
  <c r="B7278" i="13"/>
  <c r="A7278" i="13"/>
  <c r="B7277" i="13"/>
  <c r="A7277" i="13"/>
  <c r="B7276" i="13"/>
  <c r="A7276" i="13"/>
  <c r="B7275" i="13"/>
  <c r="A7275" i="13"/>
  <c r="B7274" i="13"/>
  <c r="A7274" i="13"/>
  <c r="B7273" i="13"/>
  <c r="A7273" i="13"/>
  <c r="B7272" i="13"/>
  <c r="A7272" i="13"/>
  <c r="B7271" i="13"/>
  <c r="A7271" i="13"/>
  <c r="B7270" i="13"/>
  <c r="A7270" i="13"/>
  <c r="B7269" i="13"/>
  <c r="A7269" i="13"/>
  <c r="B7268" i="13"/>
  <c r="A7268" i="13"/>
  <c r="B7267" i="13"/>
  <c r="A7267" i="13"/>
  <c r="B7266" i="13"/>
  <c r="A7266" i="13"/>
  <c r="B7265" i="13"/>
  <c r="A7265" i="13"/>
  <c r="B7264" i="13"/>
  <c r="A7264" i="13"/>
  <c r="B7263" i="13"/>
  <c r="A7263" i="13"/>
  <c r="B7262" i="13"/>
  <c r="A7262" i="13"/>
  <c r="B7261" i="13"/>
  <c r="A7261" i="13"/>
  <c r="B7260" i="13"/>
  <c r="A7260" i="13"/>
  <c r="B7259" i="13"/>
  <c r="A7259" i="13"/>
  <c r="B7258" i="13"/>
  <c r="A7258" i="13"/>
  <c r="B7257" i="13"/>
  <c r="A7257" i="13"/>
  <c r="B7256" i="13"/>
  <c r="A7256" i="13"/>
  <c r="B7255" i="13"/>
  <c r="A7255" i="13"/>
  <c r="B7254" i="13"/>
  <c r="A7254" i="13"/>
  <c r="B7253" i="13"/>
  <c r="A7253" i="13"/>
  <c r="B7252" i="13"/>
  <c r="A7252" i="13"/>
  <c r="B7251" i="13"/>
  <c r="A7251" i="13"/>
  <c r="B7250" i="13"/>
  <c r="A7250" i="13"/>
  <c r="B7249" i="13"/>
  <c r="A7249" i="13"/>
  <c r="B7248" i="13"/>
  <c r="A7248" i="13"/>
  <c r="B7247" i="13"/>
  <c r="A7247" i="13"/>
  <c r="B7246" i="13"/>
  <c r="A7246" i="13"/>
  <c r="B7245" i="13"/>
  <c r="A7245" i="13"/>
  <c r="B7244" i="13"/>
  <c r="A7244" i="13"/>
  <c r="B7243" i="13"/>
  <c r="A7243" i="13"/>
  <c r="B7242" i="13"/>
  <c r="A7242" i="13"/>
  <c r="B7241" i="13"/>
  <c r="A7241" i="13"/>
  <c r="B7240" i="13"/>
  <c r="A7240" i="13"/>
  <c r="B7239" i="13"/>
  <c r="A7239" i="13"/>
  <c r="B7238" i="13"/>
  <c r="A7238" i="13"/>
  <c r="B7237" i="13"/>
  <c r="A7237" i="13"/>
  <c r="B7236" i="13"/>
  <c r="A7236" i="13"/>
  <c r="B7235" i="13"/>
  <c r="A7235" i="13"/>
  <c r="B7234" i="13"/>
  <c r="A7234" i="13"/>
  <c r="B7233" i="13"/>
  <c r="A7233" i="13"/>
  <c r="B7232" i="13"/>
  <c r="A7232" i="13"/>
  <c r="B7231" i="13"/>
  <c r="A7231" i="13"/>
  <c r="B7230" i="13"/>
  <c r="A7230" i="13"/>
  <c r="B7229" i="13"/>
  <c r="A7229" i="13"/>
  <c r="B7228" i="13"/>
  <c r="A7228" i="13"/>
  <c r="B7227" i="13"/>
  <c r="A7227" i="13"/>
  <c r="B7226" i="13"/>
  <c r="A7226" i="13"/>
  <c r="B7225" i="13"/>
  <c r="A7225" i="13"/>
  <c r="B7224" i="13"/>
  <c r="A7224" i="13"/>
  <c r="B7223" i="13"/>
  <c r="A7223" i="13"/>
  <c r="B7222" i="13"/>
  <c r="A7222" i="13"/>
  <c r="B7221" i="13"/>
  <c r="A7221" i="13"/>
  <c r="B7220" i="13"/>
  <c r="A7220" i="13"/>
  <c r="B7219" i="13"/>
  <c r="A7219" i="13"/>
  <c r="B7218" i="13"/>
  <c r="A7218" i="13"/>
  <c r="B7217" i="13"/>
  <c r="A7217" i="13"/>
  <c r="B7216" i="13"/>
  <c r="A7216" i="13"/>
  <c r="B7215" i="13"/>
  <c r="A7215" i="13"/>
  <c r="B7214" i="13"/>
  <c r="A7214" i="13"/>
  <c r="B7213" i="13"/>
  <c r="A7213" i="13"/>
  <c r="B7212" i="13"/>
  <c r="A7212" i="13"/>
  <c r="B7211" i="13"/>
  <c r="A7211" i="13"/>
  <c r="B7210" i="13"/>
  <c r="A7210" i="13"/>
  <c r="B7209" i="13"/>
  <c r="A7209" i="13"/>
  <c r="B7208" i="13"/>
  <c r="A7208" i="13"/>
  <c r="B7207" i="13"/>
  <c r="A7207" i="13"/>
  <c r="B7206" i="13"/>
  <c r="A7206" i="13"/>
  <c r="B7205" i="13"/>
  <c r="A7205" i="13"/>
  <c r="B7204" i="13"/>
  <c r="A7204" i="13"/>
  <c r="B7203" i="13"/>
  <c r="A7203" i="13"/>
  <c r="B7202" i="13"/>
  <c r="A7202" i="13"/>
  <c r="B7201" i="13"/>
  <c r="A7201" i="13"/>
  <c r="B7200" i="13"/>
  <c r="A7200" i="13"/>
  <c r="B7199" i="13"/>
  <c r="A7199" i="13"/>
  <c r="B7198" i="13"/>
  <c r="A7198" i="13"/>
  <c r="B7197" i="13"/>
  <c r="A7197" i="13"/>
  <c r="B7196" i="13"/>
  <c r="A7196" i="13"/>
  <c r="B7195" i="13"/>
  <c r="A7195" i="13"/>
  <c r="B7194" i="13"/>
  <c r="A7194" i="13"/>
  <c r="B7193" i="13"/>
  <c r="A7193" i="13"/>
  <c r="B7192" i="13"/>
  <c r="A7192" i="13"/>
  <c r="B7191" i="13"/>
  <c r="A7191" i="13"/>
  <c r="B7190" i="13"/>
  <c r="A7190" i="13"/>
  <c r="B7189" i="13"/>
  <c r="A7189" i="13"/>
  <c r="B7188" i="13"/>
  <c r="A7188" i="13"/>
  <c r="B7187" i="13"/>
  <c r="A7187" i="13"/>
  <c r="B7186" i="13"/>
  <c r="A7186" i="13"/>
  <c r="B7185" i="13"/>
  <c r="A7185" i="13"/>
  <c r="B7184" i="13"/>
  <c r="A7184" i="13"/>
  <c r="B7183" i="13"/>
  <c r="A7183" i="13"/>
  <c r="B7182" i="13"/>
  <c r="A7182" i="13"/>
  <c r="B7181" i="13"/>
  <c r="A7181" i="13"/>
  <c r="B7180" i="13"/>
  <c r="A7180" i="13"/>
  <c r="B7179" i="13"/>
  <c r="A7179" i="13"/>
  <c r="B7178" i="13"/>
  <c r="A7178" i="13"/>
  <c r="B7177" i="13"/>
  <c r="A7177" i="13"/>
  <c r="B7176" i="13"/>
  <c r="A7176" i="13"/>
  <c r="B7175" i="13"/>
  <c r="A7175" i="13"/>
  <c r="B7174" i="13"/>
  <c r="A7174" i="13"/>
  <c r="B7173" i="13"/>
  <c r="A7173" i="13"/>
  <c r="B7172" i="13"/>
  <c r="A7172" i="13"/>
  <c r="B7171" i="13"/>
  <c r="A7171" i="13"/>
  <c r="B7170" i="13"/>
  <c r="A7170" i="13"/>
  <c r="B7169" i="13"/>
  <c r="A7169" i="13"/>
  <c r="B7168" i="13"/>
  <c r="A7168" i="13"/>
  <c r="B7167" i="13"/>
  <c r="A7167" i="13"/>
  <c r="B7166" i="13"/>
  <c r="A7166" i="13"/>
  <c r="B7165" i="13"/>
  <c r="A7165" i="13"/>
  <c r="B7164" i="13"/>
  <c r="A7164" i="13"/>
  <c r="B7163" i="13"/>
  <c r="A7163" i="13"/>
  <c r="B7162" i="13"/>
  <c r="A7162" i="13"/>
  <c r="B7161" i="13"/>
  <c r="A7161" i="13"/>
  <c r="B7160" i="13"/>
  <c r="A7160" i="13"/>
  <c r="B7159" i="13"/>
  <c r="A7159" i="13"/>
  <c r="B7158" i="13"/>
  <c r="A7158" i="13"/>
  <c r="B7157" i="13"/>
  <c r="A7157" i="13"/>
  <c r="B7156" i="13"/>
  <c r="A7156" i="13"/>
  <c r="B7155" i="13"/>
  <c r="A7155" i="13"/>
  <c r="B7154" i="13"/>
  <c r="A7154" i="13"/>
  <c r="B7153" i="13"/>
  <c r="A7153" i="13"/>
  <c r="B7152" i="13"/>
  <c r="A7152" i="13"/>
  <c r="B7151" i="13"/>
  <c r="A7151" i="13"/>
  <c r="B7150" i="13"/>
  <c r="A7150" i="13"/>
  <c r="B7149" i="13"/>
  <c r="A7149" i="13"/>
  <c r="B7148" i="13"/>
  <c r="A7148" i="13"/>
  <c r="B7147" i="13"/>
  <c r="A7147" i="13"/>
  <c r="B7146" i="13"/>
  <c r="A7146" i="13"/>
  <c r="B7145" i="13"/>
  <c r="A7145" i="13"/>
  <c r="B7144" i="13"/>
  <c r="A7144" i="13"/>
  <c r="B7143" i="13"/>
  <c r="A7143" i="13"/>
  <c r="B7142" i="13"/>
  <c r="A7142" i="13"/>
  <c r="B7141" i="13"/>
  <c r="A7141" i="13"/>
  <c r="B7140" i="13"/>
  <c r="A7140" i="13"/>
  <c r="B7139" i="13"/>
  <c r="A7139" i="13"/>
  <c r="B7138" i="13"/>
  <c r="A7138" i="13"/>
  <c r="B7137" i="13"/>
  <c r="A7137" i="13"/>
  <c r="B7136" i="13"/>
  <c r="A7136" i="13"/>
  <c r="B7135" i="13"/>
  <c r="A7135" i="13"/>
  <c r="B7134" i="13"/>
  <c r="A7134" i="13"/>
  <c r="B7133" i="13"/>
  <c r="A7133" i="13"/>
  <c r="B7132" i="13"/>
  <c r="A7132" i="13"/>
  <c r="B7131" i="13"/>
  <c r="A7131" i="13"/>
  <c r="B7130" i="13"/>
  <c r="A7130" i="13"/>
  <c r="B7129" i="13"/>
  <c r="A7129" i="13"/>
  <c r="B7128" i="13"/>
  <c r="A7128" i="13"/>
  <c r="B7127" i="13"/>
  <c r="A7127" i="13"/>
  <c r="B7126" i="13"/>
  <c r="A7126" i="13"/>
  <c r="B7125" i="13"/>
  <c r="A7125" i="13"/>
  <c r="B7124" i="13"/>
  <c r="A7124" i="13"/>
  <c r="B7123" i="13"/>
  <c r="A7123" i="13"/>
  <c r="B7122" i="13"/>
  <c r="A7122" i="13"/>
  <c r="B7121" i="13"/>
  <c r="A7121" i="13"/>
  <c r="B7120" i="13"/>
  <c r="A7120" i="13"/>
  <c r="B7119" i="13"/>
  <c r="A7119" i="13"/>
  <c r="B7118" i="13"/>
  <c r="A7118" i="13"/>
  <c r="B7117" i="13"/>
  <c r="A7117" i="13"/>
  <c r="B7116" i="13"/>
  <c r="A7116" i="13"/>
  <c r="B7115" i="13"/>
  <c r="A7115" i="13"/>
  <c r="B7114" i="13"/>
  <c r="A7114" i="13"/>
  <c r="B7113" i="13"/>
  <c r="A7113" i="13"/>
  <c r="B7112" i="13"/>
  <c r="A7112" i="13"/>
  <c r="B7111" i="13"/>
  <c r="A7111" i="13"/>
  <c r="B7110" i="13"/>
  <c r="A7110" i="13"/>
  <c r="B7109" i="13"/>
  <c r="A7109" i="13"/>
  <c r="B7108" i="13"/>
  <c r="A7108" i="13"/>
  <c r="B7107" i="13"/>
  <c r="A7107" i="13"/>
  <c r="B7106" i="13"/>
  <c r="A7106" i="13"/>
  <c r="B7105" i="13"/>
  <c r="A7105" i="13"/>
  <c r="B7104" i="13"/>
  <c r="A7104" i="13"/>
  <c r="B7103" i="13"/>
  <c r="A7103" i="13"/>
  <c r="B7102" i="13"/>
  <c r="A7102" i="13"/>
  <c r="B7101" i="13"/>
  <c r="A7101" i="13"/>
  <c r="B7100" i="13"/>
  <c r="A7100" i="13"/>
  <c r="B7099" i="13"/>
  <c r="A7099" i="13"/>
  <c r="B7098" i="13"/>
  <c r="A7098" i="13"/>
  <c r="B7097" i="13"/>
  <c r="A7097" i="13"/>
  <c r="B7096" i="13"/>
  <c r="A7096" i="13"/>
  <c r="B7095" i="13"/>
  <c r="A7095" i="13"/>
  <c r="B7094" i="13"/>
  <c r="A7094" i="13"/>
  <c r="B7093" i="13"/>
  <c r="A7093" i="13"/>
  <c r="B7092" i="13"/>
  <c r="A7092" i="13"/>
  <c r="B7091" i="13"/>
  <c r="A7091" i="13"/>
  <c r="B7090" i="13"/>
  <c r="A7090" i="13"/>
  <c r="B7089" i="13"/>
  <c r="A7089" i="13"/>
  <c r="B7088" i="13"/>
  <c r="A7088" i="13"/>
  <c r="B7087" i="13"/>
  <c r="A7087" i="13"/>
  <c r="B7086" i="13"/>
  <c r="A7086" i="13"/>
  <c r="B7085" i="13"/>
  <c r="A7085" i="13"/>
  <c r="B7084" i="13"/>
  <c r="A7084" i="13"/>
  <c r="B7083" i="13"/>
  <c r="A7083" i="13"/>
  <c r="B7082" i="13"/>
  <c r="A7082" i="13"/>
  <c r="B7081" i="13"/>
  <c r="A7081" i="13"/>
  <c r="B7080" i="13"/>
  <c r="A7080" i="13"/>
  <c r="B7079" i="13"/>
  <c r="A7079" i="13"/>
  <c r="B7078" i="13"/>
  <c r="A7078" i="13"/>
  <c r="B7077" i="13"/>
  <c r="A7077" i="13"/>
  <c r="B7076" i="13"/>
  <c r="A7076" i="13"/>
  <c r="B7075" i="13"/>
  <c r="A7075" i="13"/>
  <c r="B7074" i="13"/>
  <c r="A7074" i="13"/>
  <c r="B7073" i="13"/>
  <c r="A7073" i="13"/>
  <c r="B7072" i="13"/>
  <c r="A7072" i="13"/>
  <c r="B7071" i="13"/>
  <c r="A7071" i="13"/>
  <c r="B7070" i="13"/>
  <c r="A7070" i="13"/>
  <c r="B7069" i="13"/>
  <c r="A7069" i="13"/>
  <c r="B7068" i="13"/>
  <c r="A7068" i="13"/>
  <c r="B7067" i="13"/>
  <c r="A7067" i="13"/>
  <c r="B7066" i="13"/>
  <c r="A7066" i="13"/>
  <c r="B7065" i="13"/>
  <c r="A7065" i="13"/>
  <c r="B7064" i="13"/>
  <c r="A7064" i="13"/>
  <c r="B7063" i="13"/>
  <c r="A7063" i="13"/>
  <c r="B7062" i="13"/>
  <c r="A7062" i="13"/>
  <c r="B7061" i="13"/>
  <c r="A7061" i="13"/>
  <c r="B7060" i="13"/>
  <c r="A7060" i="13"/>
  <c r="B7059" i="13"/>
  <c r="A7059" i="13"/>
  <c r="B7058" i="13"/>
  <c r="A7058" i="13"/>
  <c r="B7057" i="13"/>
  <c r="A7057" i="13"/>
  <c r="B7056" i="13"/>
  <c r="A7056" i="13"/>
  <c r="B7055" i="13"/>
  <c r="A7055" i="13"/>
  <c r="B7054" i="13"/>
  <c r="A7054" i="13"/>
  <c r="B7053" i="13"/>
  <c r="A7053" i="13"/>
  <c r="B7052" i="13"/>
  <c r="A7052" i="13"/>
  <c r="B7051" i="13"/>
  <c r="A7051" i="13"/>
  <c r="B7050" i="13"/>
  <c r="A7050" i="13"/>
  <c r="B7049" i="13"/>
  <c r="A7049" i="13"/>
  <c r="B7048" i="13"/>
  <c r="A7048" i="13"/>
  <c r="B7047" i="13"/>
  <c r="A7047" i="13"/>
  <c r="B7046" i="13"/>
  <c r="A7046" i="13"/>
  <c r="B7045" i="13"/>
  <c r="A7045" i="13"/>
  <c r="B7044" i="13"/>
  <c r="A7044" i="13"/>
  <c r="B7043" i="13"/>
  <c r="A7043" i="13"/>
  <c r="B7042" i="13"/>
  <c r="A7042" i="13"/>
  <c r="B7041" i="13"/>
  <c r="A7041" i="13"/>
  <c r="B7040" i="13"/>
  <c r="A7040" i="13"/>
  <c r="B7039" i="13"/>
  <c r="A7039" i="13"/>
  <c r="B7038" i="13"/>
  <c r="A7038" i="13"/>
  <c r="B7037" i="13"/>
  <c r="A7037" i="13"/>
  <c r="B7036" i="13"/>
  <c r="A7036" i="13"/>
  <c r="B7035" i="13"/>
  <c r="A7035" i="13"/>
  <c r="B7034" i="13"/>
  <c r="A7034" i="13"/>
  <c r="B7033" i="13"/>
  <c r="A7033" i="13"/>
  <c r="B7032" i="13"/>
  <c r="A7032" i="13"/>
  <c r="B7031" i="13"/>
  <c r="A7031" i="13"/>
  <c r="B7030" i="13"/>
  <c r="A7030" i="13"/>
  <c r="B7029" i="13"/>
  <c r="A7029" i="13"/>
  <c r="B7028" i="13"/>
  <c r="A7028" i="13"/>
  <c r="B7027" i="13"/>
  <c r="A7027" i="13"/>
  <c r="B7026" i="13"/>
  <c r="A7026" i="13"/>
  <c r="B7025" i="13"/>
  <c r="A7025" i="13"/>
  <c r="B7024" i="13"/>
  <c r="A7024" i="13"/>
  <c r="B7023" i="13"/>
  <c r="A7023" i="13"/>
  <c r="B7022" i="13"/>
  <c r="A7022" i="13"/>
  <c r="B7021" i="13"/>
  <c r="A7021" i="13"/>
  <c r="B7020" i="13"/>
  <c r="A7020" i="13"/>
  <c r="B7019" i="13"/>
  <c r="A7019" i="13"/>
  <c r="B7018" i="13"/>
  <c r="A7018" i="13"/>
  <c r="B7017" i="13"/>
  <c r="A7017" i="13"/>
  <c r="B7016" i="13"/>
  <c r="A7016" i="13"/>
  <c r="B7015" i="13"/>
  <c r="A7015" i="13"/>
  <c r="B7014" i="13"/>
  <c r="A7014" i="13"/>
  <c r="B7013" i="13"/>
  <c r="A7013" i="13"/>
  <c r="B7012" i="13"/>
  <c r="A7012" i="13"/>
  <c r="B7011" i="13"/>
  <c r="A7011" i="13"/>
  <c r="B7010" i="13"/>
  <c r="A7010" i="13"/>
  <c r="B7009" i="13"/>
  <c r="A7009" i="13"/>
  <c r="B7008" i="13"/>
  <c r="A7008" i="13"/>
  <c r="B7007" i="13"/>
  <c r="A7007" i="13"/>
  <c r="B7006" i="13"/>
  <c r="A7006" i="13"/>
  <c r="B7005" i="13"/>
  <c r="A7005" i="13"/>
  <c r="B7004" i="13"/>
  <c r="A7004" i="13"/>
  <c r="B7003" i="13"/>
  <c r="A7003" i="13"/>
  <c r="B7002" i="13"/>
  <c r="A7002" i="13"/>
  <c r="B7001" i="13"/>
  <c r="A7001" i="13"/>
  <c r="B7000" i="13"/>
  <c r="A7000" i="13"/>
  <c r="B6999" i="13"/>
  <c r="A6999" i="13"/>
  <c r="B6998" i="13"/>
  <c r="A6998" i="13"/>
  <c r="B6997" i="13"/>
  <c r="A6997" i="13"/>
  <c r="B6996" i="13"/>
  <c r="A6996" i="13"/>
  <c r="B6995" i="13"/>
  <c r="A6995" i="13"/>
  <c r="B6994" i="13"/>
  <c r="A6994" i="13"/>
  <c r="B6993" i="13"/>
  <c r="A6993" i="13"/>
  <c r="B6992" i="13"/>
  <c r="A6992" i="13"/>
  <c r="B6991" i="13"/>
  <c r="A6991" i="13"/>
  <c r="B6990" i="13"/>
  <c r="A6990" i="13"/>
  <c r="B6989" i="13"/>
  <c r="A6989" i="13"/>
  <c r="B6988" i="13"/>
  <c r="A6988" i="13"/>
  <c r="B6987" i="13"/>
  <c r="A6987" i="13"/>
  <c r="B6986" i="13"/>
  <c r="A6986" i="13"/>
  <c r="B6985" i="13"/>
  <c r="A6985" i="13"/>
  <c r="B6984" i="13"/>
  <c r="A6984" i="13"/>
  <c r="B6983" i="13"/>
  <c r="A6983" i="13"/>
  <c r="B6982" i="13"/>
  <c r="A6982" i="13"/>
  <c r="B6981" i="13"/>
  <c r="A6981" i="13"/>
  <c r="B6980" i="13"/>
  <c r="A6980" i="13"/>
  <c r="B6979" i="13"/>
  <c r="A6979" i="13"/>
  <c r="B6978" i="13"/>
  <c r="A6978" i="13"/>
  <c r="B6977" i="13"/>
  <c r="A6977" i="13"/>
  <c r="B6976" i="13"/>
  <c r="A6976" i="13"/>
  <c r="B6975" i="13"/>
  <c r="A6975" i="13"/>
  <c r="B6974" i="13"/>
  <c r="A6974" i="13"/>
  <c r="B6973" i="13"/>
  <c r="A6973" i="13"/>
  <c r="B6972" i="13"/>
  <c r="A6972" i="13"/>
  <c r="B6971" i="13"/>
  <c r="A6971" i="13"/>
  <c r="B6970" i="13"/>
  <c r="A6970" i="13"/>
  <c r="B6969" i="13"/>
  <c r="A6969" i="13"/>
  <c r="B6968" i="13"/>
  <c r="A6968" i="13"/>
  <c r="B6967" i="13"/>
  <c r="A6967" i="13"/>
  <c r="B6966" i="13"/>
  <c r="A6966" i="13"/>
  <c r="B6965" i="13"/>
  <c r="A6965" i="13"/>
  <c r="B6964" i="13"/>
  <c r="A6964" i="13"/>
  <c r="B6963" i="13"/>
  <c r="A6963" i="13"/>
  <c r="B6962" i="13"/>
  <c r="A6962" i="13"/>
  <c r="B6961" i="13"/>
  <c r="A6961" i="13"/>
  <c r="B6960" i="13"/>
  <c r="A6960" i="13"/>
  <c r="B6959" i="13"/>
  <c r="A6959" i="13"/>
  <c r="B6958" i="13"/>
  <c r="A6958" i="13"/>
  <c r="B6957" i="13"/>
  <c r="A6957" i="13"/>
  <c r="B6956" i="13"/>
  <c r="A6956" i="13"/>
  <c r="B6955" i="13"/>
  <c r="A6955" i="13"/>
  <c r="B6954" i="13"/>
  <c r="A6954" i="13"/>
  <c r="B6953" i="13"/>
  <c r="A6953" i="13"/>
  <c r="B6952" i="13"/>
  <c r="A6952" i="13"/>
  <c r="B6951" i="13"/>
  <c r="A6951" i="13"/>
  <c r="B6950" i="13"/>
  <c r="A6950" i="13"/>
  <c r="B6949" i="13"/>
  <c r="A6949" i="13"/>
  <c r="B6948" i="13"/>
  <c r="A6948" i="13"/>
  <c r="B6947" i="13"/>
  <c r="A6947" i="13"/>
  <c r="B6946" i="13"/>
  <c r="A6946" i="13"/>
  <c r="B6945" i="13"/>
  <c r="A6945" i="13"/>
  <c r="B6944" i="13"/>
  <c r="A6944" i="13"/>
  <c r="B6943" i="13"/>
  <c r="A6943" i="13"/>
  <c r="B6942" i="13"/>
  <c r="A6942" i="13"/>
  <c r="B6941" i="13"/>
  <c r="A6941" i="13"/>
  <c r="B6940" i="13"/>
  <c r="A6940" i="13"/>
  <c r="B6939" i="13"/>
  <c r="A6939" i="13"/>
  <c r="B6938" i="13"/>
  <c r="A6938" i="13"/>
  <c r="B6937" i="13"/>
  <c r="A6937" i="13"/>
  <c r="B6936" i="13"/>
  <c r="A6936" i="13"/>
  <c r="B6935" i="13"/>
  <c r="A6935" i="13"/>
  <c r="B6934" i="13"/>
  <c r="A6934" i="13"/>
  <c r="B6933" i="13"/>
  <c r="A6933" i="13"/>
  <c r="B6932" i="13"/>
  <c r="A6932" i="13"/>
  <c r="B6931" i="13"/>
  <c r="A6931" i="13"/>
  <c r="B6930" i="13"/>
  <c r="A6930" i="13"/>
  <c r="B6929" i="13"/>
  <c r="A6929" i="13"/>
  <c r="B6928" i="13"/>
  <c r="A6928" i="13"/>
  <c r="B6927" i="13"/>
  <c r="A6927" i="13"/>
  <c r="B6926" i="13"/>
  <c r="A6926" i="13"/>
  <c r="B6925" i="13"/>
  <c r="A6925" i="13"/>
  <c r="B6924" i="13"/>
  <c r="A6924" i="13"/>
  <c r="B6923" i="13"/>
  <c r="A6923" i="13"/>
  <c r="B6922" i="13"/>
  <c r="A6922" i="13"/>
  <c r="B6921" i="13"/>
  <c r="A6921" i="13"/>
  <c r="B6920" i="13"/>
  <c r="A6920" i="13"/>
  <c r="B6919" i="13"/>
  <c r="A6919" i="13"/>
  <c r="B6918" i="13"/>
  <c r="A6918" i="13"/>
  <c r="B6917" i="13"/>
  <c r="A6917" i="13"/>
  <c r="B6916" i="13"/>
  <c r="A6916" i="13"/>
  <c r="B6915" i="13"/>
  <c r="A6915" i="13"/>
  <c r="B6914" i="13"/>
  <c r="A6914" i="13"/>
  <c r="B6913" i="13"/>
  <c r="A6913" i="13"/>
  <c r="B6912" i="13"/>
  <c r="A6912" i="13"/>
  <c r="B6911" i="13"/>
  <c r="A6911" i="13"/>
  <c r="B6910" i="13"/>
  <c r="A6910" i="13"/>
  <c r="B6909" i="13"/>
  <c r="A6909" i="13"/>
  <c r="B6908" i="13"/>
  <c r="A6908" i="13"/>
  <c r="B6907" i="13"/>
  <c r="A6907" i="13"/>
  <c r="B6906" i="13"/>
  <c r="A6906" i="13"/>
  <c r="B6905" i="13"/>
  <c r="A6905" i="13"/>
  <c r="B6904" i="13"/>
  <c r="A6904" i="13"/>
  <c r="B6903" i="13"/>
  <c r="A6903" i="13"/>
  <c r="B6902" i="13"/>
  <c r="A6902" i="13"/>
  <c r="B6901" i="13"/>
  <c r="A6901" i="13"/>
  <c r="B6900" i="13"/>
  <c r="A6900" i="13"/>
  <c r="B6899" i="13"/>
  <c r="A6899" i="13"/>
  <c r="B6898" i="13"/>
  <c r="A6898" i="13"/>
  <c r="B6897" i="13"/>
  <c r="A6897" i="13"/>
  <c r="B6896" i="13"/>
  <c r="A6896" i="13"/>
  <c r="B6895" i="13"/>
  <c r="A6895" i="13"/>
  <c r="B6894" i="13"/>
  <c r="A6894" i="13"/>
  <c r="B6893" i="13"/>
  <c r="A6893" i="13"/>
  <c r="B6892" i="13"/>
  <c r="A6892" i="13"/>
  <c r="B6891" i="13"/>
  <c r="A6891" i="13"/>
  <c r="B6890" i="13"/>
  <c r="A6890" i="13"/>
  <c r="B6889" i="13"/>
  <c r="A6889" i="13"/>
  <c r="B6888" i="13"/>
  <c r="A6888" i="13"/>
  <c r="B6887" i="13"/>
  <c r="A6887" i="13"/>
  <c r="B6886" i="13"/>
  <c r="A6886" i="13"/>
  <c r="B6885" i="13"/>
  <c r="A6885" i="13"/>
  <c r="B6884" i="13"/>
  <c r="A6884" i="13"/>
  <c r="B6883" i="13"/>
  <c r="A6883" i="13"/>
  <c r="B6882" i="13"/>
  <c r="A6882" i="13"/>
  <c r="B6881" i="13"/>
  <c r="A6881" i="13"/>
  <c r="B6880" i="13"/>
  <c r="A6880" i="13"/>
  <c r="B6879" i="13"/>
  <c r="A6879" i="13"/>
  <c r="B6878" i="13"/>
  <c r="A6878" i="13"/>
  <c r="B6877" i="13"/>
  <c r="A6877" i="13"/>
  <c r="B6876" i="13"/>
  <c r="A6876" i="13"/>
  <c r="B6875" i="13"/>
  <c r="A6875" i="13"/>
  <c r="B6874" i="13"/>
  <c r="A6874" i="13"/>
  <c r="B6873" i="13"/>
  <c r="A6873" i="13"/>
  <c r="B6872" i="13"/>
  <c r="A6872" i="13"/>
  <c r="B6871" i="13"/>
  <c r="A6871" i="13"/>
  <c r="B6870" i="13"/>
  <c r="A6870" i="13"/>
  <c r="B6869" i="13"/>
  <c r="A6869" i="13"/>
  <c r="B6868" i="13"/>
  <c r="A6868" i="13"/>
  <c r="B6867" i="13"/>
  <c r="A6867" i="13"/>
  <c r="B6866" i="13"/>
  <c r="A6866" i="13"/>
  <c r="B6865" i="13"/>
  <c r="A6865" i="13"/>
  <c r="B6864" i="13"/>
  <c r="A6864" i="13"/>
  <c r="B6863" i="13"/>
  <c r="A6863" i="13"/>
  <c r="B6862" i="13"/>
  <c r="A6862" i="13"/>
  <c r="B6861" i="13"/>
  <c r="A6861" i="13"/>
  <c r="B6860" i="13"/>
  <c r="A6860" i="13"/>
  <c r="B6859" i="13"/>
  <c r="A6859" i="13"/>
  <c r="B6858" i="13"/>
  <c r="A6858" i="13"/>
  <c r="B6857" i="13"/>
  <c r="A6857" i="13"/>
  <c r="B6856" i="13"/>
  <c r="A6856" i="13"/>
  <c r="B6855" i="13"/>
  <c r="A6855" i="13"/>
  <c r="B6854" i="13"/>
  <c r="A6854" i="13"/>
  <c r="B6853" i="13"/>
  <c r="A6853" i="13"/>
  <c r="B6852" i="13"/>
  <c r="A6852" i="13"/>
  <c r="B6851" i="13"/>
  <c r="A6851" i="13"/>
  <c r="B6850" i="13"/>
  <c r="A6850" i="13"/>
  <c r="B6849" i="13"/>
  <c r="A6849" i="13"/>
  <c r="B6848" i="13"/>
  <c r="A6848" i="13"/>
  <c r="B6847" i="13"/>
  <c r="A6847" i="13"/>
  <c r="B6846" i="13"/>
  <c r="A6846" i="13"/>
  <c r="B6845" i="13"/>
  <c r="A6845" i="13"/>
  <c r="B6844" i="13"/>
  <c r="A6844" i="13"/>
  <c r="B6843" i="13"/>
  <c r="A6843" i="13"/>
  <c r="B6842" i="13"/>
  <c r="A6842" i="13"/>
  <c r="B6841" i="13"/>
  <c r="A6841" i="13"/>
  <c r="B6840" i="13"/>
  <c r="A6840" i="13"/>
  <c r="B6839" i="13"/>
  <c r="A6839" i="13"/>
  <c r="B6838" i="13"/>
  <c r="A6838" i="13"/>
  <c r="B6837" i="13"/>
  <c r="A6837" i="13"/>
  <c r="B6836" i="13"/>
  <c r="A6836" i="13"/>
  <c r="B6835" i="13"/>
  <c r="A6835" i="13"/>
  <c r="B6834" i="13"/>
  <c r="A6834" i="13"/>
  <c r="B6833" i="13"/>
  <c r="A6833" i="13"/>
  <c r="B6832" i="13"/>
  <c r="A6832" i="13"/>
  <c r="B6831" i="13"/>
  <c r="A6831" i="13"/>
  <c r="B6830" i="13"/>
  <c r="A6830" i="13"/>
  <c r="B6829" i="13"/>
  <c r="A6829" i="13"/>
  <c r="B6828" i="13"/>
  <c r="A6828" i="13"/>
  <c r="B6827" i="13"/>
  <c r="A6827" i="13"/>
  <c r="B6826" i="13"/>
  <c r="A6826" i="13"/>
  <c r="B6825" i="13"/>
  <c r="A6825" i="13"/>
  <c r="B6824" i="13"/>
  <c r="A6824" i="13"/>
  <c r="B6823" i="13"/>
  <c r="A6823" i="13"/>
  <c r="B6822" i="13"/>
  <c r="A6822" i="13"/>
  <c r="B6821" i="13"/>
  <c r="A6821" i="13"/>
  <c r="B6820" i="13"/>
  <c r="A6820" i="13"/>
  <c r="B6819" i="13"/>
  <c r="A6819" i="13"/>
  <c r="B6818" i="13"/>
  <c r="A6818" i="13"/>
  <c r="B6817" i="13"/>
  <c r="A6817" i="13"/>
  <c r="B6816" i="13"/>
  <c r="A6816" i="13"/>
  <c r="B6815" i="13"/>
  <c r="A6815" i="13"/>
  <c r="B6814" i="13"/>
  <c r="A6814" i="13"/>
  <c r="B6813" i="13"/>
  <c r="A6813" i="13"/>
  <c r="B6812" i="13"/>
  <c r="A6812" i="13"/>
  <c r="B6811" i="13"/>
  <c r="A6811" i="13"/>
  <c r="B6810" i="13"/>
  <c r="A6810" i="13"/>
  <c r="B6809" i="13"/>
  <c r="A6809" i="13"/>
  <c r="B6808" i="13"/>
  <c r="A6808" i="13"/>
  <c r="B6807" i="13"/>
  <c r="A6807" i="13"/>
  <c r="B6806" i="13"/>
  <c r="A6806" i="13"/>
  <c r="B6805" i="13"/>
  <c r="A6805" i="13"/>
  <c r="B6804" i="13"/>
  <c r="A6804" i="13"/>
  <c r="B6803" i="13"/>
  <c r="A6803" i="13"/>
  <c r="B6802" i="13"/>
  <c r="A6802" i="13"/>
  <c r="B6801" i="13"/>
  <c r="A6801" i="13"/>
  <c r="B6800" i="13"/>
  <c r="A6800" i="13"/>
  <c r="B6799" i="13"/>
  <c r="A6799" i="13"/>
  <c r="B6798" i="13"/>
  <c r="A6798" i="13"/>
  <c r="B6797" i="13"/>
  <c r="A6797" i="13"/>
  <c r="B6796" i="13"/>
  <c r="A6796" i="13"/>
  <c r="B6795" i="13"/>
  <c r="A6795" i="13"/>
  <c r="B6794" i="13"/>
  <c r="A6794" i="13"/>
  <c r="B6793" i="13"/>
  <c r="A6793" i="13"/>
  <c r="B6792" i="13"/>
  <c r="A6792" i="13"/>
  <c r="B6791" i="13"/>
  <c r="A6791" i="13"/>
  <c r="B6790" i="13"/>
  <c r="A6790" i="13"/>
  <c r="B6789" i="13"/>
  <c r="A6789" i="13"/>
  <c r="B6788" i="13"/>
  <c r="A6788" i="13"/>
  <c r="B6787" i="13"/>
  <c r="A6787" i="13"/>
  <c r="B6786" i="13"/>
  <c r="A6786" i="13"/>
  <c r="B6785" i="13"/>
  <c r="A6785" i="13"/>
  <c r="B6784" i="13"/>
  <c r="A6784" i="13"/>
  <c r="B6783" i="13"/>
  <c r="A6783" i="13"/>
  <c r="B6782" i="13"/>
  <c r="A6782" i="13"/>
  <c r="B6781" i="13"/>
  <c r="A6781" i="13"/>
  <c r="B6780" i="13"/>
  <c r="A6780" i="13"/>
  <c r="B6779" i="13"/>
  <c r="A6779" i="13"/>
  <c r="B6778" i="13"/>
  <c r="A6778" i="13"/>
  <c r="B6777" i="13"/>
  <c r="A6777" i="13"/>
  <c r="B6776" i="13"/>
  <c r="A6776" i="13"/>
  <c r="B6775" i="13"/>
  <c r="A6775" i="13"/>
  <c r="B6774" i="13"/>
  <c r="A6774" i="13"/>
  <c r="B6773" i="13"/>
  <c r="A6773" i="13"/>
  <c r="B6772" i="13"/>
  <c r="A6772" i="13"/>
  <c r="B6771" i="13"/>
  <c r="A6771" i="13"/>
  <c r="B6770" i="13"/>
  <c r="A6770" i="13"/>
  <c r="B6769" i="13"/>
  <c r="A6769" i="13"/>
  <c r="B6768" i="13"/>
  <c r="A6768" i="13"/>
  <c r="B6767" i="13"/>
  <c r="A6767" i="13"/>
  <c r="B6766" i="13"/>
  <c r="A6766" i="13"/>
  <c r="B6765" i="13"/>
  <c r="A6765" i="13"/>
  <c r="B6764" i="13"/>
  <c r="A6764" i="13"/>
  <c r="B6763" i="13"/>
  <c r="A6763" i="13"/>
  <c r="B6762" i="13"/>
  <c r="A6762" i="13"/>
  <c r="B6761" i="13"/>
  <c r="A6761" i="13"/>
  <c r="B6760" i="13"/>
  <c r="A6760" i="13"/>
  <c r="B6759" i="13"/>
  <c r="A6759" i="13"/>
  <c r="B6758" i="13"/>
  <c r="A6758" i="13"/>
  <c r="B6757" i="13"/>
  <c r="A6757" i="13"/>
  <c r="B6756" i="13"/>
  <c r="A6756" i="13"/>
  <c r="B6755" i="13"/>
  <c r="A6755" i="13"/>
  <c r="B6754" i="13"/>
  <c r="A6754" i="13"/>
  <c r="B6753" i="13"/>
  <c r="A6753" i="13"/>
  <c r="B6752" i="13"/>
  <c r="A6752" i="13"/>
  <c r="B6751" i="13"/>
  <c r="A6751" i="13"/>
  <c r="B6750" i="13"/>
  <c r="A6750" i="13"/>
  <c r="B6749" i="13"/>
  <c r="A6749" i="13"/>
  <c r="B6748" i="13"/>
  <c r="A6748" i="13"/>
  <c r="B6747" i="13"/>
  <c r="A6747" i="13"/>
  <c r="B6746" i="13"/>
  <c r="A6746" i="13"/>
  <c r="B6745" i="13"/>
  <c r="A6745" i="13"/>
  <c r="B6744" i="13"/>
  <c r="A6744" i="13"/>
  <c r="B6743" i="13"/>
  <c r="A6743" i="13"/>
  <c r="B6742" i="13"/>
  <c r="A6742" i="13"/>
  <c r="B6741" i="13"/>
  <c r="A6741" i="13"/>
  <c r="B6740" i="13"/>
  <c r="A6740" i="13"/>
  <c r="B6739" i="13"/>
  <c r="A6739" i="13"/>
  <c r="B6738" i="13"/>
  <c r="A6738" i="13"/>
  <c r="B6737" i="13"/>
  <c r="A6737" i="13"/>
  <c r="B6736" i="13"/>
  <c r="A6736" i="13"/>
  <c r="B6735" i="13"/>
  <c r="A6735" i="13"/>
  <c r="B6734" i="13"/>
  <c r="A6734" i="13"/>
  <c r="B6733" i="13"/>
  <c r="A6733" i="13"/>
  <c r="B6732" i="13"/>
  <c r="A6732" i="13"/>
  <c r="B6731" i="13"/>
  <c r="A6731" i="13"/>
  <c r="B6730" i="13"/>
  <c r="A6730" i="13"/>
  <c r="B6729" i="13"/>
  <c r="A6729" i="13"/>
  <c r="B6728" i="13"/>
  <c r="A6728" i="13"/>
  <c r="B6727" i="13"/>
  <c r="A6727" i="13"/>
  <c r="B6726" i="13"/>
  <c r="A6726" i="13"/>
  <c r="B6725" i="13"/>
  <c r="A6725" i="13"/>
  <c r="B6724" i="13"/>
  <c r="A6724" i="13"/>
  <c r="B6723" i="13"/>
  <c r="A6723" i="13"/>
  <c r="B6722" i="13"/>
  <c r="A6722" i="13"/>
  <c r="B6721" i="13"/>
  <c r="A6721" i="13"/>
  <c r="B6720" i="13"/>
  <c r="A6720" i="13"/>
  <c r="B6719" i="13"/>
  <c r="A6719" i="13"/>
  <c r="B6718" i="13"/>
  <c r="A6718" i="13"/>
  <c r="B6717" i="13"/>
  <c r="A6717" i="13"/>
  <c r="B6716" i="13"/>
  <c r="A6716" i="13"/>
  <c r="B6715" i="13"/>
  <c r="A6715" i="13"/>
  <c r="B6714" i="13"/>
  <c r="A6714" i="13"/>
  <c r="B6713" i="13"/>
  <c r="A6713" i="13"/>
  <c r="B6712" i="13"/>
  <c r="A6712" i="13"/>
  <c r="B6711" i="13"/>
  <c r="A6711" i="13"/>
  <c r="B6710" i="13"/>
  <c r="A6710" i="13"/>
  <c r="B6709" i="13"/>
  <c r="A6709" i="13"/>
  <c r="B6708" i="13"/>
  <c r="A6708" i="13"/>
  <c r="B6707" i="13"/>
  <c r="A6707" i="13"/>
  <c r="B6706" i="13"/>
  <c r="A6706" i="13"/>
  <c r="B6705" i="13"/>
  <c r="A6705" i="13"/>
  <c r="B6704" i="13"/>
  <c r="A6704" i="13"/>
  <c r="B6703" i="13"/>
  <c r="A6703" i="13"/>
  <c r="B6702" i="13"/>
  <c r="A6702" i="13"/>
  <c r="B6701" i="13"/>
  <c r="A6701" i="13"/>
  <c r="B6700" i="13"/>
  <c r="A6700" i="13"/>
  <c r="B6699" i="13"/>
  <c r="A6699" i="13"/>
  <c r="B6698" i="13"/>
  <c r="A6698" i="13"/>
  <c r="B6697" i="13"/>
  <c r="A6697" i="13"/>
  <c r="B6696" i="13"/>
  <c r="A6696" i="13"/>
  <c r="B6695" i="13"/>
  <c r="A6695" i="13"/>
  <c r="B6694" i="13"/>
  <c r="A6694" i="13"/>
  <c r="B6693" i="13"/>
  <c r="A6693" i="13"/>
  <c r="B6692" i="13"/>
  <c r="A6692" i="13"/>
  <c r="B6691" i="13"/>
  <c r="A6691" i="13"/>
  <c r="B6690" i="13"/>
  <c r="A6690" i="13"/>
  <c r="B6689" i="13"/>
  <c r="A6689" i="13"/>
  <c r="B6688" i="13"/>
  <c r="A6688" i="13"/>
  <c r="B6687" i="13"/>
  <c r="A6687" i="13"/>
  <c r="B6686" i="13"/>
  <c r="A6686" i="13"/>
  <c r="B6685" i="13"/>
  <c r="A6685" i="13"/>
  <c r="B6684" i="13"/>
  <c r="A6684" i="13"/>
  <c r="B6683" i="13"/>
  <c r="A6683" i="13"/>
  <c r="B6682" i="13"/>
  <c r="A6682" i="13"/>
  <c r="B6681" i="13"/>
  <c r="A6681" i="13"/>
  <c r="B6680" i="13"/>
  <c r="A6680" i="13"/>
  <c r="B6679" i="13"/>
  <c r="A6679" i="13"/>
  <c r="B6678" i="13"/>
  <c r="A6678" i="13"/>
  <c r="B6677" i="13"/>
  <c r="A6677" i="13"/>
  <c r="B6676" i="13"/>
  <c r="A6676" i="13"/>
  <c r="B6675" i="13"/>
  <c r="A6675" i="13"/>
  <c r="B6674" i="13"/>
  <c r="A6674" i="13"/>
  <c r="B6673" i="13"/>
  <c r="A6673" i="13"/>
  <c r="B6672" i="13"/>
  <c r="A6672" i="13"/>
  <c r="B6671" i="13"/>
  <c r="A6671" i="13"/>
  <c r="B6670" i="13"/>
  <c r="A6670" i="13"/>
  <c r="B6669" i="13"/>
  <c r="A6669" i="13"/>
  <c r="B6668" i="13"/>
  <c r="A6668" i="13"/>
  <c r="B6667" i="13"/>
  <c r="A6667" i="13"/>
  <c r="B6666" i="13"/>
  <c r="A6666" i="13"/>
  <c r="B6665" i="13"/>
  <c r="A6665" i="13"/>
  <c r="B6664" i="13"/>
  <c r="A6664" i="13"/>
  <c r="B6663" i="13"/>
  <c r="A6663" i="13"/>
  <c r="B6662" i="13"/>
  <c r="A6662" i="13"/>
  <c r="B6661" i="13"/>
  <c r="A6661" i="13"/>
  <c r="B6660" i="13"/>
  <c r="A6660" i="13"/>
  <c r="B6659" i="13"/>
  <c r="A6659" i="13"/>
  <c r="B6658" i="13"/>
  <c r="A6658" i="13"/>
  <c r="B6657" i="13"/>
  <c r="A6657" i="13"/>
  <c r="B6656" i="13"/>
  <c r="A6656" i="13"/>
  <c r="B6655" i="13"/>
  <c r="A6655" i="13"/>
  <c r="B6654" i="13"/>
  <c r="A6654" i="13"/>
  <c r="B6653" i="13"/>
  <c r="A6653" i="13"/>
  <c r="B6652" i="13"/>
  <c r="A6652" i="13"/>
  <c r="B6651" i="13"/>
  <c r="A6651" i="13"/>
  <c r="B6650" i="13"/>
  <c r="A6650" i="13"/>
  <c r="B6649" i="13"/>
  <c r="A6649" i="13"/>
  <c r="B6648" i="13"/>
  <c r="A6648" i="13"/>
  <c r="B6647" i="13"/>
  <c r="A6647" i="13"/>
  <c r="B6646" i="13"/>
  <c r="A6646" i="13"/>
  <c r="B6645" i="13"/>
  <c r="A6645" i="13"/>
  <c r="B6644" i="13"/>
  <c r="A6644" i="13"/>
  <c r="B6643" i="13"/>
  <c r="A6643" i="13"/>
  <c r="B6642" i="13"/>
  <c r="A6642" i="13"/>
  <c r="B6641" i="13"/>
  <c r="A6641" i="13"/>
  <c r="B6640" i="13"/>
  <c r="A6640" i="13"/>
  <c r="B6639" i="13"/>
  <c r="A6639" i="13"/>
  <c r="B6638" i="13"/>
  <c r="A6638" i="13"/>
  <c r="B6637" i="13"/>
  <c r="A6637" i="13"/>
  <c r="B6636" i="13"/>
  <c r="A6636" i="13"/>
  <c r="B6635" i="13"/>
  <c r="A6635" i="13"/>
  <c r="B6634" i="13"/>
  <c r="A6634" i="13"/>
  <c r="B6633" i="13"/>
  <c r="A6633" i="13"/>
  <c r="B6632" i="13"/>
  <c r="A6632" i="13"/>
  <c r="B6631" i="13"/>
  <c r="A6631" i="13"/>
  <c r="B6630" i="13"/>
  <c r="A6630" i="13"/>
  <c r="B6629" i="13"/>
  <c r="A6629" i="13"/>
  <c r="B6628" i="13"/>
  <c r="A6628" i="13"/>
  <c r="B6627" i="13"/>
  <c r="A6627" i="13"/>
  <c r="B6626" i="13"/>
  <c r="A6626" i="13"/>
  <c r="B6625" i="13"/>
  <c r="A6625" i="13"/>
  <c r="B6624" i="13"/>
  <c r="A6624" i="13"/>
  <c r="B6623" i="13"/>
  <c r="A6623" i="13"/>
  <c r="B6622" i="13"/>
  <c r="A6622" i="13"/>
  <c r="B6621" i="13"/>
  <c r="A6621" i="13"/>
  <c r="B6620" i="13"/>
  <c r="A6620" i="13"/>
  <c r="B6619" i="13"/>
  <c r="A6619" i="13"/>
  <c r="B6618" i="13"/>
  <c r="A6618" i="13"/>
  <c r="B6617" i="13"/>
  <c r="A6617" i="13"/>
  <c r="B6616" i="13"/>
  <c r="A6616" i="13"/>
  <c r="B6615" i="13"/>
  <c r="A6615" i="13"/>
  <c r="B6614" i="13"/>
  <c r="A6614" i="13"/>
  <c r="B6613" i="13"/>
  <c r="A6613" i="13"/>
  <c r="B6612" i="13"/>
  <c r="A6612" i="13"/>
  <c r="B6611" i="13"/>
  <c r="A6611" i="13"/>
  <c r="B6610" i="13"/>
  <c r="A6610" i="13"/>
  <c r="B6609" i="13"/>
  <c r="A6609" i="13"/>
  <c r="B6608" i="13"/>
  <c r="A6608" i="13"/>
  <c r="B6607" i="13"/>
  <c r="A6607" i="13"/>
  <c r="B6606" i="13"/>
  <c r="A6606" i="13"/>
  <c r="B6605" i="13"/>
  <c r="A6605" i="13"/>
  <c r="B6604" i="13"/>
  <c r="A6604" i="13"/>
  <c r="B6603" i="13"/>
  <c r="A6603" i="13"/>
  <c r="B6602" i="13"/>
  <c r="A6602" i="13"/>
  <c r="B6601" i="13"/>
  <c r="A6601" i="13"/>
  <c r="B6600" i="13"/>
  <c r="A6600" i="13"/>
  <c r="B6599" i="13"/>
  <c r="A6599" i="13"/>
  <c r="B6598" i="13"/>
  <c r="A6598" i="13"/>
  <c r="B6597" i="13"/>
  <c r="A6597" i="13"/>
  <c r="B6596" i="13"/>
  <c r="A6596" i="13"/>
  <c r="B6595" i="13"/>
  <c r="A6595" i="13"/>
  <c r="B6594" i="13"/>
  <c r="A6594" i="13"/>
  <c r="B6593" i="13"/>
  <c r="A6593" i="13"/>
  <c r="B6592" i="13"/>
  <c r="A6592" i="13"/>
  <c r="B6591" i="13"/>
  <c r="A6591" i="13"/>
  <c r="B6590" i="13"/>
  <c r="A6590" i="13"/>
  <c r="B6589" i="13"/>
  <c r="A6589" i="13"/>
  <c r="B6588" i="13"/>
  <c r="A6588" i="13"/>
  <c r="B6587" i="13"/>
  <c r="A6587" i="13"/>
  <c r="B6586" i="13"/>
  <c r="A6586" i="13"/>
  <c r="B6585" i="13"/>
  <c r="A6585" i="13"/>
  <c r="B6584" i="13"/>
  <c r="A6584" i="13"/>
  <c r="B6583" i="13"/>
  <c r="A6583" i="13"/>
  <c r="B6582" i="13"/>
  <c r="A6582" i="13"/>
  <c r="B6581" i="13"/>
  <c r="A6581" i="13"/>
  <c r="B6580" i="13"/>
  <c r="A6580" i="13"/>
  <c r="B6579" i="13"/>
  <c r="A6579" i="13"/>
  <c r="B6578" i="13"/>
  <c r="A6578" i="13"/>
  <c r="B6577" i="13"/>
  <c r="A6577" i="13"/>
  <c r="B6576" i="13"/>
  <c r="A6576" i="13"/>
  <c r="B6575" i="13"/>
  <c r="A6575" i="13"/>
  <c r="B6574" i="13"/>
  <c r="A6574" i="13"/>
  <c r="B6573" i="13"/>
  <c r="A6573" i="13"/>
  <c r="B6572" i="13"/>
  <c r="A6572" i="13"/>
  <c r="B6571" i="13"/>
  <c r="A6571" i="13"/>
  <c r="B6570" i="13"/>
  <c r="A6570" i="13"/>
  <c r="B6569" i="13"/>
  <c r="A6569" i="13"/>
  <c r="B6568" i="13"/>
  <c r="A6568" i="13"/>
  <c r="B6567" i="13"/>
  <c r="A6567" i="13"/>
  <c r="B6566" i="13"/>
  <c r="A6566" i="13"/>
  <c r="B6565" i="13"/>
  <c r="A6565" i="13"/>
  <c r="B6564" i="13"/>
  <c r="A6564" i="13"/>
  <c r="B6563" i="13"/>
  <c r="A6563" i="13"/>
  <c r="B6562" i="13"/>
  <c r="A6562" i="13"/>
  <c r="B6561" i="13"/>
  <c r="A6561" i="13"/>
  <c r="B6560" i="13"/>
  <c r="A6560" i="13"/>
  <c r="B6559" i="13"/>
  <c r="A6559" i="13"/>
  <c r="B6558" i="13"/>
  <c r="A6558" i="13"/>
  <c r="B6557" i="13"/>
  <c r="A6557" i="13"/>
  <c r="B6556" i="13"/>
  <c r="A6556" i="13"/>
  <c r="B6555" i="13"/>
  <c r="A6555" i="13"/>
  <c r="B6554" i="13"/>
  <c r="A6554" i="13"/>
  <c r="B6553" i="13"/>
  <c r="A6553" i="13"/>
  <c r="B6552" i="13"/>
  <c r="A6552" i="13"/>
  <c r="B6551" i="13"/>
  <c r="A6551" i="13"/>
  <c r="B6550" i="13"/>
  <c r="A6550" i="13"/>
  <c r="B6549" i="13"/>
  <c r="A6549" i="13"/>
  <c r="B6548" i="13"/>
  <c r="A6548" i="13"/>
  <c r="B6547" i="13"/>
  <c r="A6547" i="13"/>
  <c r="B6546" i="13"/>
  <c r="A6546" i="13"/>
  <c r="B6545" i="13"/>
  <c r="A6545" i="13"/>
  <c r="B6544" i="13"/>
  <c r="A6544" i="13"/>
  <c r="B6543" i="13"/>
  <c r="A6543" i="13"/>
  <c r="B6542" i="13"/>
  <c r="A6542" i="13"/>
  <c r="B6541" i="13"/>
  <c r="A6541" i="13"/>
  <c r="B6540" i="13"/>
  <c r="A6540" i="13"/>
  <c r="B6539" i="13"/>
  <c r="A6539" i="13"/>
  <c r="B6538" i="13"/>
  <c r="A6538" i="13"/>
  <c r="B6537" i="13"/>
  <c r="A6537" i="13"/>
  <c r="B6536" i="13"/>
  <c r="A6536" i="13"/>
  <c r="B6535" i="13"/>
  <c r="A6535" i="13"/>
  <c r="B6534" i="13"/>
  <c r="A6534" i="13"/>
  <c r="B6533" i="13"/>
  <c r="A6533" i="13"/>
  <c r="B6532" i="13"/>
  <c r="A6532" i="13"/>
  <c r="B6531" i="13"/>
  <c r="A6531" i="13"/>
  <c r="B6530" i="13"/>
  <c r="A6530" i="13"/>
  <c r="B6529" i="13"/>
  <c r="A6529" i="13"/>
  <c r="B6528" i="13"/>
  <c r="A6528" i="13"/>
  <c r="B6527" i="13"/>
  <c r="A6527" i="13"/>
  <c r="B6526" i="13"/>
  <c r="A6526" i="13"/>
  <c r="B6525" i="13"/>
  <c r="A6525" i="13"/>
  <c r="B6524" i="13"/>
  <c r="A6524" i="13"/>
  <c r="B6523" i="13"/>
  <c r="A6523" i="13"/>
  <c r="B6522" i="13"/>
  <c r="A6522" i="13"/>
  <c r="B6521" i="13"/>
  <c r="A6521" i="13"/>
  <c r="B6520" i="13"/>
  <c r="A6520" i="13"/>
  <c r="B6519" i="13"/>
  <c r="A6519" i="13"/>
  <c r="B6518" i="13"/>
  <c r="A6518" i="13"/>
  <c r="B6517" i="13"/>
  <c r="A6517" i="13"/>
  <c r="B6516" i="13"/>
  <c r="A6516" i="13"/>
  <c r="B6515" i="13"/>
  <c r="A6515" i="13"/>
  <c r="B6514" i="13"/>
  <c r="A6514" i="13"/>
  <c r="B6513" i="13"/>
  <c r="A6513" i="13"/>
  <c r="B6512" i="13"/>
  <c r="A6512" i="13"/>
  <c r="B6511" i="13"/>
  <c r="A6511" i="13"/>
  <c r="B6510" i="13"/>
  <c r="A6510" i="13"/>
  <c r="B6509" i="13"/>
  <c r="A6509" i="13"/>
  <c r="B6508" i="13"/>
  <c r="A6508" i="13"/>
  <c r="B6507" i="13"/>
  <c r="A6507" i="13"/>
  <c r="B6506" i="13"/>
  <c r="A6506" i="13"/>
  <c r="B6505" i="13"/>
  <c r="A6505" i="13"/>
  <c r="B6504" i="13"/>
  <c r="A6504" i="13"/>
  <c r="B6503" i="13"/>
  <c r="A6503" i="13"/>
  <c r="B6502" i="13"/>
  <c r="A6502" i="13"/>
  <c r="B6501" i="13"/>
  <c r="A6501" i="13"/>
  <c r="B6500" i="13"/>
  <c r="A6500" i="13"/>
  <c r="B6499" i="13"/>
  <c r="A6499" i="13"/>
  <c r="B6498" i="13"/>
  <c r="A6498" i="13"/>
  <c r="B6497" i="13"/>
  <c r="A6497" i="13"/>
  <c r="B6496" i="13"/>
  <c r="A6496" i="13"/>
  <c r="B6495" i="13"/>
  <c r="A6495" i="13"/>
  <c r="B6494" i="13"/>
  <c r="A6494" i="13"/>
  <c r="B6493" i="13"/>
  <c r="A6493" i="13"/>
  <c r="B6492" i="13"/>
  <c r="A6492" i="13"/>
  <c r="B6491" i="13"/>
  <c r="A6491" i="13"/>
  <c r="B6490" i="13"/>
  <c r="A6490" i="13"/>
  <c r="B6489" i="13"/>
  <c r="A6489" i="13"/>
  <c r="B6488" i="13"/>
  <c r="A6488" i="13"/>
  <c r="B6487" i="13"/>
  <c r="A6487" i="13"/>
  <c r="B6486" i="13"/>
  <c r="A6486" i="13"/>
  <c r="B6485" i="13"/>
  <c r="A6485" i="13"/>
  <c r="B6484" i="13"/>
  <c r="A6484" i="13"/>
  <c r="B6483" i="13"/>
  <c r="A6483" i="13"/>
  <c r="B6482" i="13"/>
  <c r="A6482" i="13"/>
  <c r="B6481" i="13"/>
  <c r="A6481" i="13"/>
  <c r="B6480" i="13"/>
  <c r="A6480" i="13"/>
  <c r="B6479" i="13"/>
  <c r="A6479" i="13"/>
  <c r="B6478" i="13"/>
  <c r="A6478" i="13"/>
  <c r="B6477" i="13"/>
  <c r="A6477" i="13"/>
  <c r="B6476" i="13"/>
  <c r="A6476" i="13"/>
  <c r="B6475" i="13"/>
  <c r="A6475" i="13"/>
  <c r="B6474" i="13"/>
  <c r="A6474" i="13"/>
  <c r="B6473" i="13"/>
  <c r="A6473" i="13"/>
  <c r="B6472" i="13"/>
  <c r="A6472" i="13"/>
  <c r="B6471" i="13"/>
  <c r="A6471" i="13"/>
  <c r="B6470" i="13"/>
  <c r="A6470" i="13"/>
  <c r="B6469" i="13"/>
  <c r="A6469" i="13"/>
  <c r="B6468" i="13"/>
  <c r="A6468" i="13"/>
  <c r="B6467" i="13"/>
  <c r="A6467" i="13"/>
  <c r="B6466" i="13"/>
  <c r="A6466" i="13"/>
  <c r="B6465" i="13"/>
  <c r="A6465" i="13"/>
  <c r="B6464" i="13"/>
  <c r="A6464" i="13"/>
  <c r="B6463" i="13"/>
  <c r="A6463" i="13"/>
  <c r="B6462" i="13"/>
  <c r="A6462" i="13"/>
  <c r="B6461" i="13"/>
  <c r="A6461" i="13"/>
  <c r="B6460" i="13"/>
  <c r="A6460" i="13"/>
  <c r="B6459" i="13"/>
  <c r="A6459" i="13"/>
  <c r="B6458" i="13"/>
  <c r="A6458" i="13"/>
  <c r="B6457" i="13"/>
  <c r="A6457" i="13"/>
  <c r="B6456" i="13"/>
  <c r="A6456" i="13"/>
  <c r="B6455" i="13"/>
  <c r="A6455" i="13"/>
  <c r="B6454" i="13"/>
  <c r="A6454" i="13"/>
  <c r="B6453" i="13"/>
  <c r="A6453" i="13"/>
  <c r="B6452" i="13"/>
  <c r="A6452" i="13"/>
  <c r="B6451" i="13"/>
  <c r="A6451" i="13"/>
  <c r="B6450" i="13"/>
  <c r="A6450" i="13"/>
  <c r="B6449" i="13"/>
  <c r="A6449" i="13"/>
  <c r="B6448" i="13"/>
  <c r="A6448" i="13"/>
  <c r="B6447" i="13"/>
  <c r="A6447" i="13"/>
  <c r="B6446" i="13"/>
  <c r="A6446" i="13"/>
  <c r="B6445" i="13"/>
  <c r="A6445" i="13"/>
  <c r="B6444" i="13"/>
  <c r="A6444" i="13"/>
  <c r="B6443" i="13"/>
  <c r="A6443" i="13"/>
  <c r="B6442" i="13"/>
  <c r="A6442" i="13"/>
  <c r="B6441" i="13"/>
  <c r="A6441" i="13"/>
  <c r="B6440" i="13"/>
  <c r="A6440" i="13"/>
  <c r="B6439" i="13"/>
  <c r="A6439" i="13"/>
  <c r="B6438" i="13"/>
  <c r="A6438" i="13"/>
  <c r="B6437" i="13"/>
  <c r="A6437" i="13"/>
  <c r="B6436" i="13"/>
  <c r="A6436" i="13"/>
  <c r="B6435" i="13"/>
  <c r="A6435" i="13"/>
  <c r="B6434" i="13"/>
  <c r="A6434" i="13"/>
  <c r="B6433" i="13"/>
  <c r="A6433" i="13"/>
  <c r="B6432" i="13"/>
  <c r="A6432" i="13"/>
  <c r="B6431" i="13"/>
  <c r="A6431" i="13"/>
  <c r="B6430" i="13"/>
  <c r="A6430" i="13"/>
  <c r="B6429" i="13"/>
  <c r="A6429" i="13"/>
  <c r="B6428" i="13"/>
  <c r="A6428" i="13"/>
  <c r="B6427" i="13"/>
  <c r="A6427" i="13"/>
  <c r="B6426" i="13"/>
  <c r="A6426" i="13"/>
  <c r="B6425" i="13"/>
  <c r="A6425" i="13"/>
  <c r="B6424" i="13"/>
  <c r="A6424" i="13"/>
  <c r="B6423" i="13"/>
  <c r="A6423" i="13"/>
  <c r="B6422" i="13"/>
  <c r="A6422" i="13"/>
  <c r="B6421" i="13"/>
  <c r="A6421" i="13"/>
  <c r="B6420" i="13"/>
  <c r="A6420" i="13"/>
  <c r="B6419" i="13"/>
  <c r="A6419" i="13"/>
  <c r="B6418" i="13"/>
  <c r="A6418" i="13"/>
  <c r="B6417" i="13"/>
  <c r="A6417" i="13"/>
  <c r="B6416" i="13"/>
  <c r="A6416" i="13"/>
  <c r="B6415" i="13"/>
  <c r="A6415" i="13"/>
  <c r="B6414" i="13"/>
  <c r="A6414" i="13"/>
  <c r="B6413" i="13"/>
  <c r="A6413" i="13"/>
  <c r="B6412" i="13"/>
  <c r="A6412" i="13"/>
  <c r="B6411" i="13"/>
  <c r="A6411" i="13"/>
  <c r="B6410" i="13"/>
  <c r="A6410" i="13"/>
  <c r="B6409" i="13"/>
  <c r="A6409" i="13"/>
  <c r="B6408" i="13"/>
  <c r="A6408" i="13"/>
  <c r="B6407" i="13"/>
  <c r="A6407" i="13"/>
  <c r="B6406" i="13"/>
  <c r="A6406" i="13"/>
  <c r="B6405" i="13"/>
  <c r="A6405" i="13"/>
  <c r="B6404" i="13"/>
  <c r="A6404" i="13"/>
  <c r="B6403" i="13"/>
  <c r="A6403" i="13"/>
  <c r="B6402" i="13"/>
  <c r="A6402" i="13"/>
  <c r="B6401" i="13"/>
  <c r="A6401" i="13"/>
  <c r="B6400" i="13"/>
  <c r="A6400" i="13"/>
  <c r="B6399" i="13"/>
  <c r="A6399" i="13"/>
  <c r="B6398" i="13"/>
  <c r="A6398" i="13"/>
  <c r="B6397" i="13"/>
  <c r="A6397" i="13"/>
  <c r="B6396" i="13"/>
  <c r="A6396" i="13"/>
  <c r="B6395" i="13"/>
  <c r="A6395" i="13"/>
  <c r="B6394" i="13"/>
  <c r="A6394" i="13"/>
  <c r="B6393" i="13"/>
  <c r="A6393" i="13"/>
  <c r="B6392" i="13"/>
  <c r="A6392" i="13"/>
  <c r="B6391" i="13"/>
  <c r="A6391" i="13"/>
  <c r="B6390" i="13"/>
  <c r="A6390" i="13"/>
  <c r="B6389" i="13"/>
  <c r="A6389" i="13"/>
  <c r="B6388" i="13"/>
  <c r="A6388" i="13"/>
  <c r="B6387" i="13"/>
  <c r="A6387" i="13"/>
  <c r="B6386" i="13"/>
  <c r="A6386" i="13"/>
  <c r="B6385" i="13"/>
  <c r="A6385" i="13"/>
  <c r="B6384" i="13"/>
  <c r="A6384" i="13"/>
  <c r="B6383" i="13"/>
  <c r="A6383" i="13"/>
  <c r="B6382" i="13"/>
  <c r="A6382" i="13"/>
  <c r="B6381" i="13"/>
  <c r="A6381" i="13"/>
  <c r="B6380" i="13"/>
  <c r="A6380" i="13"/>
  <c r="B6379" i="13"/>
  <c r="A6379" i="13"/>
  <c r="B6378" i="13"/>
  <c r="A6378" i="13"/>
  <c r="B6377" i="13"/>
  <c r="A6377" i="13"/>
  <c r="B6376" i="13"/>
  <c r="A6376" i="13"/>
  <c r="B6375" i="13"/>
  <c r="A6375" i="13"/>
  <c r="B6374" i="13"/>
  <c r="A6374" i="13"/>
  <c r="B6373" i="13"/>
  <c r="A6373" i="13"/>
  <c r="B6372" i="13"/>
  <c r="A6372" i="13"/>
  <c r="B6371" i="13"/>
  <c r="A6371" i="13"/>
  <c r="B6370" i="13"/>
  <c r="A6370" i="13"/>
  <c r="B6369" i="13"/>
  <c r="A6369" i="13"/>
  <c r="B6368" i="13"/>
  <c r="A6368" i="13"/>
  <c r="B6367" i="13"/>
  <c r="A6367" i="13"/>
  <c r="B6366" i="13"/>
  <c r="A6366" i="13"/>
  <c r="B6365" i="13"/>
  <c r="A6365" i="13"/>
  <c r="B6364" i="13"/>
  <c r="A6364" i="13"/>
  <c r="B6363" i="13"/>
  <c r="A6363" i="13"/>
  <c r="B6362" i="13"/>
  <c r="A6362" i="13"/>
  <c r="B6361" i="13"/>
  <c r="A6361" i="13"/>
  <c r="B6360" i="13"/>
  <c r="A6360" i="13"/>
  <c r="B6359" i="13"/>
  <c r="A6359" i="13"/>
  <c r="B6358" i="13"/>
  <c r="A6358" i="13"/>
  <c r="B6357" i="13"/>
  <c r="A6357" i="13"/>
  <c r="B6356" i="13"/>
  <c r="A6356" i="13"/>
  <c r="B6355" i="13"/>
  <c r="A6355" i="13"/>
  <c r="B6354" i="13"/>
  <c r="A6354" i="13"/>
  <c r="B6353" i="13"/>
  <c r="A6353" i="13"/>
  <c r="B6352" i="13"/>
  <c r="A6352" i="13"/>
  <c r="B6351" i="13"/>
  <c r="A6351" i="13"/>
  <c r="B6350" i="13"/>
  <c r="A6350" i="13"/>
  <c r="B6349" i="13"/>
  <c r="A6349" i="13"/>
  <c r="B6348" i="13"/>
  <c r="A6348" i="13"/>
  <c r="B6347" i="13"/>
  <c r="A6347" i="13"/>
  <c r="B6346" i="13"/>
  <c r="A6346" i="13"/>
  <c r="B6345" i="13"/>
  <c r="A6345" i="13"/>
  <c r="B6344" i="13"/>
  <c r="A6344" i="13"/>
  <c r="B6343" i="13"/>
  <c r="A6343" i="13"/>
  <c r="B6342" i="13"/>
  <c r="A6342" i="13"/>
  <c r="B6341" i="13"/>
  <c r="A6341" i="13"/>
  <c r="B6340" i="13"/>
  <c r="A6340" i="13"/>
  <c r="B6339" i="13"/>
  <c r="A6339" i="13"/>
  <c r="B6338" i="13"/>
  <c r="A6338" i="13"/>
  <c r="B6337" i="13"/>
  <c r="A6337" i="13"/>
  <c r="B6336" i="13"/>
  <c r="A6336" i="13"/>
  <c r="B6335" i="13"/>
  <c r="A6335" i="13"/>
  <c r="B6334" i="13"/>
  <c r="A6334" i="13"/>
  <c r="B6333" i="13"/>
  <c r="A6333" i="13"/>
  <c r="B6332" i="13"/>
  <c r="A6332" i="13"/>
  <c r="B6331" i="13"/>
  <c r="A6331" i="13"/>
  <c r="B6330" i="13"/>
  <c r="A6330" i="13"/>
  <c r="B6329" i="13"/>
  <c r="A6329" i="13"/>
  <c r="B6328" i="13"/>
  <c r="A6328" i="13"/>
  <c r="B6327" i="13"/>
  <c r="A6327" i="13"/>
  <c r="B6326" i="13"/>
  <c r="A6326" i="13"/>
  <c r="B6325" i="13"/>
  <c r="A6325" i="13"/>
  <c r="B6324" i="13"/>
  <c r="A6324" i="13"/>
  <c r="B6323" i="13"/>
  <c r="A6323" i="13"/>
  <c r="B6322" i="13"/>
  <c r="A6322" i="13"/>
  <c r="B6321" i="13"/>
  <c r="A6321" i="13"/>
  <c r="B6320" i="13"/>
  <c r="A6320" i="13"/>
  <c r="B6319" i="13"/>
  <c r="A6319" i="13"/>
  <c r="B6318" i="13"/>
  <c r="A6318" i="13"/>
  <c r="B6317" i="13"/>
  <c r="A6317" i="13"/>
  <c r="B6316" i="13"/>
  <c r="A6316" i="13"/>
  <c r="B6315" i="13"/>
  <c r="A6315" i="13"/>
  <c r="B6314" i="13"/>
  <c r="A6314" i="13"/>
  <c r="B6313" i="13"/>
  <c r="A6313" i="13"/>
  <c r="B6312" i="13"/>
  <c r="A6312" i="13"/>
  <c r="B6311" i="13"/>
  <c r="A6311" i="13"/>
  <c r="B6310" i="13"/>
  <c r="A6310" i="13"/>
  <c r="B6309" i="13"/>
  <c r="A6309" i="13"/>
  <c r="B6308" i="13"/>
  <c r="A6308" i="13"/>
  <c r="B6307" i="13"/>
  <c r="A6307" i="13"/>
  <c r="B6306" i="13"/>
  <c r="A6306" i="13"/>
  <c r="B6305" i="13"/>
  <c r="A6305" i="13"/>
  <c r="B6304" i="13"/>
  <c r="A6304" i="13"/>
  <c r="B6303" i="13"/>
  <c r="A6303" i="13"/>
  <c r="B6302" i="13"/>
  <c r="A6302" i="13"/>
  <c r="B6301" i="13"/>
  <c r="A6301" i="13"/>
  <c r="B6300" i="13"/>
  <c r="A6300" i="13"/>
  <c r="B6299" i="13"/>
  <c r="A6299" i="13"/>
  <c r="B6298" i="13"/>
  <c r="A6298" i="13"/>
  <c r="B6297" i="13"/>
  <c r="A6297" i="13"/>
  <c r="B6296" i="13"/>
  <c r="A6296" i="13"/>
  <c r="B6295" i="13"/>
  <c r="A6295" i="13"/>
  <c r="B6294" i="13"/>
  <c r="A6294" i="13"/>
  <c r="B6293" i="13"/>
  <c r="A6293" i="13"/>
  <c r="B6292" i="13"/>
  <c r="A6292" i="13"/>
  <c r="B6291" i="13"/>
  <c r="A6291" i="13"/>
  <c r="B6290" i="13"/>
  <c r="A6290" i="13"/>
  <c r="B6289" i="13"/>
  <c r="A6289" i="13"/>
  <c r="B6288" i="13"/>
  <c r="A6288" i="13"/>
  <c r="B6287" i="13"/>
  <c r="A6287" i="13"/>
  <c r="B6286" i="13"/>
  <c r="A6286" i="13"/>
  <c r="B6285" i="13"/>
  <c r="A6285" i="13"/>
  <c r="B6284" i="13"/>
  <c r="A6284" i="13"/>
  <c r="B6283" i="13"/>
  <c r="A6283" i="13"/>
  <c r="B6282" i="13"/>
  <c r="A6282" i="13"/>
  <c r="B6281" i="13"/>
  <c r="A6281" i="13"/>
  <c r="B6280" i="13"/>
  <c r="A6280" i="13"/>
  <c r="B6279" i="13"/>
  <c r="A6279" i="13"/>
  <c r="B6278" i="13"/>
  <c r="A6278" i="13"/>
  <c r="B6277" i="13"/>
  <c r="A6277" i="13"/>
  <c r="B6276" i="13"/>
  <c r="A6276" i="13"/>
  <c r="B6275" i="13"/>
  <c r="A6275" i="13"/>
  <c r="B6274" i="13"/>
  <c r="A6274" i="13"/>
  <c r="B6273" i="13"/>
  <c r="A6273" i="13"/>
  <c r="B6272" i="13"/>
  <c r="A6272" i="13"/>
  <c r="B6271" i="13"/>
  <c r="A6271" i="13"/>
  <c r="B6270" i="13"/>
  <c r="A6270" i="13"/>
  <c r="B6269" i="13"/>
  <c r="A6269" i="13"/>
  <c r="B6268" i="13"/>
  <c r="A6268" i="13"/>
  <c r="B6267" i="13"/>
  <c r="A6267" i="13"/>
  <c r="B6266" i="13"/>
  <c r="A6266" i="13"/>
  <c r="B6265" i="13"/>
  <c r="A6265" i="13"/>
  <c r="B6264" i="13"/>
  <c r="A6264" i="13"/>
  <c r="B6263" i="13"/>
  <c r="A6263" i="13"/>
  <c r="B6262" i="13"/>
  <c r="A6262" i="13"/>
  <c r="B6261" i="13"/>
  <c r="A6261" i="13"/>
  <c r="B6260" i="13"/>
  <c r="A6260" i="13"/>
  <c r="B6259" i="13"/>
  <c r="A6259" i="13"/>
  <c r="B6258" i="13"/>
  <c r="A6258" i="13"/>
  <c r="B6257" i="13"/>
  <c r="A6257" i="13"/>
  <c r="B6256" i="13"/>
  <c r="A6256" i="13"/>
  <c r="B6255" i="13"/>
  <c r="A6255" i="13"/>
  <c r="B6254" i="13"/>
  <c r="A6254" i="13"/>
  <c r="B6253" i="13"/>
  <c r="A6253" i="13"/>
  <c r="B6252" i="13"/>
  <c r="A6252" i="13"/>
  <c r="B6251" i="13"/>
  <c r="A6251" i="13"/>
  <c r="B6250" i="13"/>
  <c r="A6250" i="13"/>
  <c r="B6249" i="13"/>
  <c r="A6249" i="13"/>
  <c r="B6248" i="13"/>
  <c r="A6248" i="13"/>
  <c r="B6247" i="13"/>
  <c r="A6247" i="13"/>
  <c r="B6246" i="13"/>
  <c r="A6246" i="13"/>
  <c r="B6245" i="13"/>
  <c r="A6245" i="13"/>
  <c r="B6244" i="13"/>
  <c r="A6244" i="13"/>
  <c r="B6243" i="13"/>
  <c r="A6243" i="13"/>
  <c r="B6242" i="13"/>
  <c r="A6242" i="13"/>
  <c r="B6241" i="13"/>
  <c r="A6241" i="13"/>
  <c r="B6240" i="13"/>
  <c r="A6240" i="13"/>
  <c r="B6239" i="13"/>
  <c r="A6239" i="13"/>
  <c r="B6238" i="13"/>
  <c r="A6238" i="13"/>
  <c r="B6237" i="13"/>
  <c r="A6237" i="13"/>
  <c r="B6236" i="13"/>
  <c r="A6236" i="13"/>
  <c r="B6235" i="13"/>
  <c r="A6235" i="13"/>
  <c r="B6234" i="13"/>
  <c r="A6234" i="13"/>
  <c r="B6233" i="13"/>
  <c r="A6233" i="13"/>
  <c r="B6232" i="13"/>
  <c r="A6232" i="13"/>
  <c r="B6231" i="13"/>
  <c r="A6231" i="13"/>
  <c r="B6230" i="13"/>
  <c r="A6230" i="13"/>
  <c r="B6229" i="13"/>
  <c r="A6229" i="13"/>
  <c r="B6228" i="13"/>
  <c r="A6228" i="13"/>
  <c r="B6227" i="13"/>
  <c r="A6227" i="13"/>
  <c r="B6226" i="13"/>
  <c r="A6226" i="13"/>
  <c r="B6225" i="13"/>
  <c r="A6225" i="13"/>
  <c r="B6224" i="13"/>
  <c r="A6224" i="13"/>
  <c r="B6223" i="13"/>
  <c r="A6223" i="13"/>
  <c r="B6222" i="13"/>
  <c r="A6222" i="13"/>
  <c r="B6221" i="13"/>
  <c r="A6221" i="13"/>
  <c r="B6220" i="13"/>
  <c r="A6220" i="13"/>
  <c r="B6219" i="13"/>
  <c r="A6219" i="13"/>
  <c r="B6218" i="13"/>
  <c r="A6218" i="13"/>
  <c r="B6217" i="13"/>
  <c r="A6217" i="13"/>
  <c r="B6216" i="13"/>
  <c r="A6216" i="13"/>
  <c r="B6215" i="13"/>
  <c r="A6215" i="13"/>
  <c r="B6214" i="13"/>
  <c r="A6214" i="13"/>
  <c r="B6213" i="13"/>
  <c r="A6213" i="13"/>
  <c r="B6212" i="13"/>
  <c r="A6212" i="13"/>
  <c r="B6211" i="13"/>
  <c r="A6211" i="13"/>
  <c r="B6210" i="13"/>
  <c r="A6210" i="13"/>
  <c r="B6209" i="13"/>
  <c r="A6209" i="13"/>
  <c r="B6208" i="13"/>
  <c r="A6208" i="13"/>
  <c r="B6207" i="13"/>
  <c r="A6207" i="13"/>
  <c r="B6206" i="13"/>
  <c r="A6206" i="13"/>
  <c r="B6205" i="13"/>
  <c r="A6205" i="13"/>
  <c r="B6204" i="13"/>
  <c r="A6204" i="13"/>
  <c r="B6203" i="13"/>
  <c r="A6203" i="13"/>
  <c r="B6202" i="13"/>
  <c r="A6202" i="13"/>
  <c r="B6201" i="13"/>
  <c r="A6201" i="13"/>
  <c r="B6200" i="13"/>
  <c r="A6200" i="13"/>
  <c r="B6199" i="13"/>
  <c r="A6199" i="13"/>
  <c r="B6198" i="13"/>
  <c r="A6198" i="13"/>
  <c r="B6197" i="13"/>
  <c r="A6197" i="13"/>
  <c r="B6196" i="13"/>
  <c r="A6196" i="13"/>
  <c r="B6195" i="13"/>
  <c r="A6195" i="13"/>
  <c r="B6194" i="13"/>
  <c r="A6194" i="13"/>
  <c r="B6193" i="13"/>
  <c r="A6193" i="13"/>
  <c r="B6192" i="13"/>
  <c r="A6192" i="13"/>
  <c r="B6191" i="13"/>
  <c r="A6191" i="13"/>
  <c r="B6190" i="13"/>
  <c r="A6190" i="13"/>
  <c r="B6189" i="13"/>
  <c r="A6189" i="13"/>
  <c r="B6188" i="13"/>
  <c r="A6188" i="13"/>
  <c r="B6187" i="13"/>
  <c r="A6187" i="13"/>
  <c r="B6186" i="13"/>
  <c r="A6186" i="13"/>
  <c r="B6185" i="13"/>
  <c r="A6185" i="13"/>
  <c r="B6184" i="13"/>
  <c r="A6184" i="13"/>
  <c r="B6183" i="13"/>
  <c r="A6183" i="13"/>
  <c r="B6182" i="13"/>
  <c r="A6182" i="13"/>
  <c r="B6181" i="13"/>
  <c r="A6181" i="13"/>
  <c r="B6180" i="13"/>
  <c r="A6180" i="13"/>
  <c r="B6179" i="13"/>
  <c r="A6179" i="13"/>
  <c r="B6178" i="13"/>
  <c r="A6178" i="13"/>
  <c r="B6177" i="13"/>
  <c r="A6177" i="13"/>
  <c r="B6176" i="13"/>
  <c r="A6176" i="13"/>
  <c r="B6175" i="13"/>
  <c r="A6175" i="13"/>
  <c r="B6174" i="13"/>
  <c r="A6174" i="13"/>
  <c r="B6173" i="13"/>
  <c r="A6173" i="13"/>
  <c r="B6172" i="13"/>
  <c r="A6172" i="13"/>
  <c r="B6171" i="13"/>
  <c r="A6171" i="13"/>
  <c r="B6170" i="13"/>
  <c r="A6170" i="13"/>
  <c r="B6169" i="13"/>
  <c r="A6169" i="13"/>
  <c r="B6168" i="13"/>
  <c r="A6168" i="13"/>
  <c r="B6167" i="13"/>
  <c r="A6167" i="13"/>
  <c r="B6166" i="13"/>
  <c r="A6166" i="13"/>
  <c r="B6165" i="13"/>
  <c r="A6165" i="13"/>
  <c r="B6164" i="13"/>
  <c r="A6164" i="13"/>
  <c r="B6163" i="13"/>
  <c r="A6163" i="13"/>
  <c r="B6162" i="13"/>
  <c r="A6162" i="13"/>
  <c r="B6161" i="13"/>
  <c r="A6161" i="13"/>
  <c r="B6160" i="13"/>
  <c r="A6160" i="13"/>
  <c r="B6159" i="13"/>
  <c r="A6159" i="13"/>
  <c r="B6158" i="13"/>
  <c r="A6158" i="13"/>
  <c r="B6157" i="13"/>
  <c r="A6157" i="13"/>
  <c r="B6156" i="13"/>
  <c r="A6156" i="13"/>
  <c r="B6155" i="13"/>
  <c r="A6155" i="13"/>
  <c r="B6154" i="13"/>
  <c r="A6154" i="13"/>
  <c r="B6153" i="13"/>
  <c r="A6153" i="13"/>
  <c r="B6152" i="13"/>
  <c r="A6152" i="13"/>
  <c r="B6151" i="13"/>
  <c r="A6151" i="13"/>
  <c r="B6150" i="13"/>
  <c r="A6150" i="13"/>
  <c r="B6149" i="13"/>
  <c r="A6149" i="13"/>
  <c r="B6148" i="13"/>
  <c r="A6148" i="13"/>
  <c r="B6147" i="13"/>
  <c r="A6147" i="13"/>
  <c r="B6146" i="13"/>
  <c r="A6146" i="13"/>
  <c r="B6145" i="13"/>
  <c r="A6145" i="13"/>
  <c r="B6144" i="13"/>
  <c r="A6144" i="13"/>
  <c r="B6143" i="13"/>
  <c r="A6143" i="13"/>
  <c r="B6142" i="13"/>
  <c r="A6142" i="13"/>
  <c r="B6141" i="13"/>
  <c r="A6141" i="13"/>
  <c r="B6140" i="13"/>
  <c r="A6140" i="13"/>
  <c r="B6139" i="13"/>
  <c r="A6139" i="13"/>
  <c r="B6138" i="13"/>
  <c r="A6138" i="13"/>
  <c r="B6137" i="13"/>
  <c r="A6137" i="13"/>
  <c r="B6136" i="13"/>
  <c r="A6136" i="13"/>
  <c r="B6135" i="13"/>
  <c r="A6135" i="13"/>
  <c r="B6134" i="13"/>
  <c r="A6134" i="13"/>
  <c r="B6133" i="13"/>
  <c r="A6133" i="13"/>
  <c r="B6132" i="13"/>
  <c r="A6132" i="13"/>
  <c r="B6131" i="13"/>
  <c r="A6131" i="13"/>
  <c r="B6130" i="13"/>
  <c r="A6130" i="13"/>
  <c r="B6129" i="13"/>
  <c r="A6129" i="13"/>
  <c r="B6128" i="13"/>
  <c r="A6128" i="13"/>
  <c r="B6127" i="13"/>
  <c r="A6127" i="13"/>
  <c r="B6126" i="13"/>
  <c r="A6126" i="13"/>
  <c r="B6125" i="13"/>
  <c r="A6125" i="13"/>
  <c r="B6124" i="13"/>
  <c r="A6124" i="13"/>
  <c r="B6123" i="13"/>
  <c r="A6123" i="13"/>
  <c r="B6122" i="13"/>
  <c r="A6122" i="13"/>
  <c r="B6121" i="13"/>
  <c r="A6121" i="13"/>
  <c r="B6120" i="13"/>
  <c r="A6120" i="13"/>
  <c r="B6119" i="13"/>
  <c r="A6119" i="13"/>
  <c r="B6118" i="13"/>
  <c r="A6118" i="13"/>
  <c r="B6117" i="13"/>
  <c r="A6117" i="13"/>
  <c r="B6116" i="13"/>
  <c r="A6116" i="13"/>
  <c r="B6115" i="13"/>
  <c r="A6115" i="13"/>
  <c r="B6114" i="13"/>
  <c r="A6114" i="13"/>
  <c r="B6113" i="13"/>
  <c r="A6113" i="13"/>
  <c r="B6112" i="13"/>
  <c r="A6112" i="13"/>
  <c r="B6111" i="13"/>
  <c r="A6111" i="13"/>
  <c r="B6110" i="13"/>
  <c r="A6110" i="13"/>
  <c r="B6109" i="13"/>
  <c r="A6109" i="13"/>
  <c r="B6108" i="13"/>
  <c r="A6108" i="13"/>
  <c r="B6107" i="13"/>
  <c r="A6107" i="13"/>
  <c r="B6106" i="13"/>
  <c r="A6106" i="13"/>
  <c r="B6105" i="13"/>
  <c r="A6105" i="13"/>
  <c r="B6104" i="13"/>
  <c r="A6104" i="13"/>
  <c r="B6103" i="13"/>
  <c r="A6103" i="13"/>
  <c r="B6102" i="13"/>
  <c r="A6102" i="13"/>
  <c r="B6101" i="13"/>
  <c r="A6101" i="13"/>
  <c r="B6100" i="13"/>
  <c r="A6100" i="13"/>
  <c r="B6099" i="13"/>
  <c r="A6099" i="13"/>
  <c r="B6098" i="13"/>
  <c r="A6098" i="13"/>
  <c r="B6097" i="13"/>
  <c r="A6097" i="13"/>
  <c r="B6096" i="13"/>
  <c r="A6096" i="13"/>
  <c r="B6095" i="13"/>
  <c r="A6095" i="13"/>
  <c r="B6094" i="13"/>
  <c r="A6094" i="13"/>
  <c r="B6093" i="13"/>
  <c r="A6093" i="13"/>
  <c r="B6092" i="13"/>
  <c r="A6092" i="13"/>
  <c r="B6091" i="13"/>
  <c r="A6091" i="13"/>
  <c r="B6090" i="13"/>
  <c r="A6090" i="13"/>
  <c r="B6089" i="13"/>
  <c r="A6089" i="13"/>
  <c r="B6088" i="13"/>
  <c r="A6088" i="13"/>
  <c r="B6087" i="13"/>
  <c r="A6087" i="13"/>
  <c r="B6086" i="13"/>
  <c r="A6086" i="13"/>
  <c r="B6085" i="13"/>
  <c r="A6085" i="13"/>
  <c r="B6084" i="13"/>
  <c r="A6084" i="13"/>
  <c r="B6083" i="13"/>
  <c r="A6083" i="13"/>
  <c r="B6082" i="13"/>
  <c r="A6082" i="13"/>
  <c r="B6081" i="13"/>
  <c r="A6081" i="13"/>
  <c r="B6080" i="13"/>
  <c r="A6080" i="13"/>
  <c r="B6079" i="13"/>
  <c r="A6079" i="13"/>
  <c r="B6078" i="13"/>
  <c r="A6078" i="13"/>
  <c r="B6077" i="13"/>
  <c r="A6077" i="13"/>
  <c r="B6076" i="13"/>
  <c r="A6076" i="13"/>
  <c r="B6075" i="13"/>
  <c r="A6075" i="13"/>
  <c r="B6074" i="13"/>
  <c r="A6074" i="13"/>
  <c r="B6073" i="13"/>
  <c r="A6073" i="13"/>
  <c r="B6072" i="13"/>
  <c r="A6072" i="13"/>
  <c r="B6071" i="13"/>
  <c r="A6071" i="13"/>
  <c r="B6070" i="13"/>
  <c r="A6070" i="13"/>
  <c r="B6069" i="13"/>
  <c r="A6069" i="13"/>
  <c r="B6068" i="13"/>
  <c r="A6068" i="13"/>
  <c r="B6067" i="13"/>
  <c r="A6067" i="13"/>
  <c r="B6066" i="13"/>
  <c r="A6066" i="13"/>
  <c r="B6065" i="13"/>
  <c r="A6065" i="13"/>
  <c r="B6064" i="13"/>
  <c r="A6064" i="13"/>
  <c r="B6063" i="13"/>
  <c r="A6063" i="13"/>
  <c r="B6062" i="13"/>
  <c r="A6062" i="13"/>
  <c r="B6061" i="13"/>
  <c r="A6061" i="13"/>
  <c r="B6060" i="13"/>
  <c r="A6060" i="13"/>
  <c r="B6059" i="13"/>
  <c r="A6059" i="13"/>
  <c r="B6058" i="13"/>
  <c r="A6058" i="13"/>
  <c r="B6057" i="13"/>
  <c r="A6057" i="13"/>
  <c r="B6056" i="13"/>
  <c r="A6056" i="13"/>
  <c r="B6055" i="13"/>
  <c r="A6055" i="13"/>
  <c r="B6054" i="13"/>
  <c r="A6054" i="13"/>
  <c r="B6053" i="13"/>
  <c r="A6053" i="13"/>
  <c r="B6052" i="13"/>
  <c r="A6052" i="13"/>
  <c r="B6051" i="13"/>
  <c r="A6051" i="13"/>
  <c r="B6050" i="13"/>
  <c r="A6050" i="13"/>
  <c r="B6049" i="13"/>
  <c r="A6049" i="13"/>
  <c r="B6048" i="13"/>
  <c r="A6048" i="13"/>
  <c r="B6047" i="13"/>
  <c r="A6047" i="13"/>
  <c r="B6046" i="13"/>
  <c r="A6046" i="13"/>
  <c r="B6045" i="13"/>
  <c r="A6045" i="13"/>
  <c r="B6044" i="13"/>
  <c r="A6044" i="13"/>
  <c r="B6043" i="13"/>
  <c r="A6043" i="13"/>
  <c r="B6042" i="13"/>
  <c r="A6042" i="13"/>
  <c r="B6041" i="13"/>
  <c r="A6041" i="13"/>
  <c r="B6040" i="13"/>
  <c r="A6040" i="13"/>
  <c r="B6039" i="13"/>
  <c r="A6039" i="13"/>
  <c r="B6038" i="13"/>
  <c r="A6038" i="13"/>
  <c r="B6037" i="13"/>
  <c r="A6037" i="13"/>
  <c r="B6036" i="13"/>
  <c r="A6036" i="13"/>
  <c r="B6035" i="13"/>
  <c r="A6035" i="13"/>
  <c r="B6034" i="13"/>
  <c r="A6034" i="13"/>
  <c r="B6033" i="13"/>
  <c r="A6033" i="13"/>
  <c r="B6032" i="13"/>
  <c r="A6032" i="13"/>
  <c r="B6031" i="13"/>
  <c r="A6031" i="13"/>
  <c r="B6030" i="13"/>
  <c r="A6030" i="13"/>
  <c r="B6029" i="13"/>
  <c r="A6029" i="13"/>
  <c r="B6028" i="13"/>
  <c r="A6028" i="13"/>
  <c r="B6027" i="13"/>
  <c r="A6027" i="13"/>
  <c r="B6026" i="13"/>
  <c r="A6026" i="13"/>
  <c r="B6025" i="13"/>
  <c r="A6025" i="13"/>
  <c r="B6024" i="13"/>
  <c r="A6024" i="13"/>
  <c r="B6023" i="13"/>
  <c r="A6023" i="13"/>
  <c r="B6022" i="13"/>
  <c r="A6022" i="13"/>
  <c r="B6021" i="13"/>
  <c r="A6021" i="13"/>
  <c r="B6020" i="13"/>
  <c r="A6020" i="13"/>
  <c r="B6019" i="13"/>
  <c r="A6019" i="13"/>
  <c r="B6018" i="13"/>
  <c r="A6018" i="13"/>
  <c r="B6017" i="13"/>
  <c r="A6017" i="13"/>
  <c r="B6016" i="13"/>
  <c r="A6016" i="13"/>
  <c r="B6015" i="13"/>
  <c r="A6015" i="13"/>
  <c r="B6014" i="13"/>
  <c r="A6014" i="13"/>
  <c r="B6013" i="13"/>
  <c r="A6013" i="13"/>
  <c r="B6012" i="13"/>
  <c r="A6012" i="13"/>
  <c r="B6011" i="13"/>
  <c r="A6011" i="13"/>
  <c r="B6010" i="13"/>
  <c r="A6010" i="13"/>
  <c r="B6009" i="13"/>
  <c r="A6009" i="13"/>
  <c r="B6008" i="13"/>
  <c r="A6008" i="13"/>
  <c r="B6007" i="13"/>
  <c r="A6007" i="13"/>
  <c r="B6006" i="13"/>
  <c r="A6006" i="13"/>
  <c r="B6005" i="13"/>
  <c r="A6005" i="13"/>
  <c r="B6004" i="13"/>
  <c r="A6004" i="13"/>
  <c r="B6003" i="13"/>
  <c r="A6003" i="13"/>
  <c r="B6002" i="13"/>
  <c r="A6002" i="13"/>
  <c r="B6001" i="13"/>
  <c r="A6001" i="13"/>
  <c r="B6000" i="13"/>
  <c r="A6000" i="13"/>
  <c r="B5999" i="13"/>
  <c r="A5999" i="13"/>
  <c r="B5998" i="13"/>
  <c r="A5998" i="13"/>
  <c r="B5997" i="13"/>
  <c r="A5997" i="13"/>
  <c r="B5996" i="13"/>
  <c r="A5996" i="13"/>
  <c r="B5995" i="13"/>
  <c r="A5995" i="13"/>
  <c r="B5994" i="13"/>
  <c r="A5994" i="13"/>
  <c r="B5993" i="13"/>
  <c r="A5993" i="13"/>
  <c r="B5992" i="13"/>
  <c r="A5992" i="13"/>
  <c r="B5991" i="13"/>
  <c r="A5991" i="13"/>
  <c r="B5990" i="13"/>
  <c r="A5990" i="13"/>
  <c r="B5989" i="13"/>
  <c r="A5989" i="13"/>
  <c r="B5988" i="13"/>
  <c r="A5988" i="13"/>
  <c r="B5987" i="13"/>
  <c r="A5987" i="13"/>
  <c r="B5986" i="13"/>
  <c r="A5986" i="13"/>
  <c r="B5985" i="13"/>
  <c r="A5985" i="13"/>
  <c r="B5984" i="13"/>
  <c r="A5984" i="13"/>
  <c r="B5983" i="13"/>
  <c r="A5983" i="13"/>
  <c r="B5982" i="13"/>
  <c r="A5982" i="13"/>
  <c r="B5981" i="13"/>
  <c r="A5981" i="13"/>
  <c r="B5980" i="13"/>
  <c r="A5980" i="13"/>
  <c r="B5979" i="13"/>
  <c r="A5979" i="13"/>
  <c r="B5978" i="13"/>
  <c r="A5978" i="13"/>
  <c r="B5977" i="13"/>
  <c r="A5977" i="13"/>
  <c r="B5976" i="13"/>
  <c r="A5976" i="13"/>
  <c r="B5975" i="13"/>
  <c r="A5975" i="13"/>
  <c r="B5974" i="13"/>
  <c r="A5974" i="13"/>
  <c r="B5973" i="13"/>
  <c r="A5973" i="13"/>
  <c r="B5972" i="13"/>
  <c r="A5972" i="13"/>
  <c r="B5971" i="13"/>
  <c r="A5971" i="13"/>
  <c r="B5970" i="13"/>
  <c r="A5970" i="13"/>
  <c r="B5969" i="13"/>
  <c r="A5969" i="13"/>
  <c r="B5968" i="13"/>
  <c r="A5968" i="13"/>
  <c r="B5967" i="13"/>
  <c r="A5967" i="13"/>
  <c r="B5966" i="13"/>
  <c r="A5966" i="13"/>
  <c r="B5965" i="13"/>
  <c r="A5965" i="13"/>
  <c r="B5964" i="13"/>
  <c r="A5964" i="13"/>
  <c r="B5963" i="13"/>
  <c r="A5963" i="13"/>
  <c r="B5962" i="13"/>
  <c r="A5962" i="13"/>
  <c r="B5961" i="13"/>
  <c r="A5961" i="13"/>
  <c r="B5960" i="13"/>
  <c r="A5960" i="13"/>
  <c r="B5959" i="13"/>
  <c r="A5959" i="13"/>
  <c r="B5958" i="13"/>
  <c r="A5958" i="13"/>
  <c r="B5957" i="13"/>
  <c r="A5957" i="13"/>
  <c r="B5956" i="13"/>
  <c r="A5956" i="13"/>
  <c r="B5955" i="13"/>
  <c r="A5955" i="13"/>
  <c r="B5954" i="13"/>
  <c r="A5954" i="13"/>
  <c r="B5953" i="13"/>
  <c r="A5953" i="13"/>
  <c r="B5952" i="13"/>
  <c r="A5952" i="13"/>
  <c r="B5951" i="13"/>
  <c r="A5951" i="13"/>
  <c r="B5950" i="13"/>
  <c r="A5950" i="13"/>
  <c r="B5949" i="13"/>
  <c r="A5949" i="13"/>
  <c r="B5948" i="13"/>
  <c r="A5948" i="13"/>
  <c r="B5947" i="13"/>
  <c r="A5947" i="13"/>
  <c r="B5946" i="13"/>
  <c r="A5946" i="13"/>
  <c r="B5945" i="13"/>
  <c r="A5945" i="13"/>
  <c r="B5944" i="13"/>
  <c r="A5944" i="13"/>
  <c r="B5943" i="13"/>
  <c r="A5943" i="13"/>
  <c r="B5942" i="13"/>
  <c r="A5942" i="13"/>
  <c r="B5941" i="13"/>
  <c r="A5941" i="13"/>
  <c r="B5940" i="13"/>
  <c r="A5940" i="13"/>
  <c r="B5939" i="13"/>
  <c r="A5939" i="13"/>
  <c r="B5938" i="13"/>
  <c r="A5938" i="13"/>
  <c r="B5937" i="13"/>
  <c r="A5937" i="13"/>
  <c r="B5936" i="13"/>
  <c r="A5936" i="13"/>
  <c r="B5935" i="13"/>
  <c r="A5935" i="13"/>
  <c r="B5934" i="13"/>
  <c r="A5934" i="13"/>
  <c r="B5933" i="13"/>
  <c r="A5933" i="13"/>
  <c r="B5932" i="13"/>
  <c r="A5932" i="13"/>
  <c r="B5931" i="13"/>
  <c r="A5931" i="13"/>
  <c r="B5930" i="13"/>
  <c r="A5930" i="13"/>
  <c r="B5929" i="13"/>
  <c r="A5929" i="13"/>
  <c r="B5928" i="13"/>
  <c r="A5928" i="13"/>
  <c r="B5927" i="13"/>
  <c r="A5927" i="13"/>
  <c r="B5926" i="13"/>
  <c r="A5926" i="13"/>
  <c r="B5925" i="13"/>
  <c r="A5925" i="13"/>
  <c r="B5924" i="13"/>
  <c r="A5924" i="13"/>
  <c r="B5923" i="13"/>
  <c r="A5923" i="13"/>
  <c r="B5922" i="13"/>
  <c r="A5922" i="13"/>
  <c r="B5921" i="13"/>
  <c r="A5921" i="13"/>
  <c r="B5920" i="13"/>
  <c r="A5920" i="13"/>
  <c r="B5919" i="13"/>
  <c r="A5919" i="13"/>
  <c r="B5918" i="13"/>
  <c r="A5918" i="13"/>
  <c r="B5917" i="13"/>
  <c r="A5917" i="13"/>
  <c r="B5916" i="13"/>
  <c r="A5916" i="13"/>
  <c r="B5915" i="13"/>
  <c r="A5915" i="13"/>
  <c r="B5914" i="13"/>
  <c r="A5914" i="13"/>
  <c r="B5913" i="13"/>
  <c r="A5913" i="13"/>
  <c r="B5912" i="13"/>
  <c r="A5912" i="13"/>
  <c r="B5911" i="13"/>
  <c r="A5911" i="13"/>
  <c r="B5910" i="13"/>
  <c r="A5910" i="13"/>
  <c r="B5909" i="13"/>
  <c r="A5909" i="13"/>
  <c r="B5908" i="13"/>
  <c r="A5908" i="13"/>
  <c r="B5907" i="13"/>
  <c r="A5907" i="13"/>
  <c r="B5906" i="13"/>
  <c r="A5906" i="13"/>
  <c r="B5905" i="13"/>
  <c r="A5905" i="13"/>
  <c r="B5904" i="13"/>
  <c r="A5904" i="13"/>
  <c r="B5903" i="13"/>
  <c r="A5903" i="13"/>
  <c r="B5902" i="13"/>
  <c r="A5902" i="13"/>
  <c r="B5901" i="13"/>
  <c r="A5901" i="13"/>
  <c r="B5900" i="13"/>
  <c r="A5900" i="13"/>
  <c r="B5899" i="13"/>
  <c r="A5899" i="13"/>
  <c r="B5898" i="13"/>
  <c r="A5898" i="13"/>
  <c r="B5897" i="13"/>
  <c r="A5897" i="13"/>
  <c r="B5896" i="13"/>
  <c r="A5896" i="13"/>
  <c r="B5895" i="13"/>
  <c r="A5895" i="13"/>
  <c r="B5894" i="13"/>
  <c r="A5894" i="13"/>
  <c r="B5893" i="13"/>
  <c r="A5893" i="13"/>
  <c r="B5892" i="13"/>
  <c r="A5892" i="13"/>
  <c r="B5891" i="13"/>
  <c r="A5891" i="13"/>
  <c r="B5890" i="13"/>
  <c r="A5890" i="13"/>
  <c r="B5889" i="13"/>
  <c r="A5889" i="13"/>
  <c r="B5888" i="13"/>
  <c r="A5888" i="13"/>
  <c r="B5887" i="13"/>
  <c r="A5887" i="13"/>
  <c r="B5886" i="13"/>
  <c r="A5886" i="13"/>
  <c r="B5885" i="13"/>
  <c r="A5885" i="13"/>
  <c r="B5884" i="13"/>
  <c r="A5884" i="13"/>
  <c r="B5883" i="13"/>
  <c r="A5883" i="13"/>
  <c r="B5882" i="13"/>
  <c r="A5882" i="13"/>
  <c r="B5881" i="13"/>
  <c r="A5881" i="13"/>
  <c r="B5880" i="13"/>
  <c r="A5880" i="13"/>
  <c r="B5879" i="13"/>
  <c r="A5879" i="13"/>
  <c r="B5878" i="13"/>
  <c r="A5878" i="13"/>
  <c r="B5877" i="13"/>
  <c r="A5877" i="13"/>
  <c r="B5876" i="13"/>
  <c r="A5876" i="13"/>
  <c r="B5875" i="13"/>
  <c r="A5875" i="13"/>
  <c r="B5874" i="13"/>
  <c r="A5874" i="13"/>
  <c r="B5873" i="13"/>
  <c r="A5873" i="13"/>
  <c r="B5872" i="13"/>
  <c r="A5872" i="13"/>
  <c r="B5871" i="13"/>
  <c r="A5871" i="13"/>
  <c r="B5870" i="13"/>
  <c r="A5870" i="13"/>
  <c r="B5869" i="13"/>
  <c r="A5869" i="13"/>
  <c r="B5868" i="13"/>
  <c r="A5868" i="13"/>
  <c r="B5867" i="13"/>
  <c r="A5867" i="13"/>
  <c r="B5866" i="13"/>
  <c r="A5866" i="13"/>
  <c r="B5865" i="13"/>
  <c r="A5865" i="13"/>
  <c r="B5864" i="13"/>
  <c r="A5864" i="13"/>
  <c r="B5863" i="13"/>
  <c r="A5863" i="13"/>
  <c r="B5862" i="13"/>
  <c r="A5862" i="13"/>
  <c r="B5861" i="13"/>
  <c r="A5861" i="13"/>
  <c r="B5860" i="13"/>
  <c r="A5860" i="13"/>
  <c r="B5859" i="13"/>
  <c r="A5859" i="13"/>
  <c r="B5858" i="13"/>
  <c r="A5858" i="13"/>
  <c r="B5857" i="13"/>
  <c r="A5857" i="13"/>
  <c r="B5856" i="13"/>
  <c r="A5856" i="13"/>
  <c r="B5855" i="13"/>
  <c r="A5855" i="13"/>
  <c r="B5854" i="13"/>
  <c r="A5854" i="13"/>
  <c r="B5853" i="13"/>
  <c r="A5853" i="13"/>
  <c r="B5852" i="13"/>
  <c r="A5852" i="13"/>
  <c r="B5851" i="13"/>
  <c r="A5851" i="13"/>
  <c r="B5850" i="13"/>
  <c r="A5850" i="13"/>
  <c r="B5849" i="13"/>
  <c r="A5849" i="13"/>
  <c r="B5848" i="13"/>
  <c r="A5848" i="13"/>
  <c r="B5847" i="13"/>
  <c r="A5847" i="13"/>
  <c r="B5846" i="13"/>
  <c r="A5846" i="13"/>
  <c r="B5845" i="13"/>
  <c r="A5845" i="13"/>
  <c r="B5844" i="13"/>
  <c r="A5844" i="13"/>
  <c r="B5843" i="13"/>
  <c r="A5843" i="13"/>
  <c r="B5842" i="13"/>
  <c r="A5842" i="13"/>
  <c r="B5841" i="13"/>
  <c r="A5841" i="13"/>
  <c r="B5840" i="13"/>
  <c r="A5840" i="13"/>
  <c r="B5839" i="13"/>
  <c r="A5839" i="13"/>
  <c r="B5838" i="13"/>
  <c r="A5838" i="13"/>
  <c r="B5837" i="13"/>
  <c r="A5837" i="13"/>
  <c r="B5836" i="13"/>
  <c r="A5836" i="13"/>
  <c r="B5835" i="13"/>
  <c r="A5835" i="13"/>
  <c r="B5834" i="13"/>
  <c r="A5834" i="13"/>
  <c r="B5833" i="13"/>
  <c r="A5833" i="13"/>
  <c r="B5832" i="13"/>
  <c r="A5832" i="13"/>
  <c r="B5831" i="13"/>
  <c r="A5831" i="13"/>
  <c r="B5830" i="13"/>
  <c r="A5830" i="13"/>
  <c r="B5829" i="13"/>
  <c r="A5829" i="13"/>
  <c r="B5828" i="13"/>
  <c r="A5828" i="13"/>
  <c r="B5827" i="13"/>
  <c r="A5827" i="13"/>
  <c r="B5826" i="13"/>
  <c r="A5826" i="13"/>
  <c r="B5825" i="13"/>
  <c r="A5825" i="13"/>
  <c r="B5824" i="13"/>
  <c r="A5824" i="13"/>
  <c r="B5823" i="13"/>
  <c r="A5823" i="13"/>
  <c r="B5822" i="13"/>
  <c r="A5822" i="13"/>
  <c r="B5821" i="13"/>
  <c r="A5821" i="13"/>
  <c r="B5820" i="13"/>
  <c r="A5820" i="13"/>
  <c r="B5819" i="13"/>
  <c r="A5819" i="13"/>
  <c r="B5818" i="13"/>
  <c r="A5818" i="13"/>
  <c r="B5817" i="13"/>
  <c r="A5817" i="13"/>
  <c r="B5816" i="13"/>
  <c r="A5816" i="13"/>
  <c r="B5815" i="13"/>
  <c r="A5815" i="13"/>
  <c r="B5814" i="13"/>
  <c r="A5814" i="13"/>
  <c r="B5813" i="13"/>
  <c r="A5813" i="13"/>
  <c r="B5812" i="13"/>
  <c r="A5812" i="13"/>
  <c r="B5811" i="13"/>
  <c r="A5811" i="13"/>
  <c r="B5810" i="13"/>
  <c r="A5810" i="13"/>
  <c r="B5809" i="13"/>
  <c r="A5809" i="13"/>
  <c r="B5808" i="13"/>
  <c r="A5808" i="13"/>
  <c r="B5807" i="13"/>
  <c r="A5807" i="13"/>
  <c r="B5806" i="13"/>
  <c r="A5806" i="13"/>
  <c r="B5805" i="13"/>
  <c r="A5805" i="13"/>
  <c r="B5804" i="13"/>
  <c r="A5804" i="13"/>
  <c r="B5803" i="13"/>
  <c r="A5803" i="13"/>
  <c r="B5802" i="13"/>
  <c r="A5802" i="13"/>
  <c r="B5801" i="13"/>
  <c r="A5801" i="13"/>
  <c r="B5800" i="13"/>
  <c r="A5800" i="13"/>
  <c r="B5799" i="13"/>
  <c r="A5799" i="13"/>
  <c r="B5798" i="13"/>
  <c r="A5798" i="13"/>
  <c r="B5797" i="13"/>
  <c r="A5797" i="13"/>
  <c r="B5796" i="13"/>
  <c r="A5796" i="13"/>
  <c r="B5795" i="13"/>
  <c r="A5795" i="13"/>
  <c r="B5794" i="13"/>
  <c r="A5794" i="13"/>
  <c r="B5793" i="13"/>
  <c r="A5793" i="13"/>
  <c r="B5792" i="13"/>
  <c r="A5792" i="13"/>
  <c r="B5791" i="13"/>
  <c r="A5791" i="13"/>
  <c r="B5790" i="13"/>
  <c r="A5790" i="13"/>
  <c r="B5789" i="13"/>
  <c r="A5789" i="13"/>
  <c r="B5788" i="13"/>
  <c r="A5788" i="13"/>
  <c r="B5787" i="13"/>
  <c r="A5787" i="13"/>
  <c r="B5786" i="13"/>
  <c r="A5786" i="13"/>
  <c r="B5785" i="13"/>
  <c r="A5785" i="13"/>
  <c r="B5784" i="13"/>
  <c r="A5784" i="13"/>
  <c r="B5783" i="13"/>
  <c r="A5783" i="13"/>
  <c r="B5782" i="13"/>
  <c r="A5782" i="13"/>
  <c r="B5781" i="13"/>
  <c r="A5781" i="13"/>
  <c r="B5780" i="13"/>
  <c r="A5780" i="13"/>
  <c r="B5779" i="13"/>
  <c r="A5779" i="13"/>
  <c r="B5778" i="13"/>
  <c r="A5778" i="13"/>
  <c r="B5777" i="13"/>
  <c r="A5777" i="13"/>
  <c r="B5776" i="13"/>
  <c r="A5776" i="13"/>
  <c r="B5775" i="13"/>
  <c r="A5775" i="13"/>
  <c r="B5774" i="13"/>
  <c r="A5774" i="13"/>
  <c r="B5773" i="13"/>
  <c r="A5773" i="13"/>
  <c r="B5772" i="13"/>
  <c r="A5772" i="13"/>
  <c r="B5771" i="13"/>
  <c r="A5771" i="13"/>
  <c r="B5770" i="13"/>
  <c r="A5770" i="13"/>
  <c r="B5769" i="13"/>
  <c r="A5769" i="13"/>
  <c r="B5768" i="13"/>
  <c r="A5768" i="13"/>
  <c r="B5767" i="13"/>
  <c r="A5767" i="13"/>
  <c r="B5766" i="13"/>
  <c r="A5766" i="13"/>
  <c r="B5765" i="13"/>
  <c r="A5765" i="13"/>
  <c r="B5764" i="13"/>
  <c r="A5764" i="13"/>
  <c r="B5763" i="13"/>
  <c r="A5763" i="13"/>
  <c r="B5762" i="13"/>
  <c r="A5762" i="13"/>
  <c r="B5761" i="13"/>
  <c r="A5761" i="13"/>
  <c r="B5760" i="13"/>
  <c r="A5760" i="13"/>
  <c r="B5759" i="13"/>
  <c r="A5759" i="13"/>
  <c r="B5758" i="13"/>
  <c r="A5758" i="13"/>
  <c r="B5757" i="13"/>
  <c r="A5757" i="13"/>
  <c r="B5756" i="13"/>
  <c r="A5756" i="13"/>
  <c r="B5755" i="13"/>
  <c r="A5755" i="13"/>
  <c r="B5754" i="13"/>
  <c r="A5754" i="13"/>
  <c r="B5753" i="13"/>
  <c r="A5753" i="13"/>
  <c r="B5752" i="13"/>
  <c r="A5752" i="13"/>
  <c r="B5751" i="13"/>
  <c r="A5751" i="13"/>
  <c r="B5750" i="13"/>
  <c r="A5750" i="13"/>
  <c r="B5749" i="13"/>
  <c r="A5749" i="13"/>
  <c r="B5748" i="13"/>
  <c r="A5748" i="13"/>
  <c r="B5747" i="13"/>
  <c r="A5747" i="13"/>
  <c r="B5746" i="13"/>
  <c r="A5746" i="13"/>
  <c r="B5745" i="13"/>
  <c r="A5745" i="13"/>
  <c r="B5744" i="13"/>
  <c r="A5744" i="13"/>
  <c r="B5743" i="13"/>
  <c r="A5743" i="13"/>
  <c r="B5742" i="13"/>
  <c r="A5742" i="13"/>
  <c r="B5741" i="13"/>
  <c r="A5741" i="13"/>
  <c r="B5740" i="13"/>
  <c r="A5740" i="13"/>
  <c r="B5739" i="13"/>
  <c r="A5739" i="13"/>
  <c r="B5738" i="13"/>
  <c r="A5738" i="13"/>
  <c r="B5737" i="13"/>
  <c r="A5737" i="13"/>
  <c r="B5736" i="13"/>
  <c r="A5736" i="13"/>
  <c r="B5735" i="13"/>
  <c r="A5735" i="13"/>
  <c r="B5734" i="13"/>
  <c r="A5734" i="13"/>
  <c r="B5733" i="13"/>
  <c r="A5733" i="13"/>
  <c r="B5732" i="13"/>
  <c r="A5732" i="13"/>
  <c r="B5731" i="13"/>
  <c r="A5731" i="13"/>
  <c r="B5730" i="13"/>
  <c r="A5730" i="13"/>
  <c r="B5729" i="13"/>
  <c r="A5729" i="13"/>
  <c r="B5728" i="13"/>
  <c r="A5728" i="13"/>
  <c r="B5727" i="13"/>
  <c r="A5727" i="13"/>
  <c r="B5726" i="13"/>
  <c r="A5726" i="13"/>
  <c r="B5725" i="13"/>
  <c r="A5725" i="13"/>
  <c r="B5724" i="13"/>
  <c r="A5724" i="13"/>
  <c r="B5723" i="13"/>
  <c r="A5723" i="13"/>
  <c r="B5722" i="13"/>
  <c r="A5722" i="13"/>
  <c r="B5721" i="13"/>
  <c r="A5721" i="13"/>
  <c r="B5720" i="13"/>
  <c r="A5720" i="13"/>
  <c r="B5719" i="13"/>
  <c r="A5719" i="13"/>
  <c r="B5718" i="13"/>
  <c r="A5718" i="13"/>
  <c r="B5717" i="13"/>
  <c r="A5717" i="13"/>
  <c r="B5716" i="13"/>
  <c r="A5716" i="13"/>
  <c r="B5715" i="13"/>
  <c r="A5715" i="13"/>
  <c r="B5714" i="13"/>
  <c r="A5714" i="13"/>
  <c r="B5713" i="13"/>
  <c r="A5713" i="13"/>
  <c r="B5712" i="13"/>
  <c r="A5712" i="13"/>
  <c r="B5711" i="13"/>
  <c r="A5711" i="13"/>
  <c r="B5710" i="13"/>
  <c r="A5710" i="13"/>
  <c r="B5709" i="13"/>
  <c r="A5709" i="13"/>
  <c r="B5708" i="13"/>
  <c r="A5708" i="13"/>
  <c r="B5707" i="13"/>
  <c r="A5707" i="13"/>
  <c r="B5706" i="13"/>
  <c r="A5706" i="13"/>
  <c r="B5705" i="13"/>
  <c r="A5705" i="13"/>
  <c r="B5704" i="13"/>
  <c r="A5704" i="13"/>
  <c r="B5703" i="13"/>
  <c r="A5703" i="13"/>
  <c r="B5702" i="13"/>
  <c r="A5702" i="13"/>
  <c r="B5701" i="13"/>
  <c r="A5701" i="13"/>
  <c r="B5700" i="13"/>
  <c r="A5700" i="13"/>
  <c r="B5699" i="13"/>
  <c r="A5699" i="13"/>
  <c r="B5698" i="13"/>
  <c r="A5698" i="13"/>
  <c r="B5697" i="13"/>
  <c r="A5697" i="13"/>
  <c r="B5696" i="13"/>
  <c r="A5696" i="13"/>
  <c r="B5695" i="13"/>
  <c r="A5695" i="13"/>
  <c r="B5694" i="13"/>
  <c r="A5694" i="13"/>
  <c r="B5693" i="13"/>
  <c r="A5693" i="13"/>
  <c r="B5692" i="13"/>
  <c r="A5692" i="13"/>
  <c r="B5691" i="13"/>
  <c r="A5691" i="13"/>
  <c r="B5690" i="13"/>
  <c r="A5690" i="13"/>
  <c r="B5689" i="13"/>
  <c r="A5689" i="13"/>
  <c r="B5688" i="13"/>
  <c r="A5688" i="13"/>
  <c r="B5687" i="13"/>
  <c r="A5687" i="13"/>
  <c r="B5686" i="13"/>
  <c r="A5686" i="13"/>
  <c r="B5685" i="13"/>
  <c r="A5685" i="13"/>
  <c r="B5684" i="13"/>
  <c r="A5684" i="13"/>
  <c r="B5683" i="13"/>
  <c r="A5683" i="13"/>
  <c r="B5682" i="13"/>
  <c r="A5682" i="13"/>
  <c r="B5681" i="13"/>
  <c r="A5681" i="13"/>
  <c r="B5680" i="13"/>
  <c r="A5680" i="13"/>
  <c r="B5679" i="13"/>
  <c r="A5679" i="13"/>
  <c r="B5678" i="13"/>
  <c r="A5678" i="13"/>
  <c r="B5677" i="13"/>
  <c r="A5677" i="13"/>
  <c r="B5676" i="13"/>
  <c r="A5676" i="13"/>
  <c r="B5675" i="13"/>
  <c r="A5675" i="13"/>
  <c r="B5674" i="13"/>
  <c r="A5674" i="13"/>
  <c r="B5673" i="13"/>
  <c r="A5673" i="13"/>
  <c r="B5672" i="13"/>
  <c r="A5672" i="13"/>
  <c r="B5671" i="13"/>
  <c r="A5671" i="13"/>
  <c r="B5670" i="13"/>
  <c r="A5670" i="13"/>
  <c r="B5669" i="13"/>
  <c r="A5669" i="13"/>
  <c r="B5668" i="13"/>
  <c r="A5668" i="13"/>
  <c r="B5667" i="13"/>
  <c r="A5667" i="13"/>
  <c r="B5666" i="13"/>
  <c r="A5666" i="13"/>
  <c r="B5665" i="13"/>
  <c r="A5665" i="13"/>
  <c r="B5664" i="13"/>
  <c r="A5664" i="13"/>
  <c r="B5663" i="13"/>
  <c r="A5663" i="13"/>
  <c r="B5662" i="13"/>
  <c r="A5662" i="13"/>
  <c r="B5661" i="13"/>
  <c r="A5661" i="13"/>
  <c r="B5660" i="13"/>
  <c r="A5660" i="13"/>
  <c r="B5659" i="13"/>
  <c r="A5659" i="13"/>
  <c r="B5658" i="13"/>
  <c r="A5658" i="13"/>
  <c r="B5657" i="13"/>
  <c r="A5657" i="13"/>
  <c r="B5656" i="13"/>
  <c r="A5656" i="13"/>
  <c r="B5655" i="13"/>
  <c r="A5655" i="13"/>
  <c r="B5654" i="13"/>
  <c r="A5654" i="13"/>
  <c r="B5653" i="13"/>
  <c r="A5653" i="13"/>
  <c r="B5652" i="13"/>
  <c r="A5652" i="13"/>
  <c r="B5651" i="13"/>
  <c r="A5651" i="13"/>
  <c r="B5650" i="13"/>
  <c r="A5650" i="13"/>
  <c r="B5649" i="13"/>
  <c r="A5649" i="13"/>
  <c r="B5648" i="13"/>
  <c r="A5648" i="13"/>
  <c r="B5647" i="13"/>
  <c r="A5647" i="13"/>
  <c r="B5646" i="13"/>
  <c r="A5646" i="13"/>
  <c r="B5645" i="13"/>
  <c r="A5645" i="13"/>
  <c r="B5644" i="13"/>
  <c r="A5644" i="13"/>
  <c r="B5643" i="13"/>
  <c r="A5643" i="13"/>
  <c r="B5642" i="13"/>
  <c r="A5642" i="13"/>
  <c r="B5641" i="13"/>
  <c r="A5641" i="13"/>
  <c r="B5640" i="13"/>
  <c r="A5640" i="13"/>
  <c r="B5639" i="13"/>
  <c r="A5639" i="13"/>
  <c r="B5638" i="13"/>
  <c r="A5638" i="13"/>
  <c r="B5637" i="13"/>
  <c r="A5637" i="13"/>
  <c r="B5636" i="13"/>
  <c r="A5636" i="13"/>
  <c r="B5635" i="13"/>
  <c r="A5635" i="13"/>
  <c r="B5634" i="13"/>
  <c r="A5634" i="13"/>
  <c r="B5633" i="13"/>
  <c r="A5633" i="13"/>
  <c r="B5632" i="13"/>
  <c r="A5632" i="13"/>
  <c r="B5631" i="13"/>
  <c r="A5631" i="13"/>
  <c r="B5630" i="13"/>
  <c r="A5630" i="13"/>
  <c r="B5629" i="13"/>
  <c r="A5629" i="13"/>
  <c r="B5628" i="13"/>
  <c r="A5628" i="13"/>
  <c r="B5627" i="13"/>
  <c r="A5627" i="13"/>
  <c r="B5626" i="13"/>
  <c r="A5626" i="13"/>
  <c r="B5625" i="13"/>
  <c r="A5625" i="13"/>
  <c r="B5624" i="13"/>
  <c r="A5624" i="13"/>
  <c r="B5623" i="13"/>
  <c r="A5623" i="13"/>
  <c r="B5622" i="13"/>
  <c r="A5622" i="13"/>
  <c r="B5621" i="13"/>
  <c r="A5621" i="13"/>
  <c r="B5620" i="13"/>
  <c r="A5620" i="13"/>
  <c r="B5619" i="13"/>
  <c r="A5619" i="13"/>
  <c r="B5618" i="13"/>
  <c r="A5618" i="13"/>
  <c r="B5617" i="13"/>
  <c r="A5617" i="13"/>
  <c r="B5616" i="13"/>
  <c r="A5616" i="13"/>
  <c r="B5615" i="13"/>
  <c r="A5615" i="13"/>
  <c r="B5614" i="13"/>
  <c r="A5614" i="13"/>
  <c r="B5613" i="13"/>
  <c r="A5613" i="13"/>
  <c r="B5612" i="13"/>
  <c r="A5612" i="13"/>
  <c r="B5611" i="13"/>
  <c r="A5611" i="13"/>
  <c r="B5610" i="13"/>
  <c r="A5610" i="13"/>
  <c r="B5609" i="13"/>
  <c r="A5609" i="13"/>
  <c r="B5608" i="13"/>
  <c r="A5608" i="13"/>
  <c r="B5607" i="13"/>
  <c r="A5607" i="13"/>
  <c r="B5606" i="13"/>
  <c r="A5606" i="13"/>
  <c r="B5605" i="13"/>
  <c r="A5605" i="13"/>
  <c r="B5604" i="13"/>
  <c r="A5604" i="13"/>
  <c r="B5603" i="13"/>
  <c r="A5603" i="13"/>
  <c r="B5602" i="13"/>
  <c r="A5602" i="13"/>
  <c r="B5601" i="13"/>
  <c r="A5601" i="13"/>
  <c r="B5600" i="13"/>
  <c r="A5600" i="13"/>
  <c r="B5599" i="13"/>
  <c r="A5599" i="13"/>
  <c r="B5598" i="13"/>
  <c r="A5598" i="13"/>
  <c r="B5597" i="13"/>
  <c r="A5597" i="13"/>
  <c r="B5596" i="13"/>
  <c r="A5596" i="13"/>
  <c r="B5595" i="13"/>
  <c r="A5595" i="13"/>
  <c r="B5594" i="13"/>
  <c r="A5594" i="13"/>
  <c r="B5593" i="13"/>
  <c r="A5593" i="13"/>
  <c r="B5592" i="13"/>
  <c r="A5592" i="13"/>
  <c r="B5591" i="13"/>
  <c r="A5591" i="13"/>
  <c r="B5590" i="13"/>
  <c r="A5590" i="13"/>
  <c r="B5589" i="13"/>
  <c r="A5589" i="13"/>
  <c r="B5588" i="13"/>
  <c r="A5588" i="13"/>
  <c r="B5587" i="13"/>
  <c r="A5587" i="13"/>
  <c r="B5586" i="13"/>
  <c r="A5586" i="13"/>
  <c r="B5585" i="13"/>
  <c r="A5585" i="13"/>
  <c r="B5584" i="13"/>
  <c r="A5584" i="13"/>
  <c r="B5583" i="13"/>
  <c r="A5583" i="13"/>
  <c r="B5582" i="13"/>
  <c r="A5582" i="13"/>
  <c r="B5581" i="13"/>
  <c r="A5581" i="13"/>
  <c r="B5580" i="13"/>
  <c r="A5580" i="13"/>
  <c r="B5579" i="13"/>
  <c r="A5579" i="13"/>
  <c r="B5578" i="13"/>
  <c r="A5578" i="13"/>
  <c r="B5577" i="13"/>
  <c r="A5577" i="13"/>
  <c r="B5576" i="13"/>
  <c r="A5576" i="13"/>
  <c r="B5575" i="13"/>
  <c r="A5575" i="13"/>
  <c r="B5574" i="13"/>
  <c r="A5574" i="13"/>
  <c r="B5573" i="13"/>
  <c r="A5573" i="13"/>
  <c r="B5572" i="13"/>
  <c r="A5572" i="13"/>
  <c r="B5571" i="13"/>
  <c r="A5571" i="13"/>
  <c r="B5570" i="13"/>
  <c r="A5570" i="13"/>
  <c r="B5569" i="13"/>
  <c r="A5569" i="13"/>
  <c r="B5568" i="13"/>
  <c r="A5568" i="13"/>
  <c r="B5567" i="13"/>
  <c r="A5567" i="13"/>
  <c r="B5566" i="13"/>
  <c r="A5566" i="13"/>
  <c r="B5565" i="13"/>
  <c r="A5565" i="13"/>
  <c r="B5564" i="13"/>
  <c r="A5564" i="13"/>
  <c r="B5563" i="13"/>
  <c r="A5563" i="13"/>
  <c r="B5562" i="13"/>
  <c r="A5562" i="13"/>
  <c r="B5561" i="13"/>
  <c r="A5561" i="13"/>
  <c r="B5560" i="13"/>
  <c r="A5560" i="13"/>
  <c r="B5559" i="13"/>
  <c r="A5559" i="13"/>
  <c r="B5558" i="13"/>
  <c r="A5558" i="13"/>
  <c r="B5557" i="13"/>
  <c r="A5557" i="13"/>
  <c r="B5556" i="13"/>
  <c r="A5556" i="13"/>
  <c r="B5555" i="13"/>
  <c r="A5555" i="13"/>
  <c r="B5554" i="13"/>
  <c r="A5554" i="13"/>
  <c r="B5553" i="13"/>
  <c r="A5553" i="13"/>
  <c r="B5552" i="13"/>
  <c r="A5552" i="13"/>
  <c r="B5551" i="13"/>
  <c r="A5551" i="13"/>
  <c r="B5550" i="13"/>
  <c r="A5550" i="13"/>
  <c r="B5549" i="13"/>
  <c r="A5549" i="13"/>
  <c r="B5548" i="13"/>
  <c r="A5548" i="13"/>
  <c r="B5547" i="13"/>
  <c r="A5547" i="13"/>
  <c r="B5546" i="13"/>
  <c r="A5546" i="13"/>
  <c r="B5545" i="13"/>
  <c r="A5545" i="13"/>
  <c r="B5544" i="13"/>
  <c r="A5544" i="13"/>
  <c r="B5543" i="13"/>
  <c r="A5543" i="13"/>
  <c r="B5542" i="13"/>
  <c r="A5542" i="13"/>
  <c r="B5541" i="13"/>
  <c r="A5541" i="13"/>
  <c r="B5540" i="13"/>
  <c r="A5540" i="13"/>
  <c r="B5539" i="13"/>
  <c r="A5539" i="13"/>
  <c r="B5538" i="13"/>
  <c r="A5538" i="13"/>
  <c r="B5537" i="13"/>
  <c r="A5537" i="13"/>
  <c r="B5536" i="13"/>
  <c r="A5536" i="13"/>
  <c r="B5535" i="13"/>
  <c r="A5535" i="13"/>
  <c r="B5534" i="13"/>
  <c r="A5534" i="13"/>
  <c r="B5533" i="13"/>
  <c r="A5533" i="13"/>
  <c r="B5532" i="13"/>
  <c r="A5532" i="13"/>
  <c r="B5531" i="13"/>
  <c r="A5531" i="13"/>
  <c r="B5530" i="13"/>
  <c r="A5530" i="13"/>
  <c r="B5529" i="13"/>
  <c r="A5529" i="13"/>
  <c r="B5528" i="13"/>
  <c r="A5528" i="13"/>
  <c r="B5527" i="13"/>
  <c r="A5527" i="13"/>
  <c r="B5526" i="13"/>
  <c r="A5526" i="13"/>
  <c r="B5525" i="13"/>
  <c r="A5525" i="13"/>
  <c r="B5524" i="13"/>
  <c r="A5524" i="13"/>
  <c r="B5523" i="13"/>
  <c r="A5523" i="13"/>
  <c r="B5522" i="13"/>
  <c r="A5522" i="13"/>
  <c r="B5521" i="13"/>
  <c r="A5521" i="13"/>
  <c r="B5520" i="13"/>
  <c r="A5520" i="13"/>
  <c r="B5519" i="13"/>
  <c r="A5519" i="13"/>
  <c r="B5518" i="13"/>
  <c r="A5518" i="13"/>
  <c r="B5517" i="13"/>
  <c r="A5517" i="13"/>
  <c r="B5516" i="13"/>
  <c r="A5516" i="13"/>
  <c r="B5515" i="13"/>
  <c r="A5515" i="13"/>
  <c r="B5514" i="13"/>
  <c r="A5514" i="13"/>
  <c r="B5513" i="13"/>
  <c r="A5513" i="13"/>
  <c r="B5512" i="13"/>
  <c r="A5512" i="13"/>
  <c r="B5511" i="13"/>
  <c r="A5511" i="13"/>
  <c r="B5510" i="13"/>
  <c r="A5510" i="13"/>
  <c r="B5509" i="13"/>
  <c r="A5509" i="13"/>
  <c r="B5508" i="13"/>
  <c r="A5508" i="13"/>
  <c r="B5507" i="13"/>
  <c r="A5507" i="13"/>
  <c r="B5506" i="13"/>
  <c r="A5506" i="13"/>
  <c r="B5505" i="13"/>
  <c r="A5505" i="13"/>
  <c r="B5504" i="13"/>
  <c r="A5504" i="13"/>
  <c r="B5503" i="13"/>
  <c r="A5503" i="13"/>
  <c r="B5502" i="13"/>
  <c r="A5502" i="13"/>
  <c r="B5501" i="13"/>
  <c r="A5501" i="13"/>
  <c r="B5500" i="13"/>
  <c r="A5500" i="13"/>
  <c r="B5499" i="13"/>
  <c r="A5499" i="13"/>
  <c r="B5498" i="13"/>
  <c r="A5498" i="13"/>
  <c r="B5497" i="13"/>
  <c r="A5497" i="13"/>
  <c r="B5496" i="13"/>
  <c r="A5496" i="13"/>
  <c r="B5495" i="13"/>
  <c r="A5495" i="13"/>
  <c r="B5494" i="13"/>
  <c r="A5494" i="13"/>
  <c r="B5493" i="13"/>
  <c r="A5493" i="13"/>
  <c r="B5492" i="13"/>
  <c r="A5492" i="13"/>
  <c r="B5491" i="13"/>
  <c r="A5491" i="13"/>
  <c r="B5490" i="13"/>
  <c r="A5490" i="13"/>
  <c r="B5489" i="13"/>
  <c r="A5489" i="13"/>
  <c r="B5488" i="13"/>
  <c r="A5488" i="13"/>
  <c r="B5487" i="13"/>
  <c r="A5487" i="13"/>
  <c r="B5486" i="13"/>
  <c r="A5486" i="13"/>
  <c r="B5485" i="13"/>
  <c r="A5485" i="13"/>
  <c r="B5484" i="13"/>
  <c r="A5484" i="13"/>
  <c r="B5483" i="13"/>
  <c r="A5483" i="13"/>
  <c r="B5482" i="13"/>
  <c r="A5482" i="13"/>
  <c r="B5481" i="13"/>
  <c r="A5481" i="13"/>
  <c r="B5480" i="13"/>
  <c r="A5480" i="13"/>
  <c r="B5479" i="13"/>
  <c r="A5479" i="13"/>
  <c r="B5478" i="13"/>
  <c r="A5478" i="13"/>
  <c r="B5477" i="13"/>
  <c r="A5477" i="13"/>
  <c r="B5476" i="13"/>
  <c r="A5476" i="13"/>
  <c r="B5475" i="13"/>
  <c r="A5475" i="13"/>
  <c r="B5474" i="13"/>
  <c r="A5474" i="13"/>
  <c r="B5473" i="13"/>
  <c r="A5473" i="13"/>
  <c r="B5472" i="13"/>
  <c r="A5472" i="13"/>
  <c r="B5471" i="13"/>
  <c r="A5471" i="13"/>
  <c r="B5470" i="13"/>
  <c r="A5470" i="13"/>
  <c r="B5469" i="13"/>
  <c r="A5469" i="13"/>
  <c r="B5468" i="13"/>
  <c r="A5468" i="13"/>
  <c r="B5467" i="13"/>
  <c r="A5467" i="13"/>
  <c r="B5466" i="13"/>
  <c r="A5466" i="13"/>
  <c r="B5465" i="13"/>
  <c r="A5465" i="13"/>
  <c r="B5464" i="13"/>
  <c r="A5464" i="13"/>
  <c r="B5463" i="13"/>
  <c r="A5463" i="13"/>
  <c r="B5462" i="13"/>
  <c r="A5462" i="13"/>
  <c r="B5461" i="13"/>
  <c r="A5461" i="13"/>
  <c r="B5460" i="13"/>
  <c r="A5460" i="13"/>
  <c r="B5459" i="13"/>
  <c r="A5459" i="13"/>
  <c r="B5458" i="13"/>
  <c r="A5458" i="13"/>
  <c r="B5457" i="13"/>
  <c r="A5457" i="13"/>
  <c r="B5456" i="13"/>
  <c r="A5456" i="13"/>
  <c r="B5455" i="13"/>
  <c r="A5455" i="13"/>
  <c r="B5454" i="13"/>
  <c r="A5454" i="13"/>
  <c r="B5453" i="13"/>
  <c r="A5453" i="13"/>
  <c r="B5452" i="13"/>
  <c r="A5452" i="13"/>
  <c r="B5451" i="13"/>
  <c r="A5451" i="13"/>
  <c r="B5450" i="13"/>
  <c r="A5450" i="13"/>
  <c r="B5449" i="13"/>
  <c r="A5449" i="13"/>
  <c r="B5448" i="13"/>
  <c r="A5448" i="13"/>
  <c r="B5447" i="13"/>
  <c r="A5447" i="13"/>
  <c r="B5446" i="13"/>
  <c r="A5446" i="13"/>
  <c r="B5445" i="13"/>
  <c r="A5445" i="13"/>
  <c r="B5444" i="13"/>
  <c r="A5444" i="13"/>
  <c r="B5443" i="13"/>
  <c r="A5443" i="13"/>
  <c r="B5442" i="13"/>
  <c r="A5442" i="13"/>
  <c r="B5441" i="13"/>
  <c r="A5441" i="13"/>
  <c r="B5440" i="13"/>
  <c r="A5440" i="13"/>
  <c r="B5439" i="13"/>
  <c r="A5439" i="13"/>
  <c r="B5438" i="13"/>
  <c r="A5438" i="13"/>
  <c r="B5437" i="13"/>
  <c r="A5437" i="13"/>
  <c r="B5436" i="13"/>
  <c r="A5436" i="13"/>
  <c r="B5435" i="13"/>
  <c r="A5435" i="13"/>
  <c r="B5434" i="13"/>
  <c r="A5434" i="13"/>
  <c r="B5433" i="13"/>
  <c r="A5433" i="13"/>
  <c r="B5432" i="13"/>
  <c r="A5432" i="13"/>
  <c r="B5431" i="13"/>
  <c r="A5431" i="13"/>
  <c r="B5430" i="13"/>
  <c r="A5430" i="13"/>
  <c r="B5429" i="13"/>
  <c r="A5429" i="13"/>
  <c r="B5428" i="13"/>
  <c r="A5428" i="13"/>
  <c r="B5427" i="13"/>
  <c r="A5427" i="13"/>
  <c r="B5426" i="13"/>
  <c r="A5426" i="13"/>
  <c r="B5425" i="13"/>
  <c r="A5425" i="13"/>
  <c r="B5424" i="13"/>
  <c r="A5424" i="13"/>
  <c r="B5423" i="13"/>
  <c r="A5423" i="13"/>
  <c r="B5422" i="13"/>
  <c r="A5422" i="13"/>
  <c r="B5421" i="13"/>
  <c r="A5421" i="13"/>
  <c r="B5420" i="13"/>
  <c r="A5420" i="13"/>
  <c r="B5419" i="13"/>
  <c r="A5419" i="13"/>
  <c r="B5418" i="13"/>
  <c r="A5418" i="13"/>
  <c r="B5417" i="13"/>
  <c r="A5417" i="13"/>
  <c r="B5416" i="13"/>
  <c r="A5416" i="13"/>
  <c r="B5415" i="13"/>
  <c r="A5415" i="13"/>
  <c r="B5414" i="13"/>
  <c r="A5414" i="13"/>
  <c r="B5413" i="13"/>
  <c r="A5413" i="13"/>
  <c r="B5412" i="13"/>
  <c r="A5412" i="13"/>
  <c r="B5411" i="13"/>
  <c r="A5411" i="13"/>
  <c r="B5410" i="13"/>
  <c r="A5410" i="13"/>
  <c r="B5409" i="13"/>
  <c r="A5409" i="13"/>
  <c r="B5408" i="13"/>
  <c r="A5408" i="13"/>
  <c r="B5407" i="13"/>
  <c r="A5407" i="13"/>
  <c r="B5406" i="13"/>
  <c r="A5406" i="13"/>
  <c r="B5405" i="13"/>
  <c r="A5405" i="13"/>
  <c r="B5404" i="13"/>
  <c r="A5404" i="13"/>
  <c r="B5403" i="13"/>
  <c r="A5403" i="13"/>
  <c r="B5402" i="13"/>
  <c r="A5402" i="13"/>
  <c r="B5401" i="13"/>
  <c r="A5401" i="13"/>
  <c r="B5400" i="13"/>
  <c r="A5400" i="13"/>
  <c r="B5399" i="13"/>
  <c r="A5399" i="13"/>
  <c r="B5398" i="13"/>
  <c r="A5398" i="13"/>
  <c r="B5397" i="13"/>
  <c r="A5397" i="13"/>
  <c r="B5396" i="13"/>
  <c r="A5396" i="13"/>
  <c r="B5395" i="13"/>
  <c r="A5395" i="13"/>
  <c r="B5394" i="13"/>
  <c r="A5394" i="13"/>
  <c r="B5393" i="13"/>
  <c r="A5393" i="13"/>
  <c r="B5392" i="13"/>
  <c r="A5392" i="13"/>
  <c r="B5391" i="13"/>
  <c r="A5391" i="13"/>
  <c r="B5390" i="13"/>
  <c r="A5390" i="13"/>
  <c r="B5389" i="13"/>
  <c r="A5389" i="13"/>
  <c r="B5388" i="13"/>
  <c r="A5388" i="13"/>
  <c r="B5387" i="13"/>
  <c r="A5387" i="13"/>
  <c r="B5386" i="13"/>
  <c r="A5386" i="13"/>
  <c r="B5385" i="13"/>
  <c r="A5385" i="13"/>
  <c r="B5384" i="13"/>
  <c r="A5384" i="13"/>
  <c r="B5383" i="13"/>
  <c r="A5383" i="13"/>
  <c r="B5382" i="13"/>
  <c r="A5382" i="13"/>
  <c r="B5381" i="13"/>
  <c r="A5381" i="13"/>
  <c r="B5380" i="13"/>
  <c r="A5380" i="13"/>
  <c r="B5379" i="13"/>
  <c r="A5379" i="13"/>
  <c r="B5378" i="13"/>
  <c r="A5378" i="13"/>
  <c r="B5377" i="13"/>
  <c r="A5377" i="13"/>
  <c r="B5376" i="13"/>
  <c r="A5376" i="13"/>
  <c r="B5375" i="13"/>
  <c r="A5375" i="13"/>
  <c r="B5374" i="13"/>
  <c r="A5374" i="13"/>
  <c r="B5373" i="13"/>
  <c r="A5373" i="13"/>
  <c r="B5372" i="13"/>
  <c r="A5372" i="13"/>
  <c r="B5371" i="13"/>
  <c r="A5371" i="13"/>
  <c r="B5370" i="13"/>
  <c r="A5370" i="13"/>
  <c r="B5369" i="13"/>
  <c r="A5369" i="13"/>
  <c r="B5368" i="13"/>
  <c r="A5368" i="13"/>
  <c r="B5367" i="13"/>
  <c r="A5367" i="13"/>
  <c r="B5366" i="13"/>
  <c r="A5366" i="13"/>
  <c r="B5365" i="13"/>
  <c r="A5365" i="13"/>
  <c r="B5364" i="13"/>
  <c r="A5364" i="13"/>
  <c r="B5363" i="13"/>
  <c r="A5363" i="13"/>
  <c r="B5362" i="13"/>
  <c r="A5362" i="13"/>
  <c r="B5361" i="13"/>
  <c r="A5361" i="13"/>
  <c r="B5360" i="13"/>
  <c r="A5360" i="13"/>
  <c r="B5359" i="13"/>
  <c r="A5359" i="13"/>
  <c r="B5358" i="13"/>
  <c r="A5358" i="13"/>
  <c r="B5357" i="13"/>
  <c r="A5357" i="13"/>
  <c r="B5356" i="13"/>
  <c r="A5356" i="13"/>
  <c r="B5355" i="13"/>
  <c r="A5355" i="13"/>
  <c r="B5354" i="13"/>
  <c r="A5354" i="13"/>
  <c r="B5353" i="13"/>
  <c r="A5353" i="13"/>
  <c r="B5352" i="13"/>
  <c r="A5352" i="13"/>
  <c r="B5351" i="13"/>
  <c r="A5351" i="13"/>
  <c r="B5350" i="13"/>
  <c r="A5350" i="13"/>
  <c r="B5349" i="13"/>
  <c r="A5349" i="13"/>
  <c r="B5348" i="13"/>
  <c r="A5348" i="13"/>
  <c r="B5347" i="13"/>
  <c r="A5347" i="13"/>
  <c r="B5346" i="13"/>
  <c r="A5346" i="13"/>
  <c r="B5345" i="13"/>
  <c r="A5345" i="13"/>
  <c r="B5344" i="13"/>
  <c r="A5344" i="13"/>
  <c r="B5343" i="13"/>
  <c r="A5343" i="13"/>
  <c r="B5342" i="13"/>
  <c r="A5342" i="13"/>
  <c r="B5341" i="13"/>
  <c r="A5341" i="13"/>
  <c r="B5340" i="13"/>
  <c r="A5340" i="13"/>
  <c r="B5339" i="13"/>
  <c r="A5339" i="13"/>
  <c r="B5338" i="13"/>
  <c r="A5338" i="13"/>
  <c r="B5337" i="13"/>
  <c r="A5337" i="13"/>
  <c r="B5336" i="13"/>
  <c r="A5336" i="13"/>
  <c r="B5335" i="13"/>
  <c r="A5335" i="13"/>
  <c r="B5334" i="13"/>
  <c r="A5334" i="13"/>
  <c r="B5333" i="13"/>
  <c r="A5333" i="13"/>
  <c r="B5332" i="13"/>
  <c r="A5332" i="13"/>
  <c r="B5331" i="13"/>
  <c r="A5331" i="13"/>
  <c r="B5330" i="13"/>
  <c r="A5330" i="13"/>
  <c r="B5329" i="13"/>
  <c r="A5329" i="13"/>
  <c r="B5328" i="13"/>
  <c r="A5328" i="13"/>
  <c r="B5327" i="13"/>
  <c r="A5327" i="13"/>
  <c r="B5326" i="13"/>
  <c r="A5326" i="13"/>
  <c r="B5325" i="13"/>
  <c r="A5325" i="13"/>
  <c r="B5324" i="13"/>
  <c r="A5324" i="13"/>
  <c r="B5323" i="13"/>
  <c r="A5323" i="13"/>
  <c r="B5322" i="13"/>
  <c r="A5322" i="13"/>
  <c r="B5321" i="13"/>
  <c r="A5321" i="13"/>
  <c r="B5320" i="13"/>
  <c r="A5320" i="13"/>
  <c r="B5319" i="13"/>
  <c r="A5319" i="13"/>
  <c r="B5318" i="13"/>
  <c r="A5318" i="13"/>
  <c r="B5317" i="13"/>
  <c r="A5317" i="13"/>
  <c r="B5316" i="13"/>
  <c r="A5316" i="13"/>
  <c r="B5315" i="13"/>
  <c r="A5315" i="13"/>
  <c r="B5314" i="13"/>
  <c r="A5314" i="13"/>
  <c r="B5313" i="13"/>
  <c r="A5313" i="13"/>
  <c r="B5312" i="13"/>
  <c r="A5312" i="13"/>
  <c r="B5311" i="13"/>
  <c r="A5311" i="13"/>
  <c r="B5310" i="13"/>
  <c r="A5310" i="13"/>
  <c r="B5309" i="13"/>
  <c r="A5309" i="13"/>
  <c r="B5308" i="13"/>
  <c r="A5308" i="13"/>
  <c r="B5307" i="13"/>
  <c r="A5307" i="13"/>
  <c r="B5306" i="13"/>
  <c r="A5306" i="13"/>
  <c r="B5305" i="13"/>
  <c r="A5305" i="13"/>
  <c r="B5304" i="13"/>
  <c r="A5304" i="13"/>
  <c r="B5303" i="13"/>
  <c r="A5303" i="13"/>
  <c r="B5302" i="13"/>
  <c r="A5302" i="13"/>
  <c r="B5301" i="13"/>
  <c r="A5301" i="13"/>
  <c r="B5300" i="13"/>
  <c r="A5300" i="13"/>
  <c r="B5299" i="13"/>
  <c r="A5299" i="13"/>
  <c r="B5298" i="13"/>
  <c r="A5298" i="13"/>
  <c r="B5297" i="13"/>
  <c r="A5297" i="13"/>
  <c r="B5296" i="13"/>
  <c r="A5296" i="13"/>
  <c r="B5295" i="13"/>
  <c r="A5295" i="13"/>
  <c r="B5294" i="13"/>
  <c r="A5294" i="13"/>
  <c r="B5293" i="13"/>
  <c r="A5293" i="13"/>
  <c r="B5292" i="13"/>
  <c r="A5292" i="13"/>
  <c r="B5291" i="13"/>
  <c r="A5291" i="13"/>
  <c r="B5290" i="13"/>
  <c r="A5290" i="13"/>
  <c r="B5289" i="13"/>
  <c r="A5289" i="13"/>
  <c r="B5288" i="13"/>
  <c r="A5288" i="13"/>
  <c r="B5287" i="13"/>
  <c r="A5287" i="13"/>
  <c r="B5286" i="13"/>
  <c r="A5286" i="13"/>
  <c r="B5285" i="13"/>
  <c r="A5285" i="13"/>
  <c r="B5284" i="13"/>
  <c r="A5284" i="13"/>
  <c r="B5283" i="13"/>
  <c r="A5283" i="13"/>
  <c r="B5282" i="13"/>
  <c r="A5282" i="13"/>
  <c r="B5281" i="13"/>
  <c r="A5281" i="13"/>
  <c r="B5280" i="13"/>
  <c r="A5280" i="13"/>
  <c r="B5279" i="13"/>
  <c r="A5279" i="13"/>
  <c r="B5278" i="13"/>
  <c r="A5278" i="13"/>
  <c r="B5277" i="13"/>
  <c r="A5277" i="13"/>
  <c r="B5276" i="13"/>
  <c r="A5276" i="13"/>
  <c r="B5275" i="13"/>
  <c r="A5275" i="13"/>
  <c r="B5274" i="13"/>
  <c r="A5274" i="13"/>
  <c r="B5273" i="13"/>
  <c r="A5273" i="13"/>
  <c r="B5272" i="13"/>
  <c r="A5272" i="13"/>
  <c r="B5271" i="13"/>
  <c r="A5271" i="13"/>
  <c r="B5270" i="13"/>
  <c r="A5270" i="13"/>
  <c r="B5269" i="13"/>
  <c r="A5269" i="13"/>
  <c r="B5268" i="13"/>
  <c r="A5268" i="13"/>
  <c r="B5267" i="13"/>
  <c r="A5267" i="13"/>
  <c r="B5266" i="13"/>
  <c r="A5266" i="13"/>
  <c r="B5265" i="13"/>
  <c r="A5265" i="13"/>
  <c r="B5264" i="13"/>
  <c r="A5264" i="13"/>
  <c r="B5263" i="13"/>
  <c r="A5263" i="13"/>
  <c r="B5262" i="13"/>
  <c r="A5262" i="13"/>
  <c r="B5261" i="13"/>
  <c r="A5261" i="13"/>
  <c r="B5260" i="13"/>
  <c r="A5260" i="13"/>
  <c r="B5259" i="13"/>
  <c r="A5259" i="13"/>
  <c r="B5258" i="13"/>
  <c r="A5258" i="13"/>
  <c r="B5257" i="13"/>
  <c r="A5257" i="13"/>
  <c r="B5256" i="13"/>
  <c r="A5256" i="13"/>
  <c r="B5255" i="13"/>
  <c r="A5255" i="13"/>
  <c r="B5254" i="13"/>
  <c r="A5254" i="13"/>
  <c r="B5253" i="13"/>
  <c r="A5253" i="13"/>
  <c r="B5252" i="13"/>
  <c r="A5252" i="13"/>
  <c r="B5251" i="13"/>
  <c r="A5251" i="13"/>
  <c r="B5250" i="13"/>
  <c r="A5250" i="13"/>
  <c r="B5249" i="13"/>
  <c r="A5249" i="13"/>
  <c r="B5248" i="13"/>
  <c r="A5248" i="13"/>
  <c r="B5247" i="13"/>
  <c r="A5247" i="13"/>
  <c r="B5246" i="13"/>
  <c r="A5246" i="13"/>
  <c r="B5245" i="13"/>
  <c r="A5245" i="13"/>
  <c r="B5244" i="13"/>
  <c r="A5244" i="13"/>
  <c r="B5243" i="13"/>
  <c r="A5243" i="13"/>
  <c r="B5242" i="13"/>
  <c r="A5242" i="13"/>
  <c r="B5241" i="13"/>
  <c r="A5241" i="13"/>
  <c r="B5240" i="13"/>
  <c r="A5240" i="13"/>
  <c r="B5239" i="13"/>
  <c r="A5239" i="13"/>
  <c r="B5238" i="13"/>
  <c r="A5238" i="13"/>
  <c r="B5237" i="13"/>
  <c r="A5237" i="13"/>
  <c r="B5236" i="13"/>
  <c r="A5236" i="13"/>
  <c r="B5235" i="13"/>
  <c r="A5235" i="13"/>
  <c r="B5234" i="13"/>
  <c r="A5234" i="13"/>
  <c r="B5233" i="13"/>
  <c r="A5233" i="13"/>
  <c r="B5232" i="13"/>
  <c r="A5232" i="13"/>
  <c r="B5231" i="13"/>
  <c r="A5231" i="13"/>
  <c r="B5230" i="13"/>
  <c r="A5230" i="13"/>
  <c r="B5229" i="13"/>
  <c r="A5229" i="13"/>
  <c r="B5228" i="13"/>
  <c r="A5228" i="13"/>
  <c r="B5227" i="13"/>
  <c r="A5227" i="13"/>
  <c r="B5226" i="13"/>
  <c r="A5226" i="13"/>
  <c r="B5225" i="13"/>
  <c r="A5225" i="13"/>
  <c r="B5224" i="13"/>
  <c r="A5224" i="13"/>
  <c r="B5223" i="13"/>
  <c r="A5223" i="13"/>
  <c r="B5222" i="13"/>
  <c r="A5222" i="13"/>
  <c r="B5221" i="13"/>
  <c r="A5221" i="13"/>
  <c r="B5220" i="13"/>
  <c r="A5220" i="13"/>
  <c r="B5219" i="13"/>
  <c r="A5219" i="13"/>
  <c r="B5218" i="13"/>
  <c r="A5218" i="13"/>
  <c r="B5217" i="13"/>
  <c r="A5217" i="13"/>
  <c r="B5216" i="13"/>
  <c r="A5216" i="13"/>
  <c r="B5215" i="13"/>
  <c r="A5215" i="13"/>
  <c r="B5214" i="13"/>
  <c r="A5214" i="13"/>
  <c r="B5213" i="13"/>
  <c r="A5213" i="13"/>
  <c r="B5212" i="13"/>
  <c r="A5212" i="13"/>
  <c r="B5211" i="13"/>
  <c r="A5211" i="13"/>
  <c r="B5210" i="13"/>
  <c r="A5210" i="13"/>
  <c r="B5209" i="13"/>
  <c r="A5209" i="13"/>
  <c r="B5208" i="13"/>
  <c r="A5208" i="13"/>
  <c r="B5207" i="13"/>
  <c r="A5207" i="13"/>
  <c r="B5206" i="13"/>
  <c r="A5206" i="13"/>
  <c r="B5205" i="13"/>
  <c r="A5205" i="13"/>
  <c r="B5204" i="13"/>
  <c r="A5204" i="13"/>
  <c r="B5203" i="13"/>
  <c r="A5203" i="13"/>
  <c r="B5202" i="13"/>
  <c r="A5202" i="13"/>
  <c r="B5201" i="13"/>
  <c r="A5201" i="13"/>
  <c r="B5200" i="13"/>
  <c r="A5200" i="13"/>
  <c r="B5199" i="13"/>
  <c r="A5199" i="13"/>
  <c r="B5198" i="13"/>
  <c r="A5198" i="13"/>
  <c r="B5197" i="13"/>
  <c r="A5197" i="13"/>
  <c r="B5196" i="13"/>
  <c r="A5196" i="13"/>
  <c r="B5195" i="13"/>
  <c r="A5195" i="13"/>
  <c r="B5194" i="13"/>
  <c r="A5194" i="13"/>
  <c r="B5193" i="13"/>
  <c r="A5193" i="13"/>
  <c r="B5192" i="13"/>
  <c r="A5192" i="13"/>
  <c r="B5191" i="13"/>
  <c r="A5191" i="13"/>
  <c r="B5190" i="13"/>
  <c r="A5190" i="13"/>
  <c r="B5189" i="13"/>
  <c r="A5189" i="13"/>
  <c r="B5188" i="13"/>
  <c r="A5188" i="13"/>
  <c r="B5187" i="13"/>
  <c r="A5187" i="13"/>
  <c r="B5186" i="13"/>
  <c r="A5186" i="13"/>
  <c r="B5185" i="13"/>
  <c r="A5185" i="13"/>
  <c r="B5184" i="13"/>
  <c r="A5184" i="13"/>
  <c r="B5183" i="13"/>
  <c r="A5183" i="13"/>
  <c r="B5182" i="13"/>
  <c r="A5182" i="13"/>
  <c r="B5181" i="13"/>
  <c r="A5181" i="13"/>
  <c r="B5180" i="13"/>
  <c r="A5180" i="13"/>
  <c r="B5179" i="13"/>
  <c r="A5179" i="13"/>
  <c r="B5178" i="13"/>
  <c r="A5178" i="13"/>
  <c r="B5177" i="13"/>
  <c r="A5177" i="13"/>
  <c r="B5176" i="13"/>
  <c r="A5176" i="13"/>
  <c r="B5175" i="13"/>
  <c r="A5175" i="13"/>
  <c r="B5174" i="13"/>
  <c r="A5174" i="13"/>
  <c r="B5173" i="13"/>
  <c r="A5173" i="13"/>
  <c r="B5172" i="13"/>
  <c r="A5172" i="13"/>
  <c r="B5171" i="13"/>
  <c r="A5171" i="13"/>
  <c r="B5170" i="13"/>
  <c r="A5170" i="13"/>
  <c r="B5169" i="13"/>
  <c r="A5169" i="13"/>
  <c r="B5168" i="13"/>
  <c r="A5168" i="13"/>
  <c r="B5167" i="13"/>
  <c r="A5167" i="13"/>
  <c r="B5166" i="13"/>
  <c r="A5166" i="13"/>
  <c r="B5165" i="13"/>
  <c r="A5165" i="13"/>
  <c r="B5164" i="13"/>
  <c r="A5164" i="13"/>
  <c r="B5163" i="13"/>
  <c r="A5163" i="13"/>
  <c r="B5162" i="13"/>
  <c r="A5162" i="13"/>
  <c r="B5161" i="13"/>
  <c r="A5161" i="13"/>
  <c r="B5160" i="13"/>
  <c r="A5160" i="13"/>
  <c r="B5159" i="13"/>
  <c r="A5159" i="13"/>
  <c r="B5158" i="13"/>
  <c r="A5158" i="13"/>
  <c r="B5157" i="13"/>
  <c r="A5157" i="13"/>
  <c r="B5156" i="13"/>
  <c r="A5156" i="13"/>
  <c r="B5155" i="13"/>
  <c r="A5155" i="13"/>
  <c r="B5154" i="13"/>
  <c r="A5154" i="13"/>
  <c r="B5153" i="13"/>
  <c r="A5153" i="13"/>
  <c r="B5152" i="13"/>
  <c r="A5152" i="13"/>
  <c r="B5151" i="13"/>
  <c r="A5151" i="13"/>
  <c r="B5150" i="13"/>
  <c r="A5150" i="13"/>
  <c r="B5149" i="13"/>
  <c r="A5149" i="13"/>
  <c r="B5148" i="13"/>
  <c r="A5148" i="13"/>
  <c r="B5147" i="13"/>
  <c r="A5147" i="13"/>
  <c r="B5146" i="13"/>
  <c r="A5146" i="13"/>
  <c r="B5145" i="13"/>
  <c r="A5145" i="13"/>
  <c r="B5144" i="13"/>
  <c r="A5144" i="13"/>
  <c r="B5143" i="13"/>
  <c r="A5143" i="13"/>
  <c r="B5142" i="13"/>
  <c r="A5142" i="13"/>
  <c r="B5141" i="13"/>
  <c r="A5141" i="13"/>
  <c r="B5140" i="13"/>
  <c r="A5140" i="13"/>
  <c r="B5139" i="13"/>
  <c r="A5139" i="13"/>
  <c r="B5138" i="13"/>
  <c r="A5138" i="13"/>
  <c r="B5137" i="13"/>
  <c r="A5137" i="13"/>
  <c r="B5136" i="13"/>
  <c r="A5136" i="13"/>
  <c r="B5135" i="13"/>
  <c r="A5135" i="13"/>
  <c r="B5134" i="13"/>
  <c r="A5134" i="13"/>
  <c r="B5133" i="13"/>
  <c r="A5133" i="13"/>
  <c r="B5132" i="13"/>
  <c r="A5132" i="13"/>
  <c r="B5131" i="13"/>
  <c r="A5131" i="13"/>
  <c r="B5130" i="13"/>
  <c r="A5130" i="13"/>
  <c r="B5129" i="13"/>
  <c r="A5129" i="13"/>
  <c r="B5128" i="13"/>
  <c r="A5128" i="13"/>
  <c r="B5127" i="13"/>
  <c r="A5127" i="13"/>
  <c r="B5126" i="13"/>
  <c r="A5126" i="13"/>
  <c r="B5125" i="13"/>
  <c r="A5125" i="13"/>
  <c r="B5124" i="13"/>
  <c r="A5124" i="13"/>
  <c r="B5123" i="13"/>
  <c r="A5123" i="13"/>
  <c r="B5122" i="13"/>
  <c r="A5122" i="13"/>
  <c r="B5121" i="13"/>
  <c r="A5121" i="13"/>
  <c r="B5120" i="13"/>
  <c r="A5120" i="13"/>
  <c r="B5119" i="13"/>
  <c r="A5119" i="13"/>
  <c r="B5118" i="13"/>
  <c r="A5118" i="13"/>
  <c r="B5117" i="13"/>
  <c r="A5117" i="13"/>
  <c r="B5116" i="13"/>
  <c r="A5116" i="13"/>
  <c r="B5115" i="13"/>
  <c r="A5115" i="13"/>
  <c r="B5114" i="13"/>
  <c r="A5114" i="13"/>
  <c r="B5113" i="13"/>
  <c r="A5113" i="13"/>
  <c r="B5112" i="13"/>
  <c r="A5112" i="13"/>
  <c r="B5111" i="13"/>
  <c r="A5111" i="13"/>
  <c r="B5110" i="13"/>
  <c r="A5110" i="13"/>
  <c r="B5109" i="13"/>
  <c r="A5109" i="13"/>
  <c r="B5108" i="13"/>
  <c r="A5108" i="13"/>
  <c r="B5107" i="13"/>
  <c r="A5107" i="13"/>
  <c r="B5106" i="13"/>
  <c r="A5106" i="13"/>
  <c r="B5105" i="13"/>
  <c r="A5105" i="13"/>
  <c r="B5104" i="13"/>
  <c r="A5104" i="13"/>
  <c r="B5103" i="13"/>
  <c r="A5103" i="13"/>
  <c r="B5102" i="13"/>
  <c r="A5102" i="13"/>
  <c r="B5101" i="13"/>
  <c r="A5101" i="13"/>
  <c r="B5100" i="13"/>
  <c r="A5100" i="13"/>
  <c r="B5099" i="13"/>
  <c r="A5099" i="13"/>
  <c r="B5098" i="13"/>
  <c r="A5098" i="13"/>
  <c r="B5097" i="13"/>
  <c r="A5097" i="13"/>
  <c r="B5096" i="13"/>
  <c r="A5096" i="13"/>
  <c r="B5095" i="13"/>
  <c r="A5095" i="13"/>
  <c r="B5094" i="13"/>
  <c r="A5094" i="13"/>
  <c r="B5093" i="13"/>
  <c r="A5093" i="13"/>
  <c r="B5092" i="13"/>
  <c r="A5092" i="13"/>
  <c r="B5091" i="13"/>
  <c r="A5091" i="13"/>
  <c r="B5090" i="13"/>
  <c r="A5090" i="13"/>
  <c r="B5089" i="13"/>
  <c r="A5089" i="13"/>
  <c r="B5088" i="13"/>
  <c r="A5088" i="13"/>
  <c r="B5087" i="13"/>
  <c r="A5087" i="13"/>
  <c r="B5086" i="13"/>
  <c r="A5086" i="13"/>
  <c r="B5085" i="13"/>
  <c r="A5085" i="13"/>
  <c r="B5084" i="13"/>
  <c r="A5084" i="13"/>
  <c r="B5083" i="13"/>
  <c r="A5083" i="13"/>
  <c r="B5082" i="13"/>
  <c r="A5082" i="13"/>
  <c r="B5081" i="13"/>
  <c r="A5081" i="13"/>
  <c r="B5080" i="13"/>
  <c r="A5080" i="13"/>
  <c r="B5079" i="13"/>
  <c r="A5079" i="13"/>
  <c r="B5078" i="13"/>
  <c r="A5078" i="13"/>
  <c r="B5077" i="13"/>
  <c r="A5077" i="13"/>
  <c r="B5076" i="13"/>
  <c r="A5076" i="13"/>
  <c r="B5075" i="13"/>
  <c r="A5075" i="13"/>
  <c r="B5074" i="13"/>
  <c r="A5074" i="13"/>
  <c r="B5073" i="13"/>
  <c r="A5073" i="13"/>
  <c r="B5072" i="13"/>
  <c r="A5072" i="13"/>
  <c r="B5071" i="13"/>
  <c r="A5071" i="13"/>
  <c r="B5070" i="13"/>
  <c r="A5070" i="13"/>
  <c r="B5069" i="13"/>
  <c r="A5069" i="13"/>
  <c r="B5068" i="13"/>
  <c r="A5068" i="13"/>
  <c r="B5067" i="13"/>
  <c r="A5067" i="13"/>
  <c r="B5066" i="13"/>
  <c r="A5066" i="13"/>
  <c r="B5065" i="13"/>
  <c r="A5065" i="13"/>
  <c r="B5064" i="13"/>
  <c r="A5064" i="13"/>
  <c r="B5063" i="13"/>
  <c r="A5063" i="13"/>
  <c r="B5062" i="13"/>
  <c r="A5062" i="13"/>
  <c r="B5061" i="13"/>
  <c r="A5061" i="13"/>
  <c r="B5060" i="13"/>
  <c r="A5060" i="13"/>
  <c r="B5059" i="13"/>
  <c r="A5059" i="13"/>
  <c r="B5058" i="13"/>
  <c r="A5058" i="13"/>
  <c r="B5057" i="13"/>
  <c r="A5057" i="13"/>
  <c r="B5056" i="13"/>
  <c r="A5056" i="13"/>
  <c r="B5055" i="13"/>
  <c r="A5055" i="13"/>
  <c r="B5054" i="13"/>
  <c r="A5054" i="13"/>
  <c r="B5053" i="13"/>
  <c r="A5053" i="13"/>
  <c r="B5052" i="13"/>
  <c r="A5052" i="13"/>
  <c r="B5051" i="13"/>
  <c r="A5051" i="13"/>
  <c r="B5050" i="13"/>
  <c r="A5050" i="13"/>
  <c r="B5049" i="13"/>
  <c r="A5049" i="13"/>
  <c r="B5048" i="13"/>
  <c r="A5048" i="13"/>
  <c r="B5047" i="13"/>
  <c r="A5047" i="13"/>
  <c r="B5046" i="13"/>
  <c r="A5046" i="13"/>
  <c r="B5045" i="13"/>
  <c r="A5045" i="13"/>
  <c r="B5044" i="13"/>
  <c r="A5044" i="13"/>
  <c r="B5043" i="13"/>
  <c r="A5043" i="13"/>
  <c r="B5042" i="13"/>
  <c r="A5042" i="13"/>
  <c r="B5041" i="13"/>
  <c r="A5041" i="13"/>
  <c r="B5040" i="13"/>
  <c r="A5040" i="13"/>
  <c r="B5039" i="13"/>
  <c r="A5039" i="13"/>
  <c r="B5038" i="13"/>
  <c r="A5038" i="13"/>
  <c r="B5037" i="13"/>
  <c r="A5037" i="13"/>
  <c r="B5036" i="13"/>
  <c r="A5036" i="13"/>
  <c r="B5035" i="13"/>
  <c r="A5035" i="13"/>
  <c r="B5034" i="13"/>
  <c r="A5034" i="13"/>
  <c r="B5033" i="13"/>
  <c r="A5033" i="13"/>
  <c r="B5032" i="13"/>
  <c r="A5032" i="13"/>
  <c r="B5031" i="13"/>
  <c r="A5031" i="13"/>
  <c r="B5030" i="13"/>
  <c r="A5030" i="13"/>
  <c r="B5029" i="13"/>
  <c r="A5029" i="13"/>
  <c r="B5028" i="13"/>
  <c r="A5028" i="13"/>
  <c r="B5027" i="13"/>
  <c r="A5027" i="13"/>
  <c r="B5026" i="13"/>
  <c r="A5026" i="13"/>
  <c r="B5025" i="13"/>
  <c r="A5025" i="13"/>
  <c r="B5024" i="13"/>
  <c r="A5024" i="13"/>
  <c r="B5023" i="13"/>
  <c r="A5023" i="13"/>
  <c r="B5022" i="13"/>
  <c r="A5022" i="13"/>
  <c r="B5021" i="13"/>
  <c r="A5021" i="13"/>
  <c r="B5020" i="13"/>
  <c r="A5020" i="13"/>
  <c r="B5019" i="13"/>
  <c r="A5019" i="13"/>
  <c r="B5018" i="13"/>
  <c r="A5018" i="13"/>
  <c r="B5017" i="13"/>
  <c r="A5017" i="13"/>
  <c r="B5016" i="13"/>
  <c r="A5016" i="13"/>
  <c r="B5015" i="13"/>
  <c r="A5015" i="13"/>
  <c r="B5014" i="13"/>
  <c r="A5014" i="13"/>
  <c r="B5013" i="13"/>
  <c r="A5013" i="13"/>
  <c r="B5012" i="13"/>
  <c r="A5012" i="13"/>
  <c r="B5011" i="13"/>
  <c r="A5011" i="13"/>
  <c r="B5010" i="13"/>
  <c r="A5010" i="13"/>
  <c r="B5009" i="13"/>
  <c r="A5009" i="13"/>
  <c r="B5008" i="13"/>
  <c r="A5008" i="13"/>
  <c r="B5007" i="13"/>
  <c r="A5007" i="13"/>
  <c r="B5006" i="13"/>
  <c r="A5006" i="13"/>
  <c r="B5005" i="13"/>
  <c r="A5005" i="13"/>
  <c r="B5004" i="13"/>
  <c r="A5004" i="13"/>
  <c r="B5003" i="13"/>
  <c r="A5003" i="13"/>
  <c r="B5002" i="13"/>
  <c r="A5002" i="13"/>
  <c r="B5001" i="13"/>
  <c r="A5001" i="13"/>
  <c r="B393" i="13"/>
  <c r="A393" i="13"/>
  <c r="L334" i="24" l="1"/>
  <c r="L320" i="24"/>
  <c r="L319" i="24"/>
  <c r="L318" i="24"/>
  <c r="L317" i="24"/>
  <c r="L316" i="24"/>
  <c r="L315" i="24"/>
  <c r="L314" i="24"/>
  <c r="L313" i="24"/>
  <c r="L312" i="24"/>
  <c r="L311" i="24"/>
  <c r="L310" i="24"/>
  <c r="L309" i="24"/>
  <c r="L308" i="24"/>
  <c r="L307" i="24"/>
  <c r="L306" i="24"/>
  <c r="L305" i="24"/>
  <c r="L304" i="24"/>
  <c r="L303" i="24"/>
  <c r="L302" i="24"/>
  <c r="L301" i="24"/>
  <c r="AF2" i="1" l="1"/>
  <c r="AI2" i="1" l="1"/>
  <c r="AH2" i="1"/>
  <c r="AJ2" i="1"/>
  <c r="AG2" i="1"/>
  <c r="J46" i="8" l="1"/>
  <c r="I46" i="8"/>
  <c r="H46" i="8"/>
  <c r="G46" i="8"/>
  <c r="F46" i="8"/>
  <c r="E46" i="8"/>
  <c r="D46" i="8"/>
  <c r="C46" i="8"/>
  <c r="J43" i="8"/>
  <c r="I43" i="8"/>
  <c r="H43" i="8"/>
  <c r="G43" i="8"/>
  <c r="F43" i="8"/>
  <c r="E43" i="8"/>
  <c r="D43" i="8"/>
  <c r="C43" i="8"/>
  <c r="J40" i="8"/>
  <c r="I40" i="8"/>
  <c r="H40" i="8"/>
  <c r="G40" i="8"/>
  <c r="F40" i="8"/>
  <c r="E40" i="8"/>
  <c r="D40" i="8"/>
  <c r="C40" i="8"/>
  <c r="J37" i="8"/>
  <c r="I37" i="8"/>
  <c r="H37" i="8"/>
  <c r="G37" i="8"/>
  <c r="F37" i="8"/>
  <c r="E37" i="8"/>
  <c r="D37" i="8"/>
  <c r="C37" i="8"/>
  <c r="J34" i="8"/>
  <c r="I34" i="8"/>
  <c r="H34" i="8"/>
  <c r="G34" i="8"/>
  <c r="F34" i="8"/>
  <c r="E34" i="8"/>
  <c r="D34" i="8"/>
  <c r="C34" i="8"/>
  <c r="J31" i="8"/>
  <c r="I31" i="8"/>
  <c r="H31" i="8"/>
  <c r="G31" i="8"/>
  <c r="F31" i="8"/>
  <c r="E31" i="8"/>
  <c r="D31" i="8"/>
  <c r="C31" i="8"/>
  <c r="J28" i="8"/>
  <c r="I28" i="8"/>
  <c r="H28" i="8"/>
  <c r="G28" i="8"/>
  <c r="F28" i="8"/>
  <c r="E28" i="8"/>
  <c r="D28" i="8"/>
  <c r="C28" i="8"/>
  <c r="J25" i="8"/>
  <c r="I25" i="8"/>
  <c r="H25" i="8"/>
  <c r="G25" i="8"/>
  <c r="F25" i="8"/>
  <c r="E25" i="8"/>
  <c r="D25" i="8"/>
  <c r="C25" i="8"/>
  <c r="J22" i="8"/>
  <c r="I22" i="8"/>
  <c r="H22" i="8"/>
  <c r="G22" i="8"/>
  <c r="F22" i="8"/>
  <c r="E22" i="8"/>
  <c r="D22" i="8"/>
  <c r="C22" i="8"/>
  <c r="J19" i="8"/>
  <c r="I19" i="8"/>
  <c r="H19" i="8"/>
  <c r="G19" i="8"/>
  <c r="F19" i="8"/>
  <c r="E19" i="8"/>
  <c r="D19" i="8"/>
  <c r="C19" i="8"/>
  <c r="J16" i="8"/>
  <c r="I16" i="8"/>
  <c r="H16" i="8"/>
  <c r="G16" i="8"/>
  <c r="F16" i="8"/>
  <c r="E16" i="8"/>
  <c r="D16" i="8"/>
  <c r="C16" i="8"/>
  <c r="J13" i="8"/>
  <c r="I13" i="8"/>
  <c r="H13" i="8"/>
  <c r="G13" i="8"/>
  <c r="F13" i="8"/>
  <c r="E13" i="8"/>
  <c r="D13" i="8"/>
  <c r="C13" i="8"/>
  <c r="J10" i="8"/>
  <c r="I10" i="8"/>
  <c r="H10" i="8"/>
  <c r="G10" i="8"/>
  <c r="F10" i="8"/>
  <c r="E10" i="8"/>
  <c r="D10" i="8"/>
  <c r="C10" i="8"/>
  <c r="J7" i="8"/>
  <c r="I7" i="8"/>
  <c r="H7" i="8"/>
  <c r="G7" i="8"/>
  <c r="F7" i="8"/>
  <c r="E7" i="8"/>
  <c r="D7" i="8"/>
  <c r="C7" i="8"/>
  <c r="J4" i="8"/>
  <c r="I4" i="8"/>
  <c r="H4" i="8"/>
  <c r="G4" i="8"/>
  <c r="F4" i="8"/>
  <c r="E4" i="8"/>
  <c r="D4" i="8"/>
  <c r="C4" i="8"/>
  <c r="J45" i="8"/>
  <c r="I45" i="8"/>
  <c r="H45" i="8"/>
  <c r="G45" i="8"/>
  <c r="F45" i="8"/>
  <c r="E45" i="8"/>
  <c r="D45" i="8"/>
  <c r="C45" i="8"/>
  <c r="J42" i="8"/>
  <c r="I42" i="8"/>
  <c r="H42" i="8"/>
  <c r="G42" i="8"/>
  <c r="F42" i="8"/>
  <c r="E42" i="8"/>
  <c r="D42" i="8"/>
  <c r="C42" i="8"/>
  <c r="J39" i="8"/>
  <c r="I39" i="8"/>
  <c r="H39" i="8"/>
  <c r="G39" i="8"/>
  <c r="F39" i="8"/>
  <c r="E39" i="8"/>
  <c r="D39" i="8"/>
  <c r="C39" i="8"/>
  <c r="J36" i="8"/>
  <c r="I36" i="8"/>
  <c r="H36" i="8"/>
  <c r="G36" i="8"/>
  <c r="F36" i="8"/>
  <c r="E36" i="8"/>
  <c r="D36" i="8"/>
  <c r="C36" i="8"/>
  <c r="J33" i="8"/>
  <c r="I33" i="8"/>
  <c r="H33" i="8"/>
  <c r="G33" i="8"/>
  <c r="F33" i="8"/>
  <c r="E33" i="8"/>
  <c r="D33" i="8"/>
  <c r="C33" i="8"/>
  <c r="J30" i="8"/>
  <c r="I30" i="8"/>
  <c r="H30" i="8"/>
  <c r="G30" i="8"/>
  <c r="F30" i="8"/>
  <c r="E30" i="8"/>
  <c r="D30" i="8"/>
  <c r="C30" i="8"/>
  <c r="J27" i="8"/>
  <c r="I27" i="8"/>
  <c r="H27" i="8"/>
  <c r="G27" i="8"/>
  <c r="F27" i="8"/>
  <c r="E27" i="8"/>
  <c r="D27" i="8"/>
  <c r="C27" i="8"/>
  <c r="J24" i="8"/>
  <c r="I24" i="8"/>
  <c r="H24" i="8"/>
  <c r="G24" i="8"/>
  <c r="F24" i="8"/>
  <c r="E24" i="8"/>
  <c r="D24" i="8"/>
  <c r="C24" i="8"/>
  <c r="J21" i="8"/>
  <c r="I21" i="8"/>
  <c r="H21" i="8"/>
  <c r="G21" i="8"/>
  <c r="F21" i="8"/>
  <c r="E21" i="8"/>
  <c r="D21" i="8"/>
  <c r="C21" i="8"/>
  <c r="J18" i="8"/>
  <c r="I18" i="8"/>
  <c r="H18" i="8"/>
  <c r="G18" i="8"/>
  <c r="F18" i="8"/>
  <c r="E18" i="8"/>
  <c r="D18" i="8"/>
  <c r="C18" i="8"/>
  <c r="J15" i="8"/>
  <c r="I15" i="8"/>
  <c r="H15" i="8"/>
  <c r="G15" i="8"/>
  <c r="F15" i="8"/>
  <c r="E15" i="8"/>
  <c r="D15" i="8"/>
  <c r="C15" i="8"/>
  <c r="J12" i="8"/>
  <c r="I12" i="8"/>
  <c r="H12" i="8"/>
  <c r="G12" i="8"/>
  <c r="F12" i="8"/>
  <c r="E12" i="8"/>
  <c r="D12" i="8"/>
  <c r="C12" i="8"/>
  <c r="J9" i="8"/>
  <c r="I9" i="8"/>
  <c r="H9" i="8"/>
  <c r="G9" i="8"/>
  <c r="F9" i="8"/>
  <c r="E9" i="8"/>
  <c r="D9" i="8"/>
  <c r="C9" i="8"/>
  <c r="J6" i="8"/>
  <c r="I6" i="8"/>
  <c r="H6" i="8"/>
  <c r="G6" i="8"/>
  <c r="F6" i="8"/>
  <c r="E6" i="8"/>
  <c r="D6" i="8"/>
  <c r="C6" i="8"/>
  <c r="J3" i="8"/>
  <c r="I3" i="8"/>
  <c r="H3" i="8"/>
  <c r="G3" i="8"/>
  <c r="F3" i="8"/>
  <c r="E3" i="8"/>
  <c r="D3" i="8"/>
  <c r="C3" i="8"/>
  <c r="J44" i="8"/>
  <c r="I44" i="8"/>
  <c r="H44" i="8"/>
  <c r="G44" i="8"/>
  <c r="F44" i="8"/>
  <c r="E44" i="8"/>
  <c r="D44" i="8"/>
  <c r="C44" i="8"/>
  <c r="J41" i="8"/>
  <c r="I41" i="8"/>
  <c r="H41" i="8"/>
  <c r="G41" i="8"/>
  <c r="F41" i="8"/>
  <c r="E41" i="8"/>
  <c r="D41" i="8"/>
  <c r="C41" i="8"/>
  <c r="J38" i="8"/>
  <c r="I38" i="8"/>
  <c r="H38" i="8"/>
  <c r="G38" i="8"/>
  <c r="F38" i="8"/>
  <c r="E38" i="8"/>
  <c r="D38" i="8"/>
  <c r="C38" i="8"/>
  <c r="J35" i="8"/>
  <c r="I35" i="8"/>
  <c r="H35" i="8"/>
  <c r="G35" i="8"/>
  <c r="F35" i="8"/>
  <c r="E35" i="8"/>
  <c r="D35" i="8"/>
  <c r="C35" i="8"/>
  <c r="J32" i="8"/>
  <c r="I32" i="8"/>
  <c r="H32" i="8"/>
  <c r="G32" i="8"/>
  <c r="F32" i="8"/>
  <c r="E32" i="8"/>
  <c r="D32" i="8"/>
  <c r="C32" i="8"/>
  <c r="J29" i="8"/>
  <c r="I29" i="8"/>
  <c r="H29" i="8"/>
  <c r="G29" i="8"/>
  <c r="F29" i="8"/>
  <c r="E29" i="8"/>
  <c r="D29" i="8"/>
  <c r="C29" i="8"/>
  <c r="J26" i="8"/>
  <c r="I26" i="8"/>
  <c r="H26" i="8"/>
  <c r="G26" i="8"/>
  <c r="F26" i="8"/>
  <c r="E26" i="8"/>
  <c r="D26" i="8"/>
  <c r="C26" i="8"/>
  <c r="J23" i="8"/>
  <c r="I23" i="8"/>
  <c r="H23" i="8"/>
  <c r="G23" i="8"/>
  <c r="F23" i="8"/>
  <c r="E23" i="8"/>
  <c r="D23" i="8"/>
  <c r="C23" i="8"/>
  <c r="J20" i="8"/>
  <c r="I20" i="8"/>
  <c r="H20" i="8"/>
  <c r="G20" i="8"/>
  <c r="F20" i="8"/>
  <c r="E20" i="8"/>
  <c r="D20" i="8"/>
  <c r="C20" i="8"/>
  <c r="J17" i="8"/>
  <c r="I17" i="8"/>
  <c r="H17" i="8"/>
  <c r="G17" i="8"/>
  <c r="F17" i="8"/>
  <c r="E17" i="8"/>
  <c r="D17" i="8"/>
  <c r="C17" i="8"/>
  <c r="J14" i="8"/>
  <c r="I14" i="8"/>
  <c r="H14" i="8"/>
  <c r="G14" i="8"/>
  <c r="F14" i="8"/>
  <c r="E14" i="8"/>
  <c r="D14" i="8"/>
  <c r="C14" i="8"/>
  <c r="J11" i="8"/>
  <c r="I11" i="8"/>
  <c r="H11" i="8"/>
  <c r="G11" i="8"/>
  <c r="F11" i="8"/>
  <c r="E11" i="8"/>
  <c r="D11" i="8"/>
  <c r="C11" i="8"/>
  <c r="J8" i="8"/>
  <c r="I8" i="8"/>
  <c r="H8" i="8"/>
  <c r="G8" i="8"/>
  <c r="F8" i="8"/>
  <c r="E8" i="8"/>
  <c r="D8" i="8"/>
  <c r="C8" i="8"/>
  <c r="J5" i="8"/>
  <c r="I5" i="8"/>
  <c r="H5" i="8"/>
  <c r="G5" i="8"/>
  <c r="F5" i="8"/>
  <c r="E5" i="8"/>
  <c r="D5" i="8"/>
  <c r="C5" i="8"/>
  <c r="J2" i="8"/>
  <c r="I2" i="8"/>
  <c r="H2" i="8"/>
  <c r="G2" i="8"/>
  <c r="F2" i="8"/>
  <c r="E2" i="8"/>
  <c r="D2" i="8"/>
  <c r="C2" i="8"/>
  <c r="C12" i="23" l="1"/>
  <c r="C11" i="23"/>
  <c r="C8" i="23"/>
  <c r="C7" i="23"/>
  <c r="AD1" i="1"/>
  <c r="T1" i="1" l="1"/>
  <c r="W38" i="1"/>
  <c r="W16" i="1" l="1"/>
  <c r="W15" i="1"/>
  <c r="W3" i="1"/>
  <c r="O37" i="1" l="1"/>
  <c r="L10" i="24"/>
  <c r="L217" i="24"/>
  <c r="L155" i="24"/>
  <c r="L9" i="24"/>
  <c r="L7" i="24"/>
  <c r="L184" i="24"/>
  <c r="L91" i="24"/>
  <c r="L102" i="24"/>
  <c r="L81" i="24"/>
  <c r="L3" i="24"/>
  <c r="L113" i="24"/>
  <c r="L180" i="24"/>
  <c r="L87" i="24"/>
  <c r="L25" i="24" l="1"/>
  <c r="L5" i="24"/>
  <c r="L106" i="24"/>
  <c r="H1517" i="18" l="1"/>
  <c r="H886" i="18" l="1"/>
  <c r="H611" i="18"/>
  <c r="T23" i="1" l="1"/>
  <c r="O23" i="1"/>
  <c r="V23" i="1"/>
  <c r="U23" i="1"/>
  <c r="P23" i="1"/>
  <c r="Q23" i="1"/>
  <c r="N1" i="3" l="1"/>
  <c r="A3" i="23" l="1"/>
  <c r="V34" i="1" l="1"/>
  <c r="N1420" i="19" l="1"/>
  <c r="N1414" i="19"/>
  <c r="N1210" i="19"/>
  <c r="N1191" i="19"/>
  <c r="N1102" i="19"/>
  <c r="N1016" i="19"/>
  <c r="L10" i="19"/>
  <c r="L535" i="19"/>
  <c r="L945" i="19"/>
  <c r="L1519" i="19"/>
  <c r="L1518" i="19"/>
  <c r="L141" i="19"/>
  <c r="L1517" i="19"/>
  <c r="L1516" i="19"/>
  <c r="L718" i="19"/>
  <c r="L1515" i="19"/>
  <c r="L1514" i="19"/>
  <c r="L717" i="19"/>
  <c r="L413" i="19"/>
  <c r="L1513" i="19"/>
  <c r="L153" i="19"/>
  <c r="L1512" i="19"/>
  <c r="L1511" i="19"/>
  <c r="L1510" i="19"/>
  <c r="L1509" i="19"/>
  <c r="L1508" i="19"/>
  <c r="L1507" i="19"/>
  <c r="L284" i="19"/>
  <c r="L1506" i="19"/>
  <c r="L1505" i="19"/>
  <c r="L35" i="19"/>
  <c r="L1504" i="19"/>
  <c r="L1503" i="19"/>
  <c r="L1502" i="19"/>
  <c r="L1501" i="19"/>
  <c r="L1500" i="19"/>
  <c r="L1499" i="19"/>
  <c r="L1498" i="19"/>
  <c r="L1497" i="19"/>
  <c r="L337" i="19"/>
  <c r="L1496" i="19"/>
  <c r="L1495" i="19"/>
  <c r="L1494" i="19"/>
  <c r="L1493" i="19"/>
  <c r="L1492" i="19"/>
  <c r="L112" i="19"/>
  <c r="L944" i="19"/>
  <c r="L1491" i="19"/>
  <c r="L943" i="19"/>
  <c r="L1490" i="19"/>
  <c r="L1489" i="19"/>
  <c r="L1488" i="19"/>
  <c r="L716" i="19"/>
  <c r="L1487" i="19"/>
  <c r="L1486" i="19"/>
  <c r="L1485" i="19"/>
  <c r="L1484" i="19"/>
  <c r="L1483" i="19"/>
  <c r="L1482" i="19"/>
  <c r="L1481" i="19"/>
  <c r="L1480" i="19"/>
  <c r="L1479" i="19"/>
  <c r="L1478" i="19"/>
  <c r="L1477" i="19"/>
  <c r="L1476" i="19"/>
  <c r="L121" i="19"/>
  <c r="L1475" i="19"/>
  <c r="L1474" i="19"/>
  <c r="L715" i="19"/>
  <c r="L1473" i="19"/>
  <c r="L1472" i="19"/>
  <c r="L607" i="19"/>
  <c r="L714" i="19"/>
  <c r="L1471" i="19"/>
  <c r="L1470" i="19"/>
  <c r="L1469" i="19"/>
  <c r="L1468" i="19"/>
  <c r="L1467" i="19"/>
  <c r="L1466" i="19"/>
  <c r="L713" i="19"/>
  <c r="L236" i="19"/>
  <c r="L1465" i="19"/>
  <c r="L712" i="19"/>
  <c r="L92" i="19"/>
  <c r="L1464" i="19"/>
  <c r="L1463" i="19"/>
  <c r="L1462" i="19"/>
  <c r="L1461" i="19"/>
  <c r="L711" i="19"/>
  <c r="L1460" i="19"/>
  <c r="L277" i="19"/>
  <c r="L1459" i="19"/>
  <c r="L1458" i="19"/>
  <c r="L510" i="19"/>
  <c r="L534" i="19"/>
  <c r="L1457" i="19"/>
  <c r="L1456" i="19"/>
  <c r="L1455" i="19"/>
  <c r="L91" i="19"/>
  <c r="L1454" i="19"/>
  <c r="L710" i="19"/>
  <c r="L1453" i="19"/>
  <c r="L1452" i="19"/>
  <c r="L1451" i="19"/>
  <c r="L1450" i="19"/>
  <c r="L1449" i="19"/>
  <c r="L1448" i="19"/>
  <c r="L1447" i="19"/>
  <c r="L1446" i="19"/>
  <c r="L533" i="19"/>
  <c r="L983" i="19"/>
  <c r="L1445" i="19"/>
  <c r="L606" i="19"/>
  <c r="L1444" i="19"/>
  <c r="L1443" i="19"/>
  <c r="L1442" i="19"/>
  <c r="L1441" i="19"/>
  <c r="L1440" i="19"/>
  <c r="L1439" i="19"/>
  <c r="L982" i="19"/>
  <c r="L1438" i="19"/>
  <c r="L1437" i="19"/>
  <c r="L1436" i="19"/>
  <c r="L942" i="19"/>
  <c r="L290" i="19"/>
  <c r="L1435" i="19"/>
  <c r="L1434" i="19"/>
  <c r="L1433" i="19"/>
  <c r="L1432" i="19"/>
  <c r="L1431" i="19"/>
  <c r="L1430" i="19"/>
  <c r="L1429" i="19"/>
  <c r="L509" i="19"/>
  <c r="L1428" i="19"/>
  <c r="L1427" i="19"/>
  <c r="L540" i="19"/>
  <c r="L941" i="19"/>
  <c r="L1426" i="19"/>
  <c r="L1425" i="19"/>
  <c r="L1424" i="19"/>
  <c r="L1423" i="19"/>
  <c r="L940" i="19"/>
  <c r="L939" i="19"/>
  <c r="L709" i="19"/>
  <c r="L605" i="19"/>
  <c r="L1422" i="19"/>
  <c r="L4" i="19"/>
  <c r="L1421" i="19"/>
  <c r="L1420" i="19"/>
  <c r="L1419" i="19"/>
  <c r="L1418" i="19"/>
  <c r="L412" i="19"/>
  <c r="L508" i="19"/>
  <c r="L938" i="19"/>
  <c r="L1417" i="19"/>
  <c r="L1416" i="19"/>
  <c r="L67" i="19"/>
  <c r="L1415" i="19"/>
  <c r="L1414" i="19"/>
  <c r="L1413" i="19"/>
  <c r="L1412" i="19"/>
  <c r="L604" i="19"/>
  <c r="L178" i="19"/>
  <c r="L1411" i="19"/>
  <c r="L1410" i="19"/>
  <c r="L1409" i="19"/>
  <c r="L1408" i="19"/>
  <c r="L1407" i="19"/>
  <c r="L1406" i="19"/>
  <c r="L1405" i="19"/>
  <c r="L1404" i="19"/>
  <c r="L1403" i="19"/>
  <c r="L1402" i="19"/>
  <c r="L1401" i="19"/>
  <c r="L1400" i="19"/>
  <c r="L1399" i="19"/>
  <c r="L507" i="19"/>
  <c r="L981" i="19"/>
  <c r="L1398" i="19"/>
  <c r="L1397" i="19"/>
  <c r="L1396" i="19"/>
  <c r="L1395" i="19"/>
  <c r="L411" i="19"/>
  <c r="L1394" i="19"/>
  <c r="L728" i="19"/>
  <c r="L1393" i="19"/>
  <c r="L1392" i="19"/>
  <c r="L1391" i="19"/>
  <c r="L708" i="19"/>
  <c r="L1390" i="19"/>
  <c r="L1389" i="19"/>
  <c r="L1388" i="19"/>
  <c r="L532" i="19"/>
  <c r="L1387" i="19"/>
  <c r="L1386" i="19"/>
  <c r="L1385" i="19"/>
  <c r="L1384" i="19"/>
  <c r="L603" i="19"/>
  <c r="L707" i="19"/>
  <c r="L937" i="19"/>
  <c r="L1383" i="19"/>
  <c r="L1382" i="19"/>
  <c r="L1381" i="19"/>
  <c r="L1380" i="19"/>
  <c r="L803" i="19"/>
  <c r="L936" i="19"/>
  <c r="L1379" i="19"/>
  <c r="L237" i="19"/>
  <c r="L276" i="19"/>
  <c r="L436" i="19"/>
  <c r="L1378" i="19"/>
  <c r="L951" i="19"/>
  <c r="L1377" i="19"/>
  <c r="L1376" i="19"/>
  <c r="L980" i="19"/>
  <c r="L1375" i="19"/>
  <c r="L1374" i="19"/>
  <c r="L1373" i="19"/>
  <c r="L935" i="19"/>
  <c r="L1372" i="19"/>
  <c r="L1371" i="19"/>
  <c r="L602" i="19"/>
  <c r="L1370" i="19"/>
  <c r="L1369" i="19"/>
  <c r="L1368" i="19"/>
  <c r="L1367" i="19"/>
  <c r="L1366" i="19"/>
  <c r="L1365" i="19"/>
  <c r="L1364" i="19"/>
  <c r="L1363" i="19"/>
  <c r="L979" i="19"/>
  <c r="L1362" i="19"/>
  <c r="L1361" i="19"/>
  <c r="L1360" i="19"/>
  <c r="L1359" i="19"/>
  <c r="L1358" i="19"/>
  <c r="L1357" i="19"/>
  <c r="L1356" i="19"/>
  <c r="L1355" i="19"/>
  <c r="L1354" i="19"/>
  <c r="L706" i="19"/>
  <c r="L802" i="19"/>
  <c r="L1353" i="19"/>
  <c r="L1352" i="19"/>
  <c r="L1351" i="19"/>
  <c r="L801" i="19"/>
  <c r="L1350" i="19"/>
  <c r="L705" i="19"/>
  <c r="L1349" i="19"/>
  <c r="L1348" i="19"/>
  <c r="L1347" i="19"/>
  <c r="L1346" i="19"/>
  <c r="L1345" i="19"/>
  <c r="L1344" i="19"/>
  <c r="L151" i="19"/>
  <c r="L1343" i="19"/>
  <c r="L1342" i="19"/>
  <c r="L1341" i="19"/>
  <c r="L601" i="19"/>
  <c r="L1340" i="19"/>
  <c r="L978" i="19"/>
  <c r="L1339" i="19"/>
  <c r="L800" i="19"/>
  <c r="L1338" i="19"/>
  <c r="L220" i="19"/>
  <c r="L1337" i="19"/>
  <c r="L80" i="19"/>
  <c r="L1336" i="19"/>
  <c r="L1335" i="19"/>
  <c r="L531" i="19"/>
  <c r="L1334" i="19"/>
  <c r="L1333" i="19"/>
  <c r="L1332" i="19"/>
  <c r="L1331" i="19"/>
  <c r="L1330" i="19"/>
  <c r="L1329" i="19"/>
  <c r="L1328" i="19"/>
  <c r="L1327" i="19"/>
  <c r="L1326" i="19"/>
  <c r="L336" i="19"/>
  <c r="L1325" i="19"/>
  <c r="L1324" i="19"/>
  <c r="L615" i="19"/>
  <c r="L1323" i="19"/>
  <c r="L335" i="19"/>
  <c r="L1322" i="19"/>
  <c r="L1321" i="19"/>
  <c r="L1320" i="19"/>
  <c r="L1319" i="19"/>
  <c r="L1318" i="19"/>
  <c r="L1317" i="19"/>
  <c r="L334" i="19"/>
  <c r="L1316" i="19"/>
  <c r="L1315" i="19"/>
  <c r="L947" i="19"/>
  <c r="L1314" i="19"/>
  <c r="L1313" i="19"/>
  <c r="L114" i="19"/>
  <c r="L600" i="19"/>
  <c r="L1312" i="19"/>
  <c r="L506" i="19"/>
  <c r="L1311" i="19"/>
  <c r="L1310" i="19"/>
  <c r="L977" i="19"/>
  <c r="L1309" i="19"/>
  <c r="L934" i="19"/>
  <c r="L505" i="19"/>
  <c r="L1308" i="19"/>
  <c r="L1307" i="19"/>
  <c r="L1306" i="19"/>
  <c r="L1305" i="19"/>
  <c r="L1304" i="19"/>
  <c r="L1303" i="19"/>
  <c r="L1302" i="19"/>
  <c r="L704" i="19"/>
  <c r="L1301" i="19"/>
  <c r="L1300" i="19"/>
  <c r="L1299" i="19"/>
  <c r="L1298" i="19"/>
  <c r="L1297" i="19"/>
  <c r="L933" i="19"/>
  <c r="L1296" i="19"/>
  <c r="L1295" i="19"/>
  <c r="L1294" i="19"/>
  <c r="L1293" i="19"/>
  <c r="L1292" i="19"/>
  <c r="L504" i="19"/>
  <c r="L932" i="19"/>
  <c r="L931" i="19"/>
  <c r="L930" i="19"/>
  <c r="L1291" i="19"/>
  <c r="L1290" i="19"/>
  <c r="L737" i="19"/>
  <c r="L1289" i="19"/>
  <c r="L1288" i="19"/>
  <c r="L1287" i="19"/>
  <c r="L1286" i="19"/>
  <c r="L1285" i="19"/>
  <c r="L1284" i="19"/>
  <c r="L1283" i="19"/>
  <c r="L547" i="19"/>
  <c r="L1282" i="19"/>
  <c r="L1281" i="19"/>
  <c r="L1280" i="19"/>
  <c r="L1279" i="19"/>
  <c r="L703" i="19"/>
  <c r="L799" i="19"/>
  <c r="L929" i="19"/>
  <c r="L503" i="19"/>
  <c r="L928" i="19"/>
  <c r="L275" i="19"/>
  <c r="L410" i="19"/>
  <c r="L140" i="19"/>
  <c r="L1278" i="19"/>
  <c r="L927" i="19"/>
  <c r="L1277" i="19"/>
  <c r="L798" i="19"/>
  <c r="L435" i="19"/>
  <c r="L1276" i="19"/>
  <c r="L1275" i="19"/>
  <c r="L1274" i="19"/>
  <c r="L1273" i="19"/>
  <c r="L926" i="19"/>
  <c r="L502" i="19"/>
  <c r="L434" i="19"/>
  <c r="L1272" i="19"/>
  <c r="L1271" i="19"/>
  <c r="L1270" i="19"/>
  <c r="L1269" i="19"/>
  <c r="L1268" i="19"/>
  <c r="L599" i="19"/>
  <c r="L409" i="19"/>
  <c r="L1267" i="19"/>
  <c r="L1266" i="19"/>
  <c r="L1265" i="19"/>
  <c r="L177" i="19"/>
  <c r="L1264" i="19"/>
  <c r="L1263" i="19"/>
  <c r="L925" i="19"/>
  <c r="L1262" i="19"/>
  <c r="L924" i="19"/>
  <c r="L1261" i="19"/>
  <c r="L797" i="19"/>
  <c r="L1260" i="19"/>
  <c r="L1259" i="19"/>
  <c r="L1258" i="19"/>
  <c r="L1257" i="19"/>
  <c r="L1256" i="19"/>
  <c r="L796" i="19"/>
  <c r="L1255" i="19"/>
  <c r="L1254" i="19"/>
  <c r="L1253" i="19"/>
  <c r="L1252" i="19"/>
  <c r="L1251" i="19"/>
  <c r="L1250" i="19"/>
  <c r="L1249" i="19"/>
  <c r="L1248" i="19"/>
  <c r="L923" i="19"/>
  <c r="L1247" i="19"/>
  <c r="L1246" i="19"/>
  <c r="L1245" i="19"/>
  <c r="L1244" i="19"/>
  <c r="L1243" i="19"/>
  <c r="L539" i="19"/>
  <c r="L1242" i="19"/>
  <c r="L1241" i="19"/>
  <c r="L1240" i="19"/>
  <c r="L1239" i="19"/>
  <c r="L1238" i="19"/>
  <c r="L1237" i="19"/>
  <c r="L1236" i="19"/>
  <c r="L1235" i="19"/>
  <c r="L1234" i="19"/>
  <c r="L1233" i="19"/>
  <c r="L727" i="19"/>
  <c r="L598" i="19"/>
  <c r="L1232" i="19"/>
  <c r="L614" i="19"/>
  <c r="L922" i="19"/>
  <c r="L1231" i="19"/>
  <c r="L1230" i="19"/>
  <c r="L1229" i="19"/>
  <c r="L1228" i="19"/>
  <c r="L1227" i="19"/>
  <c r="L1226" i="19"/>
  <c r="L176" i="19"/>
  <c r="L70" i="19"/>
  <c r="L976" i="19"/>
  <c r="L408" i="19"/>
  <c r="L1225" i="19"/>
  <c r="L1224" i="19"/>
  <c r="L501" i="19"/>
  <c r="L1223" i="19"/>
  <c r="L1222" i="19"/>
  <c r="L795" i="19"/>
  <c r="L726" i="19"/>
  <c r="L702" i="19"/>
  <c r="L1221" i="19"/>
  <c r="L1220" i="19"/>
  <c r="L921" i="19"/>
  <c r="L1219" i="19"/>
  <c r="L1218" i="19"/>
  <c r="L1217" i="19"/>
  <c r="L1216" i="19"/>
  <c r="L1215" i="19"/>
  <c r="L1214" i="19"/>
  <c r="L1213" i="19"/>
  <c r="L794" i="19"/>
  <c r="L920" i="19"/>
  <c r="L975" i="19"/>
  <c r="L1212" i="19"/>
  <c r="L1211" i="19"/>
  <c r="L919" i="19"/>
  <c r="L1210" i="19"/>
  <c r="L1209" i="19"/>
  <c r="L1208" i="19"/>
  <c r="L597" i="19"/>
  <c r="L701" i="19"/>
  <c r="L530" i="19"/>
  <c r="L1207" i="19"/>
  <c r="L700" i="19"/>
  <c r="L407" i="19"/>
  <c r="L918" i="19"/>
  <c r="L1206" i="19"/>
  <c r="L1205" i="19"/>
  <c r="L1204" i="19"/>
  <c r="L500" i="19"/>
  <c r="L1203" i="19"/>
  <c r="L917" i="19"/>
  <c r="L1202" i="19"/>
  <c r="L793" i="19"/>
  <c r="L1201" i="19"/>
  <c r="L235" i="19"/>
  <c r="L139" i="19"/>
  <c r="L359" i="19"/>
  <c r="L792" i="19"/>
  <c r="L1200" i="19"/>
  <c r="L406" i="19"/>
  <c r="L1199" i="19"/>
  <c r="L1198" i="19"/>
  <c r="L1197" i="19"/>
  <c r="L916" i="19"/>
  <c r="L699" i="19"/>
  <c r="L150" i="19"/>
  <c r="L1196" i="19"/>
  <c r="L1195" i="19"/>
  <c r="L1194" i="19"/>
  <c r="L219" i="19"/>
  <c r="L791" i="19"/>
  <c r="L1193" i="19"/>
  <c r="L1192" i="19"/>
  <c r="L1191" i="19"/>
  <c r="L1190" i="19"/>
  <c r="L1189" i="19"/>
  <c r="L1188" i="19"/>
  <c r="L915" i="19"/>
  <c r="L333" i="19"/>
  <c r="L1187" i="19"/>
  <c r="L698" i="19"/>
  <c r="L914" i="19"/>
  <c r="L1186" i="19"/>
  <c r="L1185" i="19"/>
  <c r="L1184" i="19"/>
  <c r="L1183" i="19"/>
  <c r="L1182" i="19"/>
  <c r="L1181" i="19"/>
  <c r="L1180" i="19"/>
  <c r="L1179" i="19"/>
  <c r="L1178" i="19"/>
  <c r="L974" i="19"/>
  <c r="L1177" i="19"/>
  <c r="L1176" i="19"/>
  <c r="L1175" i="19"/>
  <c r="L596" i="19"/>
  <c r="L1174" i="19"/>
  <c r="L1173" i="19"/>
  <c r="L190" i="19"/>
  <c r="L1172" i="19"/>
  <c r="L1171" i="19"/>
  <c r="L1170" i="19"/>
  <c r="L90" i="19"/>
  <c r="L358" i="19"/>
  <c r="L234" i="19"/>
  <c r="L1169" i="19"/>
  <c r="L1168" i="19"/>
  <c r="L1167" i="19"/>
  <c r="L1166" i="19"/>
  <c r="L1165" i="19"/>
  <c r="L973" i="19"/>
  <c r="L221" i="19"/>
  <c r="L233" i="19"/>
  <c r="L537" i="19"/>
  <c r="L1164" i="19"/>
  <c r="L1163" i="19"/>
  <c r="L950" i="19"/>
  <c r="L790" i="19"/>
  <c r="L697" i="19"/>
  <c r="L1162" i="19"/>
  <c r="L696" i="19"/>
  <c r="L1161" i="19"/>
  <c r="L1160" i="19"/>
  <c r="L1159" i="19"/>
  <c r="L913" i="19"/>
  <c r="L912" i="19"/>
  <c r="L499" i="19"/>
  <c r="L1158" i="19"/>
  <c r="L1157" i="19"/>
  <c r="L274" i="19"/>
  <c r="L1156" i="19"/>
  <c r="L1155" i="19"/>
  <c r="L1154" i="19"/>
  <c r="L498" i="19"/>
  <c r="L1153" i="19"/>
  <c r="L1152" i="19"/>
  <c r="L1151" i="19"/>
  <c r="L1150" i="19"/>
  <c r="L1149" i="19"/>
  <c r="L1148" i="19"/>
  <c r="L736" i="19"/>
  <c r="L1147" i="19"/>
  <c r="L789" i="19"/>
  <c r="L1146" i="19"/>
  <c r="L175" i="19"/>
  <c r="L497" i="19"/>
  <c r="L595" i="19"/>
  <c r="L911" i="19"/>
  <c r="L218" i="19"/>
  <c r="L68" i="19"/>
  <c r="L910" i="19"/>
  <c r="L1145" i="19"/>
  <c r="L735" i="19"/>
  <c r="L496" i="19"/>
  <c r="L1144" i="19"/>
  <c r="L909" i="19"/>
  <c r="L1143" i="19"/>
  <c r="L1142" i="19"/>
  <c r="L1141" i="19"/>
  <c r="L1140" i="19"/>
  <c r="L1139" i="19"/>
  <c r="L1138" i="19"/>
  <c r="L1137" i="19"/>
  <c r="L31" i="19"/>
  <c r="L1136" i="19"/>
  <c r="L338" i="19"/>
  <c r="L1135" i="19"/>
  <c r="L1134" i="19"/>
  <c r="L788" i="19"/>
  <c r="L1133" i="19"/>
  <c r="L1132" i="19"/>
  <c r="L1131" i="19"/>
  <c r="L1130" i="19"/>
  <c r="L138" i="19"/>
  <c r="L1129" i="19"/>
  <c r="L1128" i="19"/>
  <c r="L120" i="19"/>
  <c r="L695" i="19"/>
  <c r="L1127" i="19"/>
  <c r="L908" i="19"/>
  <c r="L1126" i="19"/>
  <c r="L63" i="19"/>
  <c r="L1125" i="19"/>
  <c r="L495" i="19"/>
  <c r="L1124" i="19"/>
  <c r="L1123" i="19"/>
  <c r="L1122" i="19"/>
  <c r="L1121" i="19"/>
  <c r="L1120" i="19"/>
  <c r="L1119" i="19"/>
  <c r="L694" i="19"/>
  <c r="L273" i="19"/>
  <c r="L1118" i="19"/>
  <c r="L494" i="19"/>
  <c r="L493" i="19"/>
  <c r="L1117" i="19"/>
  <c r="L174" i="19"/>
  <c r="L242" i="19"/>
  <c r="L492" i="19"/>
  <c r="L1116" i="19"/>
  <c r="L1115" i="19"/>
  <c r="L1114" i="19"/>
  <c r="L1113" i="19"/>
  <c r="L1112" i="19"/>
  <c r="L1111" i="19"/>
  <c r="L1110" i="19"/>
  <c r="L787" i="19"/>
  <c r="L1109" i="19"/>
  <c r="L357" i="19"/>
  <c r="L1108" i="19"/>
  <c r="L907" i="19"/>
  <c r="L972" i="19"/>
  <c r="L1107" i="19"/>
  <c r="L1106" i="19"/>
  <c r="L786" i="19"/>
  <c r="L491" i="19"/>
  <c r="L906" i="19"/>
  <c r="L1105" i="19"/>
  <c r="L241" i="19"/>
  <c r="L1104" i="19"/>
  <c r="L1103" i="19"/>
  <c r="L785" i="19"/>
  <c r="L232" i="19"/>
  <c r="L490" i="19"/>
  <c r="L1102" i="19"/>
  <c r="L784" i="19"/>
  <c r="L594" i="19"/>
  <c r="L1101" i="19"/>
  <c r="L405" i="19"/>
  <c r="L1100" i="19"/>
  <c r="L1099" i="19"/>
  <c r="L1098" i="19"/>
  <c r="L1097" i="19"/>
  <c r="L1096" i="19"/>
  <c r="L1095" i="19"/>
  <c r="L1094" i="19"/>
  <c r="L693" i="19"/>
  <c r="L1093" i="19"/>
  <c r="L1092" i="19"/>
  <c r="L1091" i="19"/>
  <c r="L1090" i="19"/>
  <c r="L1089" i="19"/>
  <c r="L1088" i="19"/>
  <c r="L356" i="19"/>
  <c r="L1087" i="19"/>
  <c r="L1086" i="19"/>
  <c r="L1085" i="19"/>
  <c r="L355" i="19"/>
  <c r="L1084" i="19"/>
  <c r="L1083" i="19"/>
  <c r="L1082" i="19"/>
  <c r="L1081" i="19"/>
  <c r="L1080" i="19"/>
  <c r="L593" i="19"/>
  <c r="L62" i="19"/>
  <c r="L1079" i="19"/>
  <c r="L272" i="19"/>
  <c r="L244" i="19"/>
  <c r="L1078" i="19"/>
  <c r="L1077" i="19"/>
  <c r="L725" i="19"/>
  <c r="L1076" i="19"/>
  <c r="L1075" i="19"/>
  <c r="L1074" i="19"/>
  <c r="L1073" i="19"/>
  <c r="L1072" i="19"/>
  <c r="L724" i="19"/>
  <c r="L1071" i="19"/>
  <c r="L1070" i="19"/>
  <c r="L489" i="19"/>
  <c r="L1069" i="19"/>
  <c r="L1068" i="19"/>
  <c r="L1067" i="19"/>
  <c r="L1066" i="19"/>
  <c r="L1065" i="19"/>
  <c r="L1064" i="19"/>
  <c r="L905" i="19"/>
  <c r="L904" i="19"/>
  <c r="L692" i="19"/>
  <c r="L903" i="19"/>
  <c r="L271" i="19"/>
  <c r="L1063" i="19"/>
  <c r="L363" i="19"/>
  <c r="L231" i="19"/>
  <c r="L1062" i="19"/>
  <c r="L691" i="19"/>
  <c r="L1061" i="19"/>
  <c r="L1060" i="19"/>
  <c r="L1059" i="19"/>
  <c r="L1058" i="19"/>
  <c r="L404" i="19"/>
  <c r="L111" i="19"/>
  <c r="L1057" i="19"/>
  <c r="L1056" i="19"/>
  <c r="L1055" i="19"/>
  <c r="L1054" i="19"/>
  <c r="L1053" i="19"/>
  <c r="L1052" i="19"/>
  <c r="L1051" i="19"/>
  <c r="L1050" i="19"/>
  <c r="L1049" i="19"/>
  <c r="L137" i="19"/>
  <c r="L1048" i="19"/>
  <c r="L1047" i="19"/>
  <c r="L1046" i="19"/>
  <c r="L1045" i="19"/>
  <c r="L1044" i="19"/>
  <c r="L488" i="19"/>
  <c r="L592" i="19"/>
  <c r="L546" i="19"/>
  <c r="L487" i="19"/>
  <c r="L53" i="19"/>
  <c r="L332" i="19"/>
  <c r="L1043" i="19"/>
  <c r="L149" i="19"/>
  <c r="L1042" i="19"/>
  <c r="L1041" i="19"/>
  <c r="L734" i="19"/>
  <c r="L283" i="19"/>
  <c r="L1040" i="19"/>
  <c r="L1039" i="19"/>
  <c r="L690" i="19"/>
  <c r="L1038" i="19"/>
  <c r="L1037" i="19"/>
  <c r="L270" i="19"/>
  <c r="L902" i="19"/>
  <c r="L689" i="19"/>
  <c r="L733" i="19"/>
  <c r="L1036" i="19"/>
  <c r="L529" i="19"/>
  <c r="L1035" i="19"/>
  <c r="L1034" i="19"/>
  <c r="L189" i="19"/>
  <c r="L1033" i="19"/>
  <c r="L1032" i="19"/>
  <c r="L1031" i="19"/>
  <c r="L1030" i="19"/>
  <c r="L1029" i="19"/>
  <c r="L1028" i="19"/>
  <c r="L1027" i="19"/>
  <c r="L1026" i="19"/>
  <c r="L723" i="19"/>
  <c r="L1025" i="19"/>
  <c r="L1024" i="19"/>
  <c r="L36" i="19"/>
  <c r="L1023" i="19"/>
  <c r="L1022" i="19"/>
  <c r="L1021" i="19"/>
  <c r="L1020" i="19"/>
  <c r="L61" i="19"/>
  <c r="L269" i="19"/>
  <c r="L1019" i="19"/>
  <c r="L136" i="19"/>
  <c r="L1018" i="19"/>
  <c r="L591" i="19"/>
  <c r="L1017" i="19"/>
  <c r="L1016" i="19"/>
  <c r="L331" i="19"/>
  <c r="L1015" i="19"/>
  <c r="L783" i="19"/>
  <c r="L24" i="19"/>
  <c r="L782" i="19"/>
  <c r="L1014" i="19"/>
  <c r="L1013" i="19"/>
  <c r="L230" i="19"/>
  <c r="L732" i="19"/>
  <c r="L486" i="19"/>
  <c r="L1012" i="19"/>
  <c r="L485" i="19"/>
  <c r="L66" i="19"/>
  <c r="L1011" i="19"/>
  <c r="L901" i="19"/>
  <c r="L971" i="19"/>
  <c r="L1010" i="19"/>
  <c r="L1009" i="19"/>
  <c r="L268" i="19"/>
  <c r="L267" i="19"/>
  <c r="L900" i="19"/>
  <c r="L1008" i="19"/>
  <c r="L970" i="19"/>
  <c r="L1007" i="19"/>
  <c r="L1006" i="19"/>
  <c r="L1005" i="19"/>
  <c r="L1004" i="19"/>
  <c r="L528" i="19"/>
  <c r="L722" i="19"/>
  <c r="L1003" i="19"/>
  <c r="L1002" i="19"/>
  <c r="L1001" i="19"/>
  <c r="L425" i="19"/>
  <c r="L1000" i="19"/>
  <c r="L688" i="19"/>
  <c r="L999" i="19"/>
  <c r="L998" i="19"/>
  <c r="L997" i="19"/>
  <c r="L996" i="19"/>
  <c r="L995" i="19"/>
  <c r="L994" i="19"/>
  <c r="L993" i="19"/>
  <c r="L899" i="19"/>
  <c r="L613" i="19"/>
  <c r="L781" i="19"/>
  <c r="L992" i="19"/>
  <c r="L590" i="19"/>
  <c r="L991" i="19"/>
  <c r="L990" i="19"/>
  <c r="L898" i="19"/>
  <c r="L989" i="19"/>
  <c r="L55" i="19"/>
  <c r="L988" i="19"/>
  <c r="L987" i="19"/>
  <c r="L986" i="19"/>
  <c r="L985" i="19"/>
  <c r="L484" i="19"/>
  <c r="L984" i="19"/>
  <c r="L969" i="19"/>
  <c r="L968" i="19"/>
  <c r="L967" i="19"/>
  <c r="L966" i="19"/>
  <c r="L965" i="19"/>
  <c r="L964" i="19"/>
  <c r="L963" i="19"/>
  <c r="L962" i="19"/>
  <c r="L961" i="19"/>
  <c r="L960" i="19"/>
  <c r="L959" i="19"/>
  <c r="L958" i="19"/>
  <c r="L957" i="19"/>
  <c r="L956" i="19"/>
  <c r="L955" i="19"/>
  <c r="L954" i="19"/>
  <c r="L953" i="19"/>
  <c r="L952" i="19"/>
  <c r="L949" i="19"/>
  <c r="L948" i="19"/>
  <c r="L946" i="19"/>
  <c r="L897" i="19"/>
  <c r="L896" i="19"/>
  <c r="L895" i="19"/>
  <c r="L894" i="19"/>
  <c r="L893" i="19"/>
  <c r="L892" i="19"/>
  <c r="L891" i="19"/>
  <c r="L890" i="19"/>
  <c r="L889" i="19"/>
  <c r="L888" i="19"/>
  <c r="L887" i="19"/>
  <c r="L886" i="19"/>
  <c r="L885" i="19"/>
  <c r="L884" i="19"/>
  <c r="L883" i="19"/>
  <c r="L882" i="19"/>
  <c r="L881" i="19"/>
  <c r="L880" i="19"/>
  <c r="L879" i="19"/>
  <c r="L878" i="19"/>
  <c r="L877" i="19"/>
  <c r="L876" i="19"/>
  <c r="L875" i="19"/>
  <c r="L874" i="19"/>
  <c r="L873" i="19"/>
  <c r="L872" i="19"/>
  <c r="L871" i="19"/>
  <c r="L870" i="19"/>
  <c r="L869" i="19"/>
  <c r="L868" i="19"/>
  <c r="L867" i="19"/>
  <c r="L866" i="19"/>
  <c r="L865" i="19"/>
  <c r="L864" i="19"/>
  <c r="L863" i="19"/>
  <c r="L862" i="19"/>
  <c r="L861" i="19"/>
  <c r="L860" i="19"/>
  <c r="L859" i="19"/>
  <c r="L858" i="19"/>
  <c r="L857" i="19"/>
  <c r="L856" i="19"/>
  <c r="L855" i="19"/>
  <c r="L854" i="19"/>
  <c r="L853" i="19"/>
  <c r="L852" i="19"/>
  <c r="L851" i="19"/>
  <c r="L850" i="19"/>
  <c r="L849" i="19"/>
  <c r="L848" i="19"/>
  <c r="L847" i="19"/>
  <c r="L846" i="19"/>
  <c r="L845" i="19"/>
  <c r="L844" i="19"/>
  <c r="L843" i="19"/>
  <c r="L842" i="19"/>
  <c r="L841" i="19"/>
  <c r="L840" i="19"/>
  <c r="L839" i="19"/>
  <c r="L838" i="19"/>
  <c r="L837" i="19"/>
  <c r="L836" i="19"/>
  <c r="L835" i="19"/>
  <c r="L834" i="19"/>
  <c r="L833" i="19"/>
  <c r="L832" i="19"/>
  <c r="L831" i="19"/>
  <c r="L830" i="19"/>
  <c r="L829" i="19"/>
  <c r="L828" i="19"/>
  <c r="L827" i="19"/>
  <c r="L826" i="19"/>
  <c r="L825" i="19"/>
  <c r="L824" i="19"/>
  <c r="L823" i="19"/>
  <c r="L822" i="19"/>
  <c r="L821" i="19"/>
  <c r="L820" i="19"/>
  <c r="L819" i="19"/>
  <c r="L818" i="19"/>
  <c r="L817" i="19"/>
  <c r="L816" i="19"/>
  <c r="L815" i="19"/>
  <c r="L814" i="19"/>
  <c r="L813" i="19"/>
  <c r="L812" i="19"/>
  <c r="L811" i="19"/>
  <c r="L810" i="19"/>
  <c r="L809" i="19"/>
  <c r="L808" i="19"/>
  <c r="L807" i="19"/>
  <c r="L806" i="19"/>
  <c r="L805" i="19"/>
  <c r="L804" i="19"/>
  <c r="L780" i="19"/>
  <c r="L779" i="19"/>
  <c r="L778" i="19"/>
  <c r="L777" i="19"/>
  <c r="L776" i="19"/>
  <c r="L775" i="19"/>
  <c r="L774" i="19"/>
  <c r="L773" i="19"/>
  <c r="L772" i="19"/>
  <c r="L771" i="19"/>
  <c r="L770" i="19"/>
  <c r="L769" i="19"/>
  <c r="L768" i="19"/>
  <c r="L767" i="19"/>
  <c r="L766" i="19"/>
  <c r="L765" i="19"/>
  <c r="L764" i="19"/>
  <c r="L763" i="19"/>
  <c r="L762" i="19"/>
  <c r="L761" i="19"/>
  <c r="L760" i="19"/>
  <c r="L759" i="19"/>
  <c r="L758" i="19"/>
  <c r="L757" i="19"/>
  <c r="L756" i="19"/>
  <c r="L755" i="19"/>
  <c r="L754" i="19"/>
  <c r="L753" i="19"/>
  <c r="L752" i="19"/>
  <c r="L751" i="19"/>
  <c r="L750" i="19"/>
  <c r="L749" i="19"/>
  <c r="L748" i="19"/>
  <c r="L747" i="19"/>
  <c r="L746" i="19"/>
  <c r="L745" i="19"/>
  <c r="L744" i="19"/>
  <c r="L743" i="19"/>
  <c r="L742" i="19"/>
  <c r="L741" i="19"/>
  <c r="L740" i="19"/>
  <c r="L739" i="19"/>
  <c r="L731" i="19"/>
  <c r="L730" i="19"/>
  <c r="L729" i="19"/>
  <c r="L721" i="19"/>
  <c r="L720" i="19"/>
  <c r="L719" i="19"/>
  <c r="L687" i="19"/>
  <c r="L686" i="19"/>
  <c r="L685" i="19"/>
  <c r="L684" i="19"/>
  <c r="L683" i="19"/>
  <c r="L682" i="19"/>
  <c r="L681" i="19"/>
  <c r="L680" i="19"/>
  <c r="L679" i="19"/>
  <c r="L678" i="19"/>
  <c r="L677" i="19"/>
  <c r="L676" i="19"/>
  <c r="L675" i="19"/>
  <c r="L674" i="19"/>
  <c r="L673" i="19"/>
  <c r="L672" i="19"/>
  <c r="L671" i="19"/>
  <c r="L670" i="19"/>
  <c r="L669" i="19"/>
  <c r="L668" i="19"/>
  <c r="L667" i="19"/>
  <c r="L666" i="19"/>
  <c r="L665" i="19"/>
  <c r="L664" i="19"/>
  <c r="L663" i="19"/>
  <c r="L662" i="19"/>
  <c r="L661" i="19"/>
  <c r="L660" i="19"/>
  <c r="L659" i="19"/>
  <c r="L658" i="19"/>
  <c r="L657" i="19"/>
  <c r="L656" i="19"/>
  <c r="L655" i="19"/>
  <c r="L654" i="19"/>
  <c r="L653" i="19"/>
  <c r="L652" i="19"/>
  <c r="L651" i="19"/>
  <c r="L650" i="19"/>
  <c r="L649" i="19"/>
  <c r="L648" i="19"/>
  <c r="L647" i="19"/>
  <c r="L646" i="19"/>
  <c r="L645" i="19"/>
  <c r="L644" i="19"/>
  <c r="L643" i="19"/>
  <c r="L642" i="19"/>
  <c r="L641" i="19"/>
  <c r="L640" i="19"/>
  <c r="L639" i="19"/>
  <c r="L638" i="19"/>
  <c r="L637" i="19"/>
  <c r="L636" i="19"/>
  <c r="L635" i="19"/>
  <c r="L634" i="19"/>
  <c r="L633" i="19"/>
  <c r="L632" i="19"/>
  <c r="L631" i="19"/>
  <c r="L630" i="19"/>
  <c r="L629" i="19"/>
  <c r="L628" i="19"/>
  <c r="L627" i="19"/>
  <c r="L626" i="19"/>
  <c r="L625" i="19"/>
  <c r="L624" i="19"/>
  <c r="L623" i="19"/>
  <c r="L622" i="19"/>
  <c r="L621" i="19"/>
  <c r="L620" i="19"/>
  <c r="L619" i="19"/>
  <c r="L618" i="19"/>
  <c r="L617" i="19"/>
  <c r="L616" i="19"/>
  <c r="L612" i="19"/>
  <c r="L611" i="19"/>
  <c r="L610" i="19"/>
  <c r="L609" i="19"/>
  <c r="L589" i="19"/>
  <c r="L588" i="19"/>
  <c r="L587" i="19"/>
  <c r="L586" i="19"/>
  <c r="L585" i="19"/>
  <c r="L584" i="19"/>
  <c r="L583" i="19"/>
  <c r="L582" i="19"/>
  <c r="L581" i="19"/>
  <c r="L580" i="19"/>
  <c r="L579" i="19"/>
  <c r="L578" i="19"/>
  <c r="L577" i="19"/>
  <c r="L576" i="19"/>
  <c r="L575" i="19"/>
  <c r="L574" i="19"/>
  <c r="L573" i="19"/>
  <c r="L572" i="19"/>
  <c r="L571" i="19"/>
  <c r="L570" i="19"/>
  <c r="L569" i="19"/>
  <c r="L568" i="19"/>
  <c r="L567" i="19"/>
  <c r="L566" i="19"/>
  <c r="L565" i="19"/>
  <c r="C9" i="23" s="1"/>
  <c r="L564" i="19"/>
  <c r="L563" i="19"/>
  <c r="L562" i="19"/>
  <c r="L561" i="19"/>
  <c r="L560" i="19"/>
  <c r="L559" i="19"/>
  <c r="L558" i="19"/>
  <c r="L557" i="19"/>
  <c r="L556" i="19"/>
  <c r="L555" i="19"/>
  <c r="L608" i="19"/>
  <c r="L554" i="19"/>
  <c r="L553" i="19"/>
  <c r="L552" i="19"/>
  <c r="L551" i="19"/>
  <c r="L550" i="19"/>
  <c r="L549" i="19"/>
  <c r="L545" i="19"/>
  <c r="L544" i="19"/>
  <c r="L543" i="19"/>
  <c r="L542" i="19"/>
  <c r="L541" i="19"/>
  <c r="L538" i="19"/>
  <c r="L548" i="19"/>
  <c r="L536" i="19"/>
  <c r="L527" i="19"/>
  <c r="L526" i="19"/>
  <c r="L525" i="19"/>
  <c r="L524" i="19"/>
  <c r="L523" i="19"/>
  <c r="L522" i="19"/>
  <c r="L521" i="19"/>
  <c r="L520" i="19"/>
  <c r="L519" i="19"/>
  <c r="L518" i="19"/>
  <c r="L517" i="19"/>
  <c r="L516" i="19"/>
  <c r="L515" i="19"/>
  <c r="L514" i="19"/>
  <c r="L513" i="19"/>
  <c r="L512" i="19"/>
  <c r="L511" i="19"/>
  <c r="L483" i="19"/>
  <c r="L482" i="19"/>
  <c r="L481" i="19"/>
  <c r="L480" i="19"/>
  <c r="L479" i="19"/>
  <c r="L478" i="19"/>
  <c r="L477" i="19"/>
  <c r="L476" i="19"/>
  <c r="L475" i="19"/>
  <c r="L474" i="19"/>
  <c r="L473" i="19"/>
  <c r="L472" i="19"/>
  <c r="L471" i="19"/>
  <c r="L470" i="19"/>
  <c r="L469" i="19"/>
  <c r="L468" i="19"/>
  <c r="L467" i="19"/>
  <c r="L466" i="19"/>
  <c r="L465" i="19"/>
  <c r="L464" i="19"/>
  <c r="L463" i="19"/>
  <c r="L462" i="19"/>
  <c r="L461" i="19"/>
  <c r="L460" i="19"/>
  <c r="L459" i="19"/>
  <c r="L458" i="19"/>
  <c r="L457" i="19"/>
  <c r="L456" i="19"/>
  <c r="L455" i="19"/>
  <c r="L454" i="19"/>
  <c r="L453" i="19"/>
  <c r="L452" i="19"/>
  <c r="L451" i="19"/>
  <c r="L450" i="19"/>
  <c r="L449" i="19"/>
  <c r="L448" i="19"/>
  <c r="L447" i="19"/>
  <c r="L446" i="19"/>
  <c r="L445" i="19"/>
  <c r="L444" i="19"/>
  <c r="L443" i="19"/>
  <c r="L442" i="19"/>
  <c r="L441" i="19"/>
  <c r="L440" i="19"/>
  <c r="L439" i="19"/>
  <c r="L438" i="19"/>
  <c r="L437" i="19"/>
  <c r="L433" i="19"/>
  <c r="L432" i="19"/>
  <c r="L431" i="19"/>
  <c r="L430" i="19"/>
  <c r="L429" i="19"/>
  <c r="L428" i="19"/>
  <c r="L427" i="19"/>
  <c r="L426" i="19"/>
  <c r="L421" i="19"/>
  <c r="L420" i="19"/>
  <c r="L419" i="19"/>
  <c r="L418" i="19"/>
  <c r="L417" i="19"/>
  <c r="L416" i="19"/>
  <c r="L415" i="19"/>
  <c r="L414" i="19"/>
  <c r="L424" i="19"/>
  <c r="L423" i="19"/>
  <c r="L422" i="19"/>
  <c r="L403" i="19"/>
  <c r="L402" i="19"/>
  <c r="L401" i="19"/>
  <c r="L400" i="19"/>
  <c r="L399" i="19"/>
  <c r="L398" i="19"/>
  <c r="L397" i="19"/>
  <c r="L396" i="19"/>
  <c r="L395" i="19"/>
  <c r="L394" i="19"/>
  <c r="L393" i="19"/>
  <c r="L392" i="19"/>
  <c r="L391" i="19"/>
  <c r="L390" i="19"/>
  <c r="L389" i="19"/>
  <c r="L388" i="19"/>
  <c r="L387" i="19"/>
  <c r="L386" i="19"/>
  <c r="L385" i="19"/>
  <c r="L384" i="19"/>
  <c r="L383" i="19"/>
  <c r="L382" i="19"/>
  <c r="L381" i="19"/>
  <c r="L380" i="19"/>
  <c r="L379" i="19"/>
  <c r="L378" i="19"/>
  <c r="L377" i="19"/>
  <c r="L376" i="19"/>
  <c r="L375" i="19"/>
  <c r="L374" i="19"/>
  <c r="L373" i="19"/>
  <c r="L372" i="19"/>
  <c r="L371" i="19"/>
  <c r="L370" i="19"/>
  <c r="L369" i="19"/>
  <c r="L368" i="19"/>
  <c r="L367" i="19"/>
  <c r="L366" i="19"/>
  <c r="L365" i="19"/>
  <c r="L364" i="19"/>
  <c r="L361" i="19"/>
  <c r="L360" i="19"/>
  <c r="L362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1" i="19"/>
  <c r="L289" i="19"/>
  <c r="L288" i="19"/>
  <c r="L287" i="19"/>
  <c r="L286" i="19"/>
  <c r="L285" i="19"/>
  <c r="L282" i="19"/>
  <c r="L281" i="19"/>
  <c r="L280" i="19"/>
  <c r="L279" i="19"/>
  <c r="L278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3" i="19"/>
  <c r="L240" i="19"/>
  <c r="L239" i="19"/>
  <c r="L229" i="19"/>
  <c r="L228" i="19"/>
  <c r="L227" i="19"/>
  <c r="L226" i="19"/>
  <c r="L225" i="19"/>
  <c r="L224" i="19"/>
  <c r="L223" i="19"/>
  <c r="L222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88" i="19"/>
  <c r="L187" i="19"/>
  <c r="L186" i="19"/>
  <c r="L185" i="19"/>
  <c r="L184" i="19"/>
  <c r="L183" i="19"/>
  <c r="L182" i="19"/>
  <c r="L181" i="19"/>
  <c r="L180" i="19"/>
  <c r="L179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2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48" i="19"/>
  <c r="L147" i="19"/>
  <c r="L146" i="19"/>
  <c r="L145" i="19"/>
  <c r="L144" i="19"/>
  <c r="L143" i="19"/>
  <c r="L142" i="19"/>
  <c r="L119" i="19"/>
  <c r="L118" i="19"/>
  <c r="L117" i="19"/>
  <c r="L116" i="19"/>
  <c r="L115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113" i="19"/>
  <c r="L97" i="19"/>
  <c r="L96" i="19"/>
  <c r="L95" i="19"/>
  <c r="L94" i="19"/>
  <c r="L93" i="19"/>
  <c r="L89" i="19"/>
  <c r="L88" i="19"/>
  <c r="L87" i="19"/>
  <c r="L86" i="19"/>
  <c r="L85" i="19"/>
  <c r="L84" i="19"/>
  <c r="L83" i="19"/>
  <c r="L82" i="19"/>
  <c r="L81" i="19"/>
  <c r="L79" i="19"/>
  <c r="L78" i="19"/>
  <c r="L77" i="19"/>
  <c r="L76" i="19"/>
  <c r="L75" i="19"/>
  <c r="L74" i="19"/>
  <c r="L73" i="19"/>
  <c r="L72" i="19"/>
  <c r="L71" i="19"/>
  <c r="L69" i="19"/>
  <c r="L65" i="19"/>
  <c r="L64" i="19"/>
  <c r="L60" i="19"/>
  <c r="L59" i="19"/>
  <c r="L58" i="19"/>
  <c r="L57" i="19"/>
  <c r="L54" i="19"/>
  <c r="L56" i="19"/>
  <c r="L52" i="19"/>
  <c r="L51" i="19"/>
  <c r="L50" i="19"/>
  <c r="L49" i="19"/>
  <c r="L48" i="19"/>
  <c r="L47" i="19"/>
  <c r="L46" i="19"/>
  <c r="L45" i="19"/>
  <c r="L44" i="19"/>
  <c r="L238" i="19"/>
  <c r="L43" i="19"/>
  <c r="L40" i="19"/>
  <c r="L39" i="19"/>
  <c r="L38" i="19"/>
  <c r="L42" i="19"/>
  <c r="L41" i="19"/>
  <c r="L738" i="19"/>
  <c r="L37" i="19"/>
  <c r="L34" i="19"/>
  <c r="L32" i="19"/>
  <c r="L33" i="19"/>
  <c r="L30" i="19"/>
  <c r="L29" i="19"/>
  <c r="L27" i="19"/>
  <c r="L28" i="19"/>
  <c r="L26" i="19"/>
  <c r="L25" i="19"/>
  <c r="L23" i="19"/>
  <c r="L22" i="19"/>
  <c r="L21" i="19"/>
  <c r="L20" i="19"/>
  <c r="L19" i="19"/>
  <c r="L18" i="19"/>
  <c r="L15" i="19"/>
  <c r="L17" i="19"/>
  <c r="L16" i="19"/>
  <c r="L14" i="19"/>
  <c r="L13" i="19"/>
  <c r="L12" i="19"/>
  <c r="L11" i="19"/>
  <c r="L7" i="19"/>
  <c r="L9" i="19"/>
  <c r="L8" i="19"/>
  <c r="L6" i="19"/>
  <c r="L5" i="19"/>
  <c r="L3" i="19"/>
  <c r="L2" i="19"/>
  <c r="K10" i="19"/>
  <c r="I10" i="19"/>
  <c r="K535" i="19"/>
  <c r="I535" i="19"/>
  <c r="K945" i="19"/>
  <c r="I945" i="19"/>
  <c r="K1519" i="19"/>
  <c r="I1519" i="19"/>
  <c r="K1518" i="19"/>
  <c r="I1518" i="19"/>
  <c r="K141" i="19"/>
  <c r="I141" i="19"/>
  <c r="K1517" i="19"/>
  <c r="I1517" i="19"/>
  <c r="K1516" i="19"/>
  <c r="I1516" i="19"/>
  <c r="K718" i="19"/>
  <c r="I718" i="19"/>
  <c r="K1515" i="19"/>
  <c r="I1515" i="19"/>
  <c r="K1514" i="19"/>
  <c r="I1514" i="19"/>
  <c r="K717" i="19"/>
  <c r="I717" i="19"/>
  <c r="K413" i="19"/>
  <c r="I413" i="19"/>
  <c r="K1513" i="19"/>
  <c r="I1513" i="19"/>
  <c r="K153" i="19"/>
  <c r="I153" i="19"/>
  <c r="K1512" i="19"/>
  <c r="I1512" i="19"/>
  <c r="K1511" i="19"/>
  <c r="I1511" i="19"/>
  <c r="K1510" i="19"/>
  <c r="I1510" i="19"/>
  <c r="K1509" i="19"/>
  <c r="I1509" i="19"/>
  <c r="K1508" i="19"/>
  <c r="I1508" i="19"/>
  <c r="K1507" i="19"/>
  <c r="I1507" i="19"/>
  <c r="K284" i="19"/>
  <c r="I284" i="19"/>
  <c r="K1506" i="19"/>
  <c r="I1506" i="19"/>
  <c r="K1505" i="19"/>
  <c r="I1505" i="19"/>
  <c r="K35" i="19"/>
  <c r="I35" i="19"/>
  <c r="K1504" i="19"/>
  <c r="I1504" i="19"/>
  <c r="K1503" i="19"/>
  <c r="I1503" i="19"/>
  <c r="K1502" i="19"/>
  <c r="I1502" i="19"/>
  <c r="K1501" i="19"/>
  <c r="I1501" i="19"/>
  <c r="K1500" i="19"/>
  <c r="I1500" i="19"/>
  <c r="K1499" i="19"/>
  <c r="I1499" i="19"/>
  <c r="K1498" i="19"/>
  <c r="I1498" i="19"/>
  <c r="K1497" i="19"/>
  <c r="I1497" i="19"/>
  <c r="K337" i="19"/>
  <c r="I337" i="19"/>
  <c r="K1496" i="19"/>
  <c r="I1496" i="19"/>
  <c r="K1495" i="19"/>
  <c r="I1495" i="19"/>
  <c r="K1494" i="19"/>
  <c r="I1494" i="19"/>
  <c r="K1493" i="19"/>
  <c r="I1493" i="19"/>
  <c r="K1492" i="19"/>
  <c r="I1492" i="19"/>
  <c r="K112" i="19"/>
  <c r="I112" i="19"/>
  <c r="K944" i="19"/>
  <c r="I944" i="19"/>
  <c r="K1491" i="19"/>
  <c r="I1491" i="19"/>
  <c r="K943" i="19"/>
  <c r="I943" i="19"/>
  <c r="K1490" i="19"/>
  <c r="I1490" i="19"/>
  <c r="K1489" i="19"/>
  <c r="I1489" i="19"/>
  <c r="K1488" i="19"/>
  <c r="I1488" i="19"/>
  <c r="K716" i="19"/>
  <c r="I716" i="19"/>
  <c r="K1487" i="19"/>
  <c r="I1487" i="19"/>
  <c r="K1486" i="19"/>
  <c r="I1486" i="19"/>
  <c r="K1485" i="19"/>
  <c r="I1485" i="19"/>
  <c r="K1484" i="19"/>
  <c r="I1484" i="19"/>
  <c r="K1483" i="19"/>
  <c r="I1483" i="19"/>
  <c r="K1482" i="19"/>
  <c r="I1482" i="19"/>
  <c r="K1481" i="19"/>
  <c r="I1481" i="19"/>
  <c r="K1480" i="19"/>
  <c r="I1480" i="19"/>
  <c r="K1479" i="19"/>
  <c r="I1479" i="19"/>
  <c r="K1478" i="19"/>
  <c r="I1478" i="19"/>
  <c r="K1477" i="19"/>
  <c r="I1477" i="19"/>
  <c r="K1476" i="19"/>
  <c r="I1476" i="19"/>
  <c r="K121" i="19"/>
  <c r="I121" i="19"/>
  <c r="K1475" i="19"/>
  <c r="I1475" i="19"/>
  <c r="K1474" i="19"/>
  <c r="I1474" i="19"/>
  <c r="K715" i="19"/>
  <c r="I715" i="19"/>
  <c r="K1473" i="19"/>
  <c r="I1473" i="19"/>
  <c r="K1472" i="19"/>
  <c r="I1472" i="19"/>
  <c r="K607" i="19"/>
  <c r="I607" i="19"/>
  <c r="K714" i="19"/>
  <c r="I714" i="19"/>
  <c r="K1471" i="19"/>
  <c r="I1471" i="19"/>
  <c r="K1470" i="19"/>
  <c r="I1470" i="19"/>
  <c r="K1469" i="19"/>
  <c r="I1469" i="19"/>
  <c r="K1468" i="19"/>
  <c r="I1468" i="19"/>
  <c r="K1467" i="19"/>
  <c r="I1467" i="19"/>
  <c r="K1466" i="19"/>
  <c r="I1466" i="19"/>
  <c r="K713" i="19"/>
  <c r="I713" i="19"/>
  <c r="K236" i="19"/>
  <c r="I236" i="19"/>
  <c r="K1465" i="19"/>
  <c r="I1465" i="19"/>
  <c r="K712" i="19"/>
  <c r="I712" i="19"/>
  <c r="K92" i="19"/>
  <c r="I92" i="19"/>
  <c r="K1464" i="19"/>
  <c r="I1464" i="19"/>
  <c r="K1463" i="19"/>
  <c r="I1463" i="19"/>
  <c r="K1462" i="19"/>
  <c r="I1462" i="19"/>
  <c r="K1461" i="19"/>
  <c r="I1461" i="19"/>
  <c r="K711" i="19"/>
  <c r="I711" i="19"/>
  <c r="K1460" i="19"/>
  <c r="I1460" i="19"/>
  <c r="K277" i="19"/>
  <c r="I277" i="19"/>
  <c r="K1459" i="19"/>
  <c r="I1459" i="19"/>
  <c r="K1458" i="19"/>
  <c r="I1458" i="19"/>
  <c r="K510" i="19"/>
  <c r="I510" i="19"/>
  <c r="K534" i="19"/>
  <c r="I534" i="19"/>
  <c r="K1457" i="19"/>
  <c r="I1457" i="19"/>
  <c r="K1456" i="19"/>
  <c r="I1456" i="19"/>
  <c r="K1455" i="19"/>
  <c r="I1455" i="19"/>
  <c r="K91" i="19"/>
  <c r="I91" i="19"/>
  <c r="K1454" i="19"/>
  <c r="I1454" i="19"/>
  <c r="K710" i="19"/>
  <c r="I710" i="19"/>
  <c r="K1453" i="19"/>
  <c r="I1453" i="19"/>
  <c r="K1452" i="19"/>
  <c r="I1452" i="19"/>
  <c r="K1451" i="19"/>
  <c r="I1451" i="19"/>
  <c r="K1450" i="19"/>
  <c r="I1450" i="19"/>
  <c r="K1449" i="19"/>
  <c r="I1449" i="19"/>
  <c r="K1448" i="19"/>
  <c r="I1448" i="19"/>
  <c r="K1447" i="19"/>
  <c r="I1447" i="19"/>
  <c r="K1446" i="19"/>
  <c r="I1446" i="19"/>
  <c r="K533" i="19"/>
  <c r="I533" i="19"/>
  <c r="K983" i="19"/>
  <c r="I983" i="19"/>
  <c r="K1445" i="19"/>
  <c r="I1445" i="19"/>
  <c r="K606" i="19"/>
  <c r="I606" i="19"/>
  <c r="K1444" i="19"/>
  <c r="I1444" i="19"/>
  <c r="K1443" i="19"/>
  <c r="I1443" i="19"/>
  <c r="K1442" i="19"/>
  <c r="I1442" i="19"/>
  <c r="K1441" i="19"/>
  <c r="I1441" i="19"/>
  <c r="K1440" i="19"/>
  <c r="I1440" i="19"/>
  <c r="K1439" i="19"/>
  <c r="I1439" i="19"/>
  <c r="K982" i="19"/>
  <c r="I982" i="19"/>
  <c r="K1438" i="19"/>
  <c r="I1438" i="19"/>
  <c r="K1437" i="19"/>
  <c r="I1437" i="19"/>
  <c r="K1436" i="19"/>
  <c r="I1436" i="19"/>
  <c r="K942" i="19"/>
  <c r="I942" i="19"/>
  <c r="K290" i="19"/>
  <c r="I290" i="19"/>
  <c r="K1435" i="19"/>
  <c r="I1435" i="19"/>
  <c r="K1434" i="19"/>
  <c r="I1434" i="19"/>
  <c r="K1433" i="19"/>
  <c r="I1433" i="19"/>
  <c r="K1432" i="19"/>
  <c r="I1432" i="19"/>
  <c r="K1431" i="19"/>
  <c r="I1431" i="19"/>
  <c r="K1430" i="19"/>
  <c r="I1430" i="19"/>
  <c r="K1429" i="19"/>
  <c r="I1429" i="19"/>
  <c r="K509" i="19"/>
  <c r="I509" i="19"/>
  <c r="K1428" i="19"/>
  <c r="I1428" i="19"/>
  <c r="K1427" i="19"/>
  <c r="I1427" i="19"/>
  <c r="K540" i="19"/>
  <c r="I540" i="19"/>
  <c r="K941" i="19"/>
  <c r="I941" i="19"/>
  <c r="K1426" i="19"/>
  <c r="I1426" i="19"/>
  <c r="K1425" i="19"/>
  <c r="I1425" i="19"/>
  <c r="K1424" i="19"/>
  <c r="I1424" i="19"/>
  <c r="K1423" i="19"/>
  <c r="I1423" i="19"/>
  <c r="K940" i="19"/>
  <c r="I940" i="19"/>
  <c r="K939" i="19"/>
  <c r="I939" i="19"/>
  <c r="K709" i="19"/>
  <c r="I709" i="19"/>
  <c r="K605" i="19"/>
  <c r="I605" i="19"/>
  <c r="K1422" i="19"/>
  <c r="I1422" i="19"/>
  <c r="K4" i="19"/>
  <c r="I4" i="19"/>
  <c r="K1421" i="19"/>
  <c r="I1421" i="19"/>
  <c r="K1420" i="19"/>
  <c r="I1420" i="19"/>
  <c r="K1419" i="19"/>
  <c r="I1419" i="19"/>
  <c r="K1418" i="19"/>
  <c r="I1418" i="19"/>
  <c r="K412" i="19"/>
  <c r="I412" i="19"/>
  <c r="K508" i="19"/>
  <c r="I508" i="19"/>
  <c r="K938" i="19"/>
  <c r="I938" i="19"/>
  <c r="K1417" i="19"/>
  <c r="I1417" i="19"/>
  <c r="K1416" i="19"/>
  <c r="I1416" i="19"/>
  <c r="K67" i="19"/>
  <c r="I67" i="19"/>
  <c r="K1415" i="19"/>
  <c r="I1415" i="19"/>
  <c r="K1414" i="19"/>
  <c r="I1414" i="19"/>
  <c r="K1413" i="19"/>
  <c r="I1413" i="19"/>
  <c r="K1412" i="19"/>
  <c r="I1412" i="19"/>
  <c r="K604" i="19"/>
  <c r="I604" i="19"/>
  <c r="K178" i="19"/>
  <c r="I178" i="19"/>
  <c r="K1411" i="19"/>
  <c r="I1411" i="19"/>
  <c r="K1410" i="19"/>
  <c r="I1410" i="19"/>
  <c r="K1409" i="19"/>
  <c r="I1409" i="19"/>
  <c r="K1408" i="19"/>
  <c r="I1408" i="19"/>
  <c r="K1407" i="19"/>
  <c r="I1407" i="19"/>
  <c r="K1406" i="19"/>
  <c r="I1406" i="19"/>
  <c r="K1405" i="19"/>
  <c r="I1405" i="19"/>
  <c r="K1404" i="19"/>
  <c r="I1404" i="19"/>
  <c r="K1403" i="19"/>
  <c r="I1403" i="19"/>
  <c r="K1402" i="19"/>
  <c r="I1402" i="19"/>
  <c r="K1401" i="19"/>
  <c r="I1401" i="19"/>
  <c r="K1400" i="19"/>
  <c r="I1400" i="19"/>
  <c r="K1399" i="19"/>
  <c r="I1399" i="19"/>
  <c r="K507" i="19"/>
  <c r="I507" i="19"/>
  <c r="K981" i="19"/>
  <c r="I981" i="19"/>
  <c r="K1398" i="19"/>
  <c r="I1398" i="19"/>
  <c r="K1397" i="19"/>
  <c r="I1397" i="19"/>
  <c r="K1396" i="19"/>
  <c r="I1396" i="19"/>
  <c r="K1395" i="19"/>
  <c r="I1395" i="19"/>
  <c r="K411" i="19"/>
  <c r="I411" i="19"/>
  <c r="K1394" i="19"/>
  <c r="I1394" i="19"/>
  <c r="K728" i="19"/>
  <c r="I728" i="19"/>
  <c r="K1393" i="19"/>
  <c r="I1393" i="19"/>
  <c r="K1392" i="19"/>
  <c r="I1392" i="19"/>
  <c r="K1391" i="19"/>
  <c r="I1391" i="19"/>
  <c r="K708" i="19"/>
  <c r="I708" i="19"/>
  <c r="K1390" i="19"/>
  <c r="I1390" i="19"/>
  <c r="K1389" i="19"/>
  <c r="I1389" i="19"/>
  <c r="K1388" i="19"/>
  <c r="I1388" i="19"/>
  <c r="K532" i="19"/>
  <c r="I532" i="19"/>
  <c r="K1387" i="19"/>
  <c r="I1387" i="19"/>
  <c r="K1386" i="19"/>
  <c r="I1386" i="19"/>
  <c r="K1385" i="19"/>
  <c r="I1385" i="19"/>
  <c r="K1384" i="19"/>
  <c r="I1384" i="19"/>
  <c r="K603" i="19"/>
  <c r="I603" i="19"/>
  <c r="K707" i="19"/>
  <c r="I707" i="19"/>
  <c r="K937" i="19"/>
  <c r="I937" i="19"/>
  <c r="K1383" i="19"/>
  <c r="I1383" i="19"/>
  <c r="K1382" i="19"/>
  <c r="I1382" i="19"/>
  <c r="K1381" i="19"/>
  <c r="I1381" i="19"/>
  <c r="K1380" i="19"/>
  <c r="I1380" i="19"/>
  <c r="K803" i="19"/>
  <c r="I803" i="19"/>
  <c r="K936" i="19"/>
  <c r="I936" i="19"/>
  <c r="K1379" i="19"/>
  <c r="I1379" i="19"/>
  <c r="K237" i="19"/>
  <c r="I237" i="19"/>
  <c r="K276" i="19"/>
  <c r="I276" i="19"/>
  <c r="K436" i="19"/>
  <c r="I436" i="19"/>
  <c r="K1378" i="19"/>
  <c r="I1378" i="19"/>
  <c r="K951" i="19"/>
  <c r="I951" i="19"/>
  <c r="K1377" i="19"/>
  <c r="I1377" i="19"/>
  <c r="K1376" i="19"/>
  <c r="I1376" i="19"/>
  <c r="K980" i="19"/>
  <c r="I980" i="19"/>
  <c r="K1375" i="19"/>
  <c r="I1375" i="19"/>
  <c r="K1374" i="19"/>
  <c r="I1374" i="19"/>
  <c r="K1373" i="19"/>
  <c r="I1373" i="19"/>
  <c r="K935" i="19"/>
  <c r="I935" i="19"/>
  <c r="K1372" i="19"/>
  <c r="I1372" i="19"/>
  <c r="K1371" i="19"/>
  <c r="I1371" i="19"/>
  <c r="K602" i="19"/>
  <c r="I602" i="19"/>
  <c r="K1370" i="19"/>
  <c r="I1370" i="19"/>
  <c r="K1369" i="19"/>
  <c r="I1369" i="19"/>
  <c r="K1368" i="19"/>
  <c r="I1368" i="19"/>
  <c r="K1367" i="19"/>
  <c r="I1367" i="19"/>
  <c r="K1366" i="19"/>
  <c r="I1366" i="19"/>
  <c r="K1365" i="19"/>
  <c r="I1365" i="19"/>
  <c r="K1364" i="19"/>
  <c r="I1364" i="19"/>
  <c r="K1363" i="19"/>
  <c r="I1363" i="19"/>
  <c r="K979" i="19"/>
  <c r="I979" i="19"/>
  <c r="K1362" i="19"/>
  <c r="I1362" i="19"/>
  <c r="K1361" i="19"/>
  <c r="I1361" i="19"/>
  <c r="K1360" i="19"/>
  <c r="I1360" i="19"/>
  <c r="K1359" i="19"/>
  <c r="I1359" i="19"/>
  <c r="K1358" i="19"/>
  <c r="I1358" i="19"/>
  <c r="K1357" i="19"/>
  <c r="I1357" i="19"/>
  <c r="K1356" i="19"/>
  <c r="I1356" i="19"/>
  <c r="K1355" i="19"/>
  <c r="I1355" i="19"/>
  <c r="K1354" i="19"/>
  <c r="I1354" i="19"/>
  <c r="K706" i="19"/>
  <c r="I706" i="19"/>
  <c r="K802" i="19"/>
  <c r="I802" i="19"/>
  <c r="K1353" i="19"/>
  <c r="I1353" i="19"/>
  <c r="K1352" i="19"/>
  <c r="I1352" i="19"/>
  <c r="K1351" i="19"/>
  <c r="I1351" i="19"/>
  <c r="K801" i="19"/>
  <c r="I801" i="19"/>
  <c r="K1350" i="19"/>
  <c r="I1350" i="19"/>
  <c r="K705" i="19"/>
  <c r="I705" i="19"/>
  <c r="K1349" i="19"/>
  <c r="I1349" i="19"/>
  <c r="K1348" i="19"/>
  <c r="I1348" i="19"/>
  <c r="K1347" i="19"/>
  <c r="I1347" i="19"/>
  <c r="K1346" i="19"/>
  <c r="I1346" i="19"/>
  <c r="K1345" i="19"/>
  <c r="I1345" i="19"/>
  <c r="K1344" i="19"/>
  <c r="I1344" i="19"/>
  <c r="K151" i="19"/>
  <c r="I151" i="19"/>
  <c r="K1343" i="19"/>
  <c r="I1343" i="19"/>
  <c r="K1342" i="19"/>
  <c r="I1342" i="19"/>
  <c r="K1341" i="19"/>
  <c r="I1341" i="19"/>
  <c r="K601" i="19"/>
  <c r="I601" i="19"/>
  <c r="K1340" i="19"/>
  <c r="I1340" i="19"/>
  <c r="K978" i="19"/>
  <c r="I978" i="19"/>
  <c r="K1339" i="19"/>
  <c r="I1339" i="19"/>
  <c r="K800" i="19"/>
  <c r="I800" i="19"/>
  <c r="K1338" i="19"/>
  <c r="I1338" i="19"/>
  <c r="K220" i="19"/>
  <c r="I220" i="19"/>
  <c r="K1337" i="19"/>
  <c r="I1337" i="19"/>
  <c r="K80" i="19"/>
  <c r="I80" i="19"/>
  <c r="K1336" i="19"/>
  <c r="I1336" i="19"/>
  <c r="K1335" i="19"/>
  <c r="I1335" i="19"/>
  <c r="K531" i="19"/>
  <c r="I531" i="19"/>
  <c r="K1334" i="19"/>
  <c r="I1334" i="19"/>
  <c r="K1333" i="19"/>
  <c r="I1333" i="19"/>
  <c r="K1332" i="19"/>
  <c r="I1332" i="19"/>
  <c r="K1331" i="19"/>
  <c r="I1331" i="19"/>
  <c r="K1330" i="19"/>
  <c r="I1330" i="19"/>
  <c r="K1329" i="19"/>
  <c r="I1329" i="19"/>
  <c r="K1328" i="19"/>
  <c r="I1328" i="19"/>
  <c r="K1327" i="19"/>
  <c r="I1327" i="19"/>
  <c r="K1326" i="19"/>
  <c r="I1326" i="19"/>
  <c r="K336" i="19"/>
  <c r="I336" i="19"/>
  <c r="K1325" i="19"/>
  <c r="I1325" i="19"/>
  <c r="K1324" i="19"/>
  <c r="I1324" i="19"/>
  <c r="K615" i="19"/>
  <c r="I615" i="19"/>
  <c r="K1323" i="19"/>
  <c r="I1323" i="19"/>
  <c r="K335" i="19"/>
  <c r="I335" i="19"/>
  <c r="K1322" i="19"/>
  <c r="I1322" i="19"/>
  <c r="K1321" i="19"/>
  <c r="I1321" i="19"/>
  <c r="K1320" i="19"/>
  <c r="I1320" i="19"/>
  <c r="K1319" i="19"/>
  <c r="I1319" i="19"/>
  <c r="K1318" i="19"/>
  <c r="I1318" i="19"/>
  <c r="K1317" i="19"/>
  <c r="I1317" i="19"/>
  <c r="K334" i="19"/>
  <c r="I334" i="19"/>
  <c r="K1316" i="19"/>
  <c r="I1316" i="19"/>
  <c r="K1315" i="19"/>
  <c r="I1315" i="19"/>
  <c r="K947" i="19"/>
  <c r="I947" i="19"/>
  <c r="K1314" i="19"/>
  <c r="I1314" i="19"/>
  <c r="K1313" i="19"/>
  <c r="I1313" i="19"/>
  <c r="K114" i="19"/>
  <c r="I114" i="19"/>
  <c r="K600" i="19"/>
  <c r="I600" i="19"/>
  <c r="K1312" i="19"/>
  <c r="I1312" i="19"/>
  <c r="K506" i="19"/>
  <c r="I506" i="19"/>
  <c r="K1311" i="19"/>
  <c r="I1311" i="19"/>
  <c r="K1310" i="19"/>
  <c r="I1310" i="19"/>
  <c r="K977" i="19"/>
  <c r="I977" i="19"/>
  <c r="K1309" i="19"/>
  <c r="I1309" i="19"/>
  <c r="K934" i="19"/>
  <c r="I934" i="19"/>
  <c r="K505" i="19"/>
  <c r="I505" i="19"/>
  <c r="K1308" i="19"/>
  <c r="I1308" i="19"/>
  <c r="K1307" i="19"/>
  <c r="I1307" i="19"/>
  <c r="K1306" i="19"/>
  <c r="I1306" i="19"/>
  <c r="K1305" i="19"/>
  <c r="I1305" i="19"/>
  <c r="K1304" i="19"/>
  <c r="I1304" i="19"/>
  <c r="K1303" i="19"/>
  <c r="I1303" i="19"/>
  <c r="K1302" i="19"/>
  <c r="I1302" i="19"/>
  <c r="K704" i="19"/>
  <c r="I704" i="19"/>
  <c r="K1301" i="19"/>
  <c r="I1301" i="19"/>
  <c r="K1300" i="19"/>
  <c r="I1300" i="19"/>
  <c r="K1299" i="19"/>
  <c r="I1299" i="19"/>
  <c r="K1298" i="19"/>
  <c r="I1298" i="19"/>
  <c r="K1297" i="19"/>
  <c r="I1297" i="19"/>
  <c r="K933" i="19"/>
  <c r="I933" i="19"/>
  <c r="K1296" i="19"/>
  <c r="I1296" i="19"/>
  <c r="K1295" i="19"/>
  <c r="I1295" i="19"/>
  <c r="K1294" i="19"/>
  <c r="I1294" i="19"/>
  <c r="K1293" i="19"/>
  <c r="I1293" i="19"/>
  <c r="K1292" i="19"/>
  <c r="I1292" i="19"/>
  <c r="K504" i="19"/>
  <c r="I504" i="19"/>
  <c r="K932" i="19"/>
  <c r="I932" i="19"/>
  <c r="K931" i="19"/>
  <c r="I931" i="19"/>
  <c r="K930" i="19"/>
  <c r="I930" i="19"/>
  <c r="K1291" i="19"/>
  <c r="I1291" i="19"/>
  <c r="K1290" i="19"/>
  <c r="I1290" i="19"/>
  <c r="K737" i="19"/>
  <c r="I737" i="19"/>
  <c r="K1289" i="19"/>
  <c r="I1289" i="19"/>
  <c r="K1288" i="19"/>
  <c r="I1288" i="19"/>
  <c r="K1287" i="19"/>
  <c r="I1287" i="19"/>
  <c r="K1286" i="19"/>
  <c r="I1286" i="19"/>
  <c r="K1285" i="19"/>
  <c r="I1285" i="19"/>
  <c r="K1284" i="19"/>
  <c r="I1284" i="19"/>
  <c r="K1283" i="19"/>
  <c r="I1283" i="19"/>
  <c r="K547" i="19"/>
  <c r="I547" i="19"/>
  <c r="K1282" i="19"/>
  <c r="I1282" i="19"/>
  <c r="K1281" i="19"/>
  <c r="I1281" i="19"/>
  <c r="K1280" i="19"/>
  <c r="I1280" i="19"/>
  <c r="K1279" i="19"/>
  <c r="I1279" i="19"/>
  <c r="K703" i="19"/>
  <c r="I703" i="19"/>
  <c r="K799" i="19"/>
  <c r="I799" i="19"/>
  <c r="K929" i="19"/>
  <c r="I929" i="19"/>
  <c r="K503" i="19"/>
  <c r="I503" i="19"/>
  <c r="K928" i="19"/>
  <c r="I928" i="19"/>
  <c r="K275" i="19"/>
  <c r="I275" i="19"/>
  <c r="K410" i="19"/>
  <c r="I410" i="19"/>
  <c r="K140" i="19"/>
  <c r="I140" i="19"/>
  <c r="K1278" i="19"/>
  <c r="I1278" i="19"/>
  <c r="K927" i="19"/>
  <c r="I927" i="19"/>
  <c r="K1277" i="19"/>
  <c r="I1277" i="19"/>
  <c r="K798" i="19"/>
  <c r="I798" i="19"/>
  <c r="K435" i="19"/>
  <c r="I435" i="19"/>
  <c r="K1276" i="19"/>
  <c r="I1276" i="19"/>
  <c r="K1275" i="19"/>
  <c r="I1275" i="19"/>
  <c r="K1274" i="19"/>
  <c r="I1274" i="19"/>
  <c r="K1273" i="19"/>
  <c r="I1273" i="19"/>
  <c r="K926" i="19"/>
  <c r="I926" i="19"/>
  <c r="K502" i="19"/>
  <c r="I502" i="19"/>
  <c r="K434" i="19"/>
  <c r="I434" i="19"/>
  <c r="K1272" i="19"/>
  <c r="I1272" i="19"/>
  <c r="K1271" i="19"/>
  <c r="I1271" i="19"/>
  <c r="K1270" i="19"/>
  <c r="I1270" i="19"/>
  <c r="K1269" i="19"/>
  <c r="I1269" i="19"/>
  <c r="K1268" i="19"/>
  <c r="I1268" i="19"/>
  <c r="K599" i="19"/>
  <c r="I599" i="19"/>
  <c r="K409" i="19"/>
  <c r="I409" i="19"/>
  <c r="K1267" i="19"/>
  <c r="I1267" i="19"/>
  <c r="K1266" i="19"/>
  <c r="I1266" i="19"/>
  <c r="K1265" i="19"/>
  <c r="I1265" i="19"/>
  <c r="K177" i="19"/>
  <c r="I177" i="19"/>
  <c r="K1264" i="19"/>
  <c r="I1264" i="19"/>
  <c r="K1263" i="19"/>
  <c r="I1263" i="19"/>
  <c r="K925" i="19"/>
  <c r="I925" i="19"/>
  <c r="K1262" i="19"/>
  <c r="I1262" i="19"/>
  <c r="K924" i="19"/>
  <c r="I924" i="19"/>
  <c r="K1261" i="19"/>
  <c r="I1261" i="19"/>
  <c r="K797" i="19"/>
  <c r="I797" i="19"/>
  <c r="K1260" i="19"/>
  <c r="I1260" i="19"/>
  <c r="K1259" i="19"/>
  <c r="I1259" i="19"/>
  <c r="K1258" i="19"/>
  <c r="I1258" i="19"/>
  <c r="K1257" i="19"/>
  <c r="I1257" i="19"/>
  <c r="K1256" i="19"/>
  <c r="I1256" i="19"/>
  <c r="K796" i="19"/>
  <c r="I796" i="19"/>
  <c r="K1255" i="19"/>
  <c r="I1255" i="19"/>
  <c r="K1254" i="19"/>
  <c r="I1254" i="19"/>
  <c r="K1253" i="19"/>
  <c r="I1253" i="19"/>
  <c r="K1252" i="19"/>
  <c r="I1252" i="19"/>
  <c r="K1251" i="19"/>
  <c r="I1251" i="19"/>
  <c r="K1250" i="19"/>
  <c r="I1250" i="19"/>
  <c r="K1249" i="19"/>
  <c r="I1249" i="19"/>
  <c r="K1248" i="19"/>
  <c r="I1248" i="19"/>
  <c r="K923" i="19"/>
  <c r="I923" i="19"/>
  <c r="K1247" i="19"/>
  <c r="I1247" i="19"/>
  <c r="K1246" i="19"/>
  <c r="I1246" i="19"/>
  <c r="K1245" i="19"/>
  <c r="I1245" i="19"/>
  <c r="K1244" i="19"/>
  <c r="I1244" i="19"/>
  <c r="K1243" i="19"/>
  <c r="I1243" i="19"/>
  <c r="K539" i="19"/>
  <c r="I539" i="19"/>
  <c r="K1242" i="19"/>
  <c r="I1242" i="19"/>
  <c r="K1241" i="19"/>
  <c r="I1241" i="19"/>
  <c r="K1240" i="19"/>
  <c r="I1240" i="19"/>
  <c r="K1239" i="19"/>
  <c r="I1239" i="19"/>
  <c r="K1238" i="19"/>
  <c r="I1238" i="19"/>
  <c r="K1237" i="19"/>
  <c r="I1237" i="19"/>
  <c r="K1236" i="19"/>
  <c r="I1236" i="19"/>
  <c r="K1235" i="19"/>
  <c r="I1235" i="19"/>
  <c r="K1234" i="19"/>
  <c r="I1234" i="19"/>
  <c r="K1233" i="19"/>
  <c r="I1233" i="19"/>
  <c r="K727" i="19"/>
  <c r="I727" i="19"/>
  <c r="K598" i="19"/>
  <c r="I598" i="19"/>
  <c r="K1232" i="19"/>
  <c r="I1232" i="19"/>
  <c r="K614" i="19"/>
  <c r="I614" i="19"/>
  <c r="K922" i="19"/>
  <c r="I922" i="19"/>
  <c r="K1231" i="19"/>
  <c r="I1231" i="19"/>
  <c r="K1230" i="19"/>
  <c r="I1230" i="19"/>
  <c r="K1229" i="19"/>
  <c r="I1229" i="19"/>
  <c r="K1228" i="19"/>
  <c r="I1228" i="19"/>
  <c r="K1227" i="19"/>
  <c r="I1227" i="19"/>
  <c r="K1226" i="19"/>
  <c r="I1226" i="19"/>
  <c r="K176" i="19"/>
  <c r="I176" i="19"/>
  <c r="K70" i="19"/>
  <c r="I70" i="19"/>
  <c r="K976" i="19"/>
  <c r="I976" i="19"/>
  <c r="K408" i="19"/>
  <c r="I408" i="19"/>
  <c r="K1225" i="19"/>
  <c r="I1225" i="19"/>
  <c r="K1224" i="19"/>
  <c r="I1224" i="19"/>
  <c r="K501" i="19"/>
  <c r="I501" i="19"/>
  <c r="K1223" i="19"/>
  <c r="I1223" i="19"/>
  <c r="K1222" i="19"/>
  <c r="I1222" i="19"/>
  <c r="K795" i="19"/>
  <c r="I795" i="19"/>
  <c r="K726" i="19"/>
  <c r="I726" i="19"/>
  <c r="K702" i="19"/>
  <c r="I702" i="19"/>
  <c r="K1221" i="19"/>
  <c r="I1221" i="19"/>
  <c r="K1220" i="19"/>
  <c r="I1220" i="19"/>
  <c r="K921" i="19"/>
  <c r="I921" i="19"/>
  <c r="K1219" i="19"/>
  <c r="I1219" i="19"/>
  <c r="K1218" i="19"/>
  <c r="I1218" i="19"/>
  <c r="K1217" i="19"/>
  <c r="I1217" i="19"/>
  <c r="K1216" i="19"/>
  <c r="I1216" i="19"/>
  <c r="K1215" i="19"/>
  <c r="I1215" i="19"/>
  <c r="K1214" i="19"/>
  <c r="I1214" i="19"/>
  <c r="K1213" i="19"/>
  <c r="I1213" i="19"/>
  <c r="K794" i="19"/>
  <c r="I794" i="19"/>
  <c r="K920" i="19"/>
  <c r="I920" i="19"/>
  <c r="K975" i="19"/>
  <c r="I975" i="19"/>
  <c r="K1212" i="19"/>
  <c r="I1212" i="19"/>
  <c r="K1211" i="19"/>
  <c r="I1211" i="19"/>
  <c r="K919" i="19"/>
  <c r="I919" i="19"/>
  <c r="K1210" i="19"/>
  <c r="I1210" i="19"/>
  <c r="K1209" i="19"/>
  <c r="I1209" i="19"/>
  <c r="K1208" i="19"/>
  <c r="I1208" i="19"/>
  <c r="K597" i="19"/>
  <c r="I597" i="19"/>
  <c r="K701" i="19"/>
  <c r="I701" i="19"/>
  <c r="K530" i="19"/>
  <c r="I530" i="19"/>
  <c r="K1207" i="19"/>
  <c r="I1207" i="19"/>
  <c r="K700" i="19"/>
  <c r="I700" i="19"/>
  <c r="K407" i="19"/>
  <c r="I407" i="19"/>
  <c r="K918" i="19"/>
  <c r="I918" i="19"/>
  <c r="K1206" i="19"/>
  <c r="I1206" i="19"/>
  <c r="K1205" i="19"/>
  <c r="I1205" i="19"/>
  <c r="K1204" i="19"/>
  <c r="I1204" i="19"/>
  <c r="K500" i="19"/>
  <c r="I500" i="19"/>
  <c r="K1203" i="19"/>
  <c r="I1203" i="19"/>
  <c r="K917" i="19"/>
  <c r="I917" i="19"/>
  <c r="K1202" i="19"/>
  <c r="I1202" i="19"/>
  <c r="K793" i="19"/>
  <c r="I793" i="19"/>
  <c r="K1201" i="19"/>
  <c r="I1201" i="19"/>
  <c r="K235" i="19"/>
  <c r="I235" i="19"/>
  <c r="K139" i="19"/>
  <c r="I139" i="19"/>
  <c r="K359" i="19"/>
  <c r="I359" i="19"/>
  <c r="K792" i="19"/>
  <c r="I792" i="19"/>
  <c r="K1200" i="19"/>
  <c r="I1200" i="19"/>
  <c r="K406" i="19"/>
  <c r="I406" i="19"/>
  <c r="K1199" i="19"/>
  <c r="I1199" i="19"/>
  <c r="K1198" i="19"/>
  <c r="I1198" i="19"/>
  <c r="K1197" i="19"/>
  <c r="I1197" i="19"/>
  <c r="K916" i="19"/>
  <c r="I916" i="19"/>
  <c r="K699" i="19"/>
  <c r="I699" i="19"/>
  <c r="K150" i="19"/>
  <c r="I150" i="19"/>
  <c r="K1196" i="19"/>
  <c r="I1196" i="19"/>
  <c r="K1195" i="19"/>
  <c r="I1195" i="19"/>
  <c r="K1194" i="19"/>
  <c r="I1194" i="19"/>
  <c r="K219" i="19"/>
  <c r="I219" i="19"/>
  <c r="K791" i="19"/>
  <c r="I791" i="19"/>
  <c r="K1193" i="19"/>
  <c r="I1193" i="19"/>
  <c r="K1192" i="19"/>
  <c r="I1192" i="19"/>
  <c r="K1191" i="19"/>
  <c r="I1191" i="19"/>
  <c r="K1190" i="19"/>
  <c r="I1190" i="19"/>
  <c r="K1189" i="19"/>
  <c r="I1189" i="19"/>
  <c r="K1188" i="19"/>
  <c r="I1188" i="19"/>
  <c r="K915" i="19"/>
  <c r="I915" i="19"/>
  <c r="K333" i="19"/>
  <c r="I333" i="19"/>
  <c r="K1187" i="19"/>
  <c r="I1187" i="19"/>
  <c r="K698" i="19"/>
  <c r="I698" i="19"/>
  <c r="K914" i="19"/>
  <c r="I914" i="19"/>
  <c r="K1186" i="19"/>
  <c r="I1186" i="19"/>
  <c r="K1185" i="19"/>
  <c r="I1185" i="19"/>
  <c r="K1184" i="19"/>
  <c r="I1184" i="19"/>
  <c r="K1183" i="19"/>
  <c r="I1183" i="19"/>
  <c r="K1182" i="19"/>
  <c r="I1182" i="19"/>
  <c r="K1181" i="19"/>
  <c r="I1181" i="19"/>
  <c r="K1180" i="19"/>
  <c r="I1180" i="19"/>
  <c r="K1179" i="19"/>
  <c r="I1179" i="19"/>
  <c r="K1178" i="19"/>
  <c r="I1178" i="19"/>
  <c r="K974" i="19"/>
  <c r="I974" i="19"/>
  <c r="K1177" i="19"/>
  <c r="I1177" i="19"/>
  <c r="K1176" i="19"/>
  <c r="I1176" i="19"/>
  <c r="K1175" i="19"/>
  <c r="I1175" i="19"/>
  <c r="K596" i="19"/>
  <c r="I596" i="19"/>
  <c r="K1174" i="19"/>
  <c r="I1174" i="19"/>
  <c r="K1173" i="19"/>
  <c r="I1173" i="19"/>
  <c r="K190" i="19"/>
  <c r="I190" i="19"/>
  <c r="K1172" i="19"/>
  <c r="I1172" i="19"/>
  <c r="K1171" i="19"/>
  <c r="I1171" i="19"/>
  <c r="K1170" i="19"/>
  <c r="I1170" i="19"/>
  <c r="K90" i="19"/>
  <c r="I90" i="19"/>
  <c r="K358" i="19"/>
  <c r="I358" i="19"/>
  <c r="K234" i="19"/>
  <c r="I234" i="19"/>
  <c r="K1169" i="19"/>
  <c r="I1169" i="19"/>
  <c r="K1168" i="19"/>
  <c r="I1168" i="19"/>
  <c r="K1167" i="19"/>
  <c r="I1167" i="19"/>
  <c r="K1166" i="19"/>
  <c r="I1166" i="19"/>
  <c r="K1165" i="19"/>
  <c r="I1165" i="19"/>
  <c r="K973" i="19"/>
  <c r="I973" i="19"/>
  <c r="K221" i="19"/>
  <c r="I221" i="19"/>
  <c r="K233" i="19"/>
  <c r="I233" i="19"/>
  <c r="K537" i="19"/>
  <c r="I537" i="19"/>
  <c r="K1164" i="19"/>
  <c r="I1164" i="19"/>
  <c r="K1163" i="19"/>
  <c r="I1163" i="19"/>
  <c r="K950" i="19"/>
  <c r="I950" i="19"/>
  <c r="K790" i="19"/>
  <c r="I790" i="19"/>
  <c r="K697" i="19"/>
  <c r="I697" i="19"/>
  <c r="K1162" i="19"/>
  <c r="I1162" i="19"/>
  <c r="K696" i="19"/>
  <c r="I696" i="19"/>
  <c r="K1161" i="19"/>
  <c r="I1161" i="19"/>
  <c r="K1160" i="19"/>
  <c r="I1160" i="19"/>
  <c r="K1159" i="19"/>
  <c r="I1159" i="19"/>
  <c r="K913" i="19"/>
  <c r="I913" i="19"/>
  <c r="K912" i="19"/>
  <c r="I912" i="19"/>
  <c r="K499" i="19"/>
  <c r="I499" i="19"/>
  <c r="K1158" i="19"/>
  <c r="I1158" i="19"/>
  <c r="K1157" i="19"/>
  <c r="I1157" i="19"/>
  <c r="K274" i="19"/>
  <c r="I274" i="19"/>
  <c r="K1156" i="19"/>
  <c r="I1156" i="19"/>
  <c r="K1155" i="19"/>
  <c r="I1155" i="19"/>
  <c r="K1154" i="19"/>
  <c r="I1154" i="19"/>
  <c r="K498" i="19"/>
  <c r="I498" i="19"/>
  <c r="K1153" i="19"/>
  <c r="I1153" i="19"/>
  <c r="K1152" i="19"/>
  <c r="I1152" i="19"/>
  <c r="K1151" i="19"/>
  <c r="I1151" i="19"/>
  <c r="K1150" i="19"/>
  <c r="I1150" i="19"/>
  <c r="K1149" i="19"/>
  <c r="I1149" i="19"/>
  <c r="K1148" i="19"/>
  <c r="I1148" i="19"/>
  <c r="K736" i="19"/>
  <c r="I736" i="19"/>
  <c r="K1147" i="19"/>
  <c r="I1147" i="19"/>
  <c r="K789" i="19"/>
  <c r="I789" i="19"/>
  <c r="K1146" i="19"/>
  <c r="I1146" i="19"/>
  <c r="K175" i="19"/>
  <c r="I175" i="19"/>
  <c r="K497" i="19"/>
  <c r="I497" i="19"/>
  <c r="K595" i="19"/>
  <c r="I595" i="19"/>
  <c r="K911" i="19"/>
  <c r="I911" i="19"/>
  <c r="K218" i="19"/>
  <c r="I218" i="19"/>
  <c r="K68" i="19"/>
  <c r="I68" i="19"/>
  <c r="K910" i="19"/>
  <c r="I910" i="19"/>
  <c r="K1145" i="19"/>
  <c r="I1145" i="19"/>
  <c r="K735" i="19"/>
  <c r="I735" i="19"/>
  <c r="K496" i="19"/>
  <c r="I496" i="19"/>
  <c r="K1144" i="19"/>
  <c r="I1144" i="19"/>
  <c r="K909" i="19"/>
  <c r="I909" i="19"/>
  <c r="K1143" i="19"/>
  <c r="I1143" i="19"/>
  <c r="K1142" i="19"/>
  <c r="I1142" i="19"/>
  <c r="K1141" i="19"/>
  <c r="I1141" i="19"/>
  <c r="K1140" i="19"/>
  <c r="I1140" i="19"/>
  <c r="K1139" i="19"/>
  <c r="I1139" i="19"/>
  <c r="K1138" i="19"/>
  <c r="I1138" i="19"/>
  <c r="K1137" i="19"/>
  <c r="I1137" i="19"/>
  <c r="K31" i="19"/>
  <c r="I31" i="19"/>
  <c r="K1136" i="19"/>
  <c r="I1136" i="19"/>
  <c r="K338" i="19"/>
  <c r="I338" i="19"/>
  <c r="K1135" i="19"/>
  <c r="I1135" i="19"/>
  <c r="K1134" i="19"/>
  <c r="I1134" i="19"/>
  <c r="K788" i="19"/>
  <c r="I788" i="19"/>
  <c r="K1133" i="19"/>
  <c r="I1133" i="19"/>
  <c r="K1132" i="19"/>
  <c r="I1132" i="19"/>
  <c r="K1131" i="19"/>
  <c r="I1131" i="19"/>
  <c r="K1130" i="19"/>
  <c r="I1130" i="19"/>
  <c r="K138" i="19"/>
  <c r="I138" i="19"/>
  <c r="K1129" i="19"/>
  <c r="I1129" i="19"/>
  <c r="K1128" i="19"/>
  <c r="I1128" i="19"/>
  <c r="K120" i="19"/>
  <c r="I120" i="19"/>
  <c r="K695" i="19"/>
  <c r="I695" i="19"/>
  <c r="K1127" i="19"/>
  <c r="I1127" i="19"/>
  <c r="K908" i="19"/>
  <c r="I908" i="19"/>
  <c r="K1126" i="19"/>
  <c r="I1126" i="19"/>
  <c r="K63" i="19"/>
  <c r="I63" i="19"/>
  <c r="K1125" i="19"/>
  <c r="I1125" i="19"/>
  <c r="K495" i="19"/>
  <c r="I495" i="19"/>
  <c r="K1124" i="19"/>
  <c r="I1124" i="19"/>
  <c r="K1123" i="19"/>
  <c r="I1123" i="19"/>
  <c r="K1122" i="19"/>
  <c r="I1122" i="19"/>
  <c r="K1121" i="19"/>
  <c r="I1121" i="19"/>
  <c r="K1120" i="19"/>
  <c r="I1120" i="19"/>
  <c r="K1119" i="19"/>
  <c r="I1119" i="19"/>
  <c r="K694" i="19"/>
  <c r="I694" i="19"/>
  <c r="K273" i="19"/>
  <c r="I273" i="19"/>
  <c r="K1118" i="19"/>
  <c r="I1118" i="19"/>
  <c r="K494" i="19"/>
  <c r="I494" i="19"/>
  <c r="K493" i="19"/>
  <c r="I493" i="19"/>
  <c r="K1117" i="19"/>
  <c r="I1117" i="19"/>
  <c r="K174" i="19"/>
  <c r="I174" i="19"/>
  <c r="K242" i="19"/>
  <c r="I242" i="19"/>
  <c r="K492" i="19"/>
  <c r="I492" i="19"/>
  <c r="K1116" i="19"/>
  <c r="I1116" i="19"/>
  <c r="K1115" i="19"/>
  <c r="I1115" i="19"/>
  <c r="K1114" i="19"/>
  <c r="I1114" i="19"/>
  <c r="K1113" i="19"/>
  <c r="I1113" i="19"/>
  <c r="K1112" i="19"/>
  <c r="I1112" i="19"/>
  <c r="K1111" i="19"/>
  <c r="I1111" i="19"/>
  <c r="K1110" i="19"/>
  <c r="I1110" i="19"/>
  <c r="K787" i="19"/>
  <c r="I787" i="19"/>
  <c r="K1109" i="19"/>
  <c r="I1109" i="19"/>
  <c r="K357" i="19"/>
  <c r="I357" i="19"/>
  <c r="K1108" i="19"/>
  <c r="I1108" i="19"/>
  <c r="K907" i="19"/>
  <c r="I907" i="19"/>
  <c r="K972" i="19"/>
  <c r="I972" i="19"/>
  <c r="K1107" i="19"/>
  <c r="I1107" i="19"/>
  <c r="K1106" i="19"/>
  <c r="I1106" i="19"/>
  <c r="K786" i="19"/>
  <c r="I786" i="19"/>
  <c r="K491" i="19"/>
  <c r="I491" i="19"/>
  <c r="K906" i="19"/>
  <c r="I906" i="19"/>
  <c r="K1105" i="19"/>
  <c r="I1105" i="19"/>
  <c r="K241" i="19"/>
  <c r="I241" i="19"/>
  <c r="K1104" i="19"/>
  <c r="I1104" i="19"/>
  <c r="K1103" i="19"/>
  <c r="I1103" i="19"/>
  <c r="K785" i="19"/>
  <c r="I785" i="19"/>
  <c r="K232" i="19"/>
  <c r="I232" i="19"/>
  <c r="K490" i="19"/>
  <c r="I490" i="19"/>
  <c r="K1102" i="19"/>
  <c r="I1102" i="19"/>
  <c r="K784" i="19"/>
  <c r="I784" i="19"/>
  <c r="K594" i="19"/>
  <c r="I594" i="19"/>
  <c r="K1101" i="19"/>
  <c r="I1101" i="19"/>
  <c r="K405" i="19"/>
  <c r="I405" i="19"/>
  <c r="K1100" i="19"/>
  <c r="I1100" i="19"/>
  <c r="K1099" i="19"/>
  <c r="I1099" i="19"/>
  <c r="K1098" i="19"/>
  <c r="I1098" i="19"/>
  <c r="K1097" i="19"/>
  <c r="I1097" i="19"/>
  <c r="K1096" i="19"/>
  <c r="I1096" i="19"/>
  <c r="K1095" i="19"/>
  <c r="I1095" i="19"/>
  <c r="K1094" i="19"/>
  <c r="I1094" i="19"/>
  <c r="K693" i="19"/>
  <c r="I693" i="19"/>
  <c r="K1093" i="19"/>
  <c r="I1093" i="19"/>
  <c r="K1092" i="19"/>
  <c r="I1092" i="19"/>
  <c r="K1091" i="19"/>
  <c r="I1091" i="19"/>
  <c r="K1090" i="19"/>
  <c r="I1090" i="19"/>
  <c r="K1089" i="19"/>
  <c r="I1089" i="19"/>
  <c r="K1088" i="19"/>
  <c r="I1088" i="19"/>
  <c r="K356" i="19"/>
  <c r="I356" i="19"/>
  <c r="K1087" i="19"/>
  <c r="I1087" i="19"/>
  <c r="K1086" i="19"/>
  <c r="I1086" i="19"/>
  <c r="K1085" i="19"/>
  <c r="I1085" i="19"/>
  <c r="K355" i="19"/>
  <c r="I355" i="19"/>
  <c r="K1084" i="19"/>
  <c r="I1084" i="19"/>
  <c r="K1083" i="19"/>
  <c r="I1083" i="19"/>
  <c r="K1082" i="19"/>
  <c r="I1082" i="19"/>
  <c r="K1081" i="19"/>
  <c r="I1081" i="19"/>
  <c r="K1080" i="19"/>
  <c r="I1080" i="19"/>
  <c r="K593" i="19"/>
  <c r="I593" i="19"/>
  <c r="K62" i="19"/>
  <c r="I62" i="19"/>
  <c r="K1079" i="19"/>
  <c r="I1079" i="19"/>
  <c r="K272" i="19"/>
  <c r="I272" i="19"/>
  <c r="K244" i="19"/>
  <c r="I244" i="19"/>
  <c r="K1078" i="19"/>
  <c r="I1078" i="19"/>
  <c r="K1077" i="19"/>
  <c r="I1077" i="19"/>
  <c r="K725" i="19"/>
  <c r="I725" i="19"/>
  <c r="K1076" i="19"/>
  <c r="I1076" i="19"/>
  <c r="K1075" i="19"/>
  <c r="I1075" i="19"/>
  <c r="K1074" i="19"/>
  <c r="I1074" i="19"/>
  <c r="K1073" i="19"/>
  <c r="I1073" i="19"/>
  <c r="K1072" i="19"/>
  <c r="I1072" i="19"/>
  <c r="K724" i="19"/>
  <c r="I724" i="19"/>
  <c r="K1071" i="19"/>
  <c r="I1071" i="19"/>
  <c r="K1070" i="19"/>
  <c r="I1070" i="19"/>
  <c r="K489" i="19"/>
  <c r="I489" i="19"/>
  <c r="K1069" i="19"/>
  <c r="I1069" i="19"/>
  <c r="K1068" i="19"/>
  <c r="I1068" i="19"/>
  <c r="K1067" i="19"/>
  <c r="I1067" i="19"/>
  <c r="K1066" i="19"/>
  <c r="I1066" i="19"/>
  <c r="K1065" i="19"/>
  <c r="I1065" i="19"/>
  <c r="K1064" i="19"/>
  <c r="I1064" i="19"/>
  <c r="K905" i="19"/>
  <c r="I905" i="19"/>
  <c r="K904" i="19"/>
  <c r="I904" i="19"/>
  <c r="K692" i="19"/>
  <c r="I692" i="19"/>
  <c r="K903" i="19"/>
  <c r="I903" i="19"/>
  <c r="K271" i="19"/>
  <c r="I271" i="19"/>
  <c r="K1063" i="19"/>
  <c r="I1063" i="19"/>
  <c r="K363" i="19"/>
  <c r="I363" i="19"/>
  <c r="K231" i="19"/>
  <c r="I231" i="19"/>
  <c r="K1062" i="19"/>
  <c r="I1062" i="19"/>
  <c r="K691" i="19"/>
  <c r="I691" i="19"/>
  <c r="K1061" i="19"/>
  <c r="I1061" i="19"/>
  <c r="K1060" i="19"/>
  <c r="I1060" i="19"/>
  <c r="K1059" i="19"/>
  <c r="I1059" i="19"/>
  <c r="K1058" i="19"/>
  <c r="I1058" i="19"/>
  <c r="K404" i="19"/>
  <c r="I404" i="19"/>
  <c r="K111" i="19"/>
  <c r="I111" i="19"/>
  <c r="K1057" i="19"/>
  <c r="I1057" i="19"/>
  <c r="K1056" i="19"/>
  <c r="I1056" i="19"/>
  <c r="K1055" i="19"/>
  <c r="I1055" i="19"/>
  <c r="K1054" i="19"/>
  <c r="I1054" i="19"/>
  <c r="K1053" i="19"/>
  <c r="I1053" i="19"/>
  <c r="K1052" i="19"/>
  <c r="I1052" i="19"/>
  <c r="K1051" i="19"/>
  <c r="I1051" i="19"/>
  <c r="K1050" i="19"/>
  <c r="I1050" i="19"/>
  <c r="K1049" i="19"/>
  <c r="I1049" i="19"/>
  <c r="K137" i="19"/>
  <c r="I137" i="19"/>
  <c r="K1048" i="19"/>
  <c r="I1048" i="19"/>
  <c r="K1047" i="19"/>
  <c r="I1047" i="19"/>
  <c r="K1046" i="19"/>
  <c r="I1046" i="19"/>
  <c r="K1045" i="19"/>
  <c r="I1045" i="19"/>
  <c r="K1044" i="19"/>
  <c r="I1044" i="19"/>
  <c r="K488" i="19"/>
  <c r="I488" i="19"/>
  <c r="K592" i="19"/>
  <c r="I592" i="19"/>
  <c r="K546" i="19"/>
  <c r="I546" i="19"/>
  <c r="K487" i="19"/>
  <c r="I487" i="19"/>
  <c r="K53" i="19"/>
  <c r="I53" i="19"/>
  <c r="K332" i="19"/>
  <c r="I332" i="19"/>
  <c r="K1043" i="19"/>
  <c r="I1043" i="19"/>
  <c r="K149" i="19"/>
  <c r="I149" i="19"/>
  <c r="K1042" i="19"/>
  <c r="I1042" i="19"/>
  <c r="K1041" i="19"/>
  <c r="I1041" i="19"/>
  <c r="K734" i="19"/>
  <c r="I734" i="19"/>
  <c r="K283" i="19"/>
  <c r="I283" i="19"/>
  <c r="K1040" i="19"/>
  <c r="I1040" i="19"/>
  <c r="K1039" i="19"/>
  <c r="I1039" i="19"/>
  <c r="K690" i="19"/>
  <c r="I690" i="19"/>
  <c r="K1038" i="19"/>
  <c r="I1038" i="19"/>
  <c r="K1037" i="19"/>
  <c r="I1037" i="19"/>
  <c r="K270" i="19"/>
  <c r="I270" i="19"/>
  <c r="K902" i="19"/>
  <c r="I902" i="19"/>
  <c r="K689" i="19"/>
  <c r="I689" i="19"/>
  <c r="K733" i="19"/>
  <c r="I733" i="19"/>
  <c r="K1036" i="19"/>
  <c r="I1036" i="19"/>
  <c r="K529" i="19"/>
  <c r="I529" i="19"/>
  <c r="K1035" i="19"/>
  <c r="I1035" i="19"/>
  <c r="K1034" i="19"/>
  <c r="I1034" i="19"/>
  <c r="K189" i="19"/>
  <c r="I189" i="19"/>
  <c r="K1033" i="19"/>
  <c r="I1033" i="19"/>
  <c r="K1032" i="19"/>
  <c r="I1032" i="19"/>
  <c r="K1031" i="19"/>
  <c r="I1031" i="19"/>
  <c r="K1030" i="19"/>
  <c r="I1030" i="19"/>
  <c r="K1029" i="19"/>
  <c r="I1029" i="19"/>
  <c r="K1028" i="19"/>
  <c r="I1028" i="19"/>
  <c r="K1027" i="19"/>
  <c r="I1027" i="19"/>
  <c r="K1026" i="19"/>
  <c r="I1026" i="19"/>
  <c r="K723" i="19"/>
  <c r="I723" i="19"/>
  <c r="K1025" i="19"/>
  <c r="I1025" i="19"/>
  <c r="K1024" i="19"/>
  <c r="I1024" i="19"/>
  <c r="K36" i="19"/>
  <c r="I36" i="19"/>
  <c r="K1023" i="19"/>
  <c r="I1023" i="19"/>
  <c r="K1022" i="19"/>
  <c r="I1022" i="19"/>
  <c r="K1021" i="19"/>
  <c r="I1021" i="19"/>
  <c r="K1020" i="19"/>
  <c r="I1020" i="19"/>
  <c r="K61" i="19"/>
  <c r="I61" i="19"/>
  <c r="K269" i="19"/>
  <c r="I269" i="19"/>
  <c r="K1019" i="19"/>
  <c r="I1019" i="19"/>
  <c r="K136" i="19"/>
  <c r="I136" i="19"/>
  <c r="K1018" i="19"/>
  <c r="I1018" i="19"/>
  <c r="K591" i="19"/>
  <c r="I591" i="19"/>
  <c r="K1017" i="19"/>
  <c r="I1017" i="19"/>
  <c r="K1016" i="19"/>
  <c r="I1016" i="19"/>
  <c r="K331" i="19"/>
  <c r="I331" i="19"/>
  <c r="K1015" i="19"/>
  <c r="I1015" i="19"/>
  <c r="K783" i="19"/>
  <c r="I783" i="19"/>
  <c r="K24" i="19"/>
  <c r="I24" i="19"/>
  <c r="K782" i="19"/>
  <c r="I782" i="19"/>
  <c r="K1014" i="19"/>
  <c r="I1014" i="19"/>
  <c r="K1013" i="19"/>
  <c r="I1013" i="19"/>
  <c r="K230" i="19"/>
  <c r="I230" i="19"/>
  <c r="K732" i="19"/>
  <c r="I732" i="19"/>
  <c r="K486" i="19"/>
  <c r="I486" i="19"/>
  <c r="K1012" i="19"/>
  <c r="I1012" i="19"/>
  <c r="K485" i="19"/>
  <c r="I485" i="19"/>
  <c r="K66" i="19"/>
  <c r="I66" i="19"/>
  <c r="K1011" i="19"/>
  <c r="I1011" i="19"/>
  <c r="K901" i="19"/>
  <c r="I901" i="19"/>
  <c r="K971" i="19"/>
  <c r="I971" i="19"/>
  <c r="K1010" i="19"/>
  <c r="I1010" i="19"/>
  <c r="K1009" i="19"/>
  <c r="I1009" i="19"/>
  <c r="K268" i="19"/>
  <c r="I268" i="19"/>
  <c r="K267" i="19"/>
  <c r="I267" i="19"/>
  <c r="K900" i="19"/>
  <c r="I900" i="19"/>
  <c r="K1008" i="19"/>
  <c r="I1008" i="19"/>
  <c r="K970" i="19"/>
  <c r="I970" i="19"/>
  <c r="K1007" i="19"/>
  <c r="I1007" i="19"/>
  <c r="K1006" i="19"/>
  <c r="I1006" i="19"/>
  <c r="K1005" i="19"/>
  <c r="I1005" i="19"/>
  <c r="K1004" i="19"/>
  <c r="I1004" i="19"/>
  <c r="K528" i="19"/>
  <c r="I528" i="19"/>
  <c r="K722" i="19"/>
  <c r="I722" i="19"/>
  <c r="K1003" i="19"/>
  <c r="I1003" i="19"/>
  <c r="K1002" i="19"/>
  <c r="I1002" i="19"/>
  <c r="K1001" i="19"/>
  <c r="I1001" i="19"/>
  <c r="K425" i="19"/>
  <c r="I425" i="19"/>
  <c r="K1000" i="19"/>
  <c r="I1000" i="19"/>
  <c r="K688" i="19"/>
  <c r="I688" i="19"/>
  <c r="K999" i="19"/>
  <c r="I999" i="19"/>
  <c r="K998" i="19"/>
  <c r="I998" i="19"/>
  <c r="K997" i="19"/>
  <c r="I997" i="19"/>
  <c r="K996" i="19"/>
  <c r="I996" i="19"/>
  <c r="K995" i="19"/>
  <c r="I995" i="19"/>
  <c r="K994" i="19"/>
  <c r="I994" i="19"/>
  <c r="K993" i="19"/>
  <c r="I993" i="19"/>
  <c r="K899" i="19"/>
  <c r="I899" i="19"/>
  <c r="K613" i="19"/>
  <c r="I613" i="19"/>
  <c r="K781" i="19"/>
  <c r="I781" i="19"/>
  <c r="K992" i="19"/>
  <c r="I992" i="19"/>
  <c r="K590" i="19"/>
  <c r="I590" i="19"/>
  <c r="K991" i="19"/>
  <c r="I991" i="19"/>
  <c r="K990" i="19"/>
  <c r="I990" i="19"/>
  <c r="K898" i="19"/>
  <c r="I898" i="19"/>
  <c r="K989" i="19"/>
  <c r="I989" i="19"/>
  <c r="K55" i="19"/>
  <c r="I55" i="19"/>
  <c r="K988" i="19"/>
  <c r="I988" i="19"/>
  <c r="K987" i="19"/>
  <c r="I987" i="19"/>
  <c r="K986" i="19"/>
  <c r="I986" i="19"/>
  <c r="K985" i="19"/>
  <c r="I985" i="19"/>
  <c r="K484" i="19"/>
  <c r="I484" i="19"/>
  <c r="K984" i="19"/>
  <c r="I984" i="19"/>
  <c r="K969" i="19"/>
  <c r="I969" i="19"/>
  <c r="K968" i="19"/>
  <c r="I968" i="19"/>
  <c r="K967" i="19"/>
  <c r="I967" i="19"/>
  <c r="K966" i="19"/>
  <c r="I966" i="19"/>
  <c r="K965" i="19"/>
  <c r="I965" i="19"/>
  <c r="K964" i="19"/>
  <c r="I964" i="19"/>
  <c r="K963" i="19"/>
  <c r="I963" i="19"/>
  <c r="K962" i="19"/>
  <c r="I962" i="19"/>
  <c r="K961" i="19"/>
  <c r="I961" i="19"/>
  <c r="K960" i="19"/>
  <c r="I960" i="19"/>
  <c r="K959" i="19"/>
  <c r="I959" i="19"/>
  <c r="K958" i="19"/>
  <c r="I958" i="19"/>
  <c r="K957" i="19"/>
  <c r="I957" i="19"/>
  <c r="K956" i="19"/>
  <c r="I956" i="19"/>
  <c r="K955" i="19"/>
  <c r="I955" i="19"/>
  <c r="K954" i="19"/>
  <c r="I954" i="19"/>
  <c r="K953" i="19"/>
  <c r="I953" i="19"/>
  <c r="K952" i="19"/>
  <c r="I952" i="19"/>
  <c r="K949" i="19"/>
  <c r="I949" i="19"/>
  <c r="K948" i="19"/>
  <c r="I948" i="19"/>
  <c r="K946" i="19"/>
  <c r="I946" i="19"/>
  <c r="K897" i="19"/>
  <c r="I897" i="19"/>
  <c r="K896" i="19"/>
  <c r="I896" i="19"/>
  <c r="K895" i="19"/>
  <c r="I895" i="19"/>
  <c r="K894" i="19"/>
  <c r="I894" i="19"/>
  <c r="K893" i="19"/>
  <c r="I893" i="19"/>
  <c r="K892" i="19"/>
  <c r="I892" i="19"/>
  <c r="K891" i="19"/>
  <c r="I891" i="19"/>
  <c r="K890" i="19"/>
  <c r="I890" i="19"/>
  <c r="K889" i="19"/>
  <c r="I889" i="19"/>
  <c r="K888" i="19"/>
  <c r="I888" i="19"/>
  <c r="K887" i="19"/>
  <c r="I887" i="19"/>
  <c r="K886" i="19"/>
  <c r="I886" i="19"/>
  <c r="K885" i="19"/>
  <c r="I885" i="19"/>
  <c r="K884" i="19"/>
  <c r="I884" i="19"/>
  <c r="K883" i="19"/>
  <c r="I883" i="19"/>
  <c r="K882" i="19"/>
  <c r="I882" i="19"/>
  <c r="K881" i="19"/>
  <c r="I881" i="19"/>
  <c r="K880" i="19"/>
  <c r="I880" i="19"/>
  <c r="K879" i="19"/>
  <c r="I879" i="19"/>
  <c r="K878" i="19"/>
  <c r="I878" i="19"/>
  <c r="K877" i="19"/>
  <c r="I877" i="19"/>
  <c r="K876" i="19"/>
  <c r="I876" i="19"/>
  <c r="K875" i="19"/>
  <c r="I875" i="19"/>
  <c r="K874" i="19"/>
  <c r="I874" i="19"/>
  <c r="K873" i="19"/>
  <c r="I873" i="19"/>
  <c r="K872" i="19"/>
  <c r="I872" i="19"/>
  <c r="K871" i="19"/>
  <c r="I871" i="19"/>
  <c r="K870" i="19"/>
  <c r="I870" i="19"/>
  <c r="K869" i="19"/>
  <c r="I869" i="19"/>
  <c r="K868" i="19"/>
  <c r="I868" i="19"/>
  <c r="K867" i="19"/>
  <c r="I867" i="19"/>
  <c r="K866" i="19"/>
  <c r="I866" i="19"/>
  <c r="K865" i="19"/>
  <c r="I865" i="19"/>
  <c r="K864" i="19"/>
  <c r="I864" i="19"/>
  <c r="K863" i="19"/>
  <c r="I863" i="19"/>
  <c r="K862" i="19"/>
  <c r="I862" i="19"/>
  <c r="K861" i="19"/>
  <c r="I861" i="19"/>
  <c r="K860" i="19"/>
  <c r="I860" i="19"/>
  <c r="K859" i="19"/>
  <c r="I859" i="19"/>
  <c r="K858" i="19"/>
  <c r="I858" i="19"/>
  <c r="K857" i="19"/>
  <c r="I857" i="19"/>
  <c r="K856" i="19"/>
  <c r="I856" i="19"/>
  <c r="K855" i="19"/>
  <c r="I855" i="19"/>
  <c r="K854" i="19"/>
  <c r="I854" i="19"/>
  <c r="K853" i="19"/>
  <c r="I853" i="19"/>
  <c r="K852" i="19"/>
  <c r="I852" i="19"/>
  <c r="K851" i="19"/>
  <c r="I851" i="19"/>
  <c r="K850" i="19"/>
  <c r="I850" i="19"/>
  <c r="K849" i="19"/>
  <c r="I849" i="19"/>
  <c r="K848" i="19"/>
  <c r="I848" i="19"/>
  <c r="K847" i="19"/>
  <c r="I847" i="19"/>
  <c r="K846" i="19"/>
  <c r="I846" i="19"/>
  <c r="K845" i="19"/>
  <c r="I845" i="19"/>
  <c r="K844" i="19"/>
  <c r="I844" i="19"/>
  <c r="K843" i="19"/>
  <c r="I843" i="19"/>
  <c r="K842" i="19"/>
  <c r="I842" i="19"/>
  <c r="K841" i="19"/>
  <c r="I841" i="19"/>
  <c r="K840" i="19"/>
  <c r="I840" i="19"/>
  <c r="K839" i="19"/>
  <c r="I839" i="19"/>
  <c r="K838" i="19"/>
  <c r="I838" i="19"/>
  <c r="K837" i="19"/>
  <c r="I837" i="19"/>
  <c r="K836" i="19"/>
  <c r="I836" i="19"/>
  <c r="K835" i="19"/>
  <c r="I835" i="19"/>
  <c r="K834" i="19"/>
  <c r="I834" i="19"/>
  <c r="K833" i="19"/>
  <c r="I833" i="19"/>
  <c r="K832" i="19"/>
  <c r="I832" i="19"/>
  <c r="K831" i="19"/>
  <c r="I831" i="19"/>
  <c r="K830" i="19"/>
  <c r="I830" i="19"/>
  <c r="K829" i="19"/>
  <c r="I829" i="19"/>
  <c r="K828" i="19"/>
  <c r="I828" i="19"/>
  <c r="K827" i="19"/>
  <c r="I827" i="19"/>
  <c r="K826" i="19"/>
  <c r="I826" i="19"/>
  <c r="K825" i="19"/>
  <c r="I825" i="19"/>
  <c r="K824" i="19"/>
  <c r="I824" i="19"/>
  <c r="K823" i="19"/>
  <c r="I823" i="19"/>
  <c r="K822" i="19"/>
  <c r="I822" i="19"/>
  <c r="K821" i="19"/>
  <c r="I821" i="19"/>
  <c r="K820" i="19"/>
  <c r="I820" i="19"/>
  <c r="K819" i="19"/>
  <c r="I819" i="19"/>
  <c r="K818" i="19"/>
  <c r="I818" i="19"/>
  <c r="K817" i="19"/>
  <c r="I817" i="19"/>
  <c r="K816" i="19"/>
  <c r="I816" i="19"/>
  <c r="K815" i="19"/>
  <c r="I815" i="19"/>
  <c r="K814" i="19"/>
  <c r="I814" i="19"/>
  <c r="K813" i="19"/>
  <c r="I813" i="19"/>
  <c r="K812" i="19"/>
  <c r="I812" i="19"/>
  <c r="K811" i="19"/>
  <c r="I811" i="19"/>
  <c r="K810" i="19"/>
  <c r="I810" i="19"/>
  <c r="K809" i="19"/>
  <c r="I809" i="19"/>
  <c r="K808" i="19"/>
  <c r="I808" i="19"/>
  <c r="K807" i="19"/>
  <c r="I807" i="19"/>
  <c r="K806" i="19"/>
  <c r="I806" i="19"/>
  <c r="K805" i="19"/>
  <c r="I805" i="19"/>
  <c r="K804" i="19"/>
  <c r="I804" i="19"/>
  <c r="K780" i="19"/>
  <c r="I780" i="19"/>
  <c r="K779" i="19"/>
  <c r="I779" i="19"/>
  <c r="K778" i="19"/>
  <c r="I778" i="19"/>
  <c r="K777" i="19"/>
  <c r="I777" i="19"/>
  <c r="K776" i="19"/>
  <c r="I776" i="19"/>
  <c r="K775" i="19"/>
  <c r="I775" i="19"/>
  <c r="K774" i="19"/>
  <c r="I774" i="19"/>
  <c r="K773" i="19"/>
  <c r="I773" i="19"/>
  <c r="K772" i="19"/>
  <c r="I772" i="19"/>
  <c r="K771" i="19"/>
  <c r="I771" i="19"/>
  <c r="K770" i="19"/>
  <c r="I770" i="19"/>
  <c r="K769" i="19"/>
  <c r="I769" i="19"/>
  <c r="K768" i="19"/>
  <c r="I768" i="19"/>
  <c r="K767" i="19"/>
  <c r="I767" i="19"/>
  <c r="K766" i="19"/>
  <c r="I766" i="19"/>
  <c r="K765" i="19"/>
  <c r="I765" i="19"/>
  <c r="K764" i="19"/>
  <c r="I764" i="19"/>
  <c r="K763" i="19"/>
  <c r="I763" i="19"/>
  <c r="K762" i="19"/>
  <c r="I762" i="19"/>
  <c r="K761" i="19"/>
  <c r="I761" i="19"/>
  <c r="K760" i="19"/>
  <c r="I760" i="19"/>
  <c r="K759" i="19"/>
  <c r="I759" i="19"/>
  <c r="K758" i="19"/>
  <c r="I758" i="19"/>
  <c r="K757" i="19"/>
  <c r="I757" i="19"/>
  <c r="K756" i="19"/>
  <c r="I756" i="19"/>
  <c r="K755" i="19"/>
  <c r="I755" i="19"/>
  <c r="K754" i="19"/>
  <c r="I754" i="19"/>
  <c r="K753" i="19"/>
  <c r="I753" i="19"/>
  <c r="K752" i="19"/>
  <c r="I752" i="19"/>
  <c r="K751" i="19"/>
  <c r="I751" i="19"/>
  <c r="K750" i="19"/>
  <c r="I750" i="19"/>
  <c r="K749" i="19"/>
  <c r="I749" i="19"/>
  <c r="K748" i="19"/>
  <c r="I748" i="19"/>
  <c r="K747" i="19"/>
  <c r="I747" i="19"/>
  <c r="K746" i="19"/>
  <c r="I746" i="19"/>
  <c r="K745" i="19"/>
  <c r="I745" i="19"/>
  <c r="K744" i="19"/>
  <c r="I744" i="19"/>
  <c r="K743" i="19"/>
  <c r="I743" i="19"/>
  <c r="K742" i="19"/>
  <c r="I742" i="19"/>
  <c r="K741" i="19"/>
  <c r="I741" i="19"/>
  <c r="K740" i="19"/>
  <c r="I740" i="19"/>
  <c r="K739" i="19"/>
  <c r="I739" i="19"/>
  <c r="K731" i="19"/>
  <c r="I731" i="19"/>
  <c r="K730" i="19"/>
  <c r="I730" i="19"/>
  <c r="K729" i="19"/>
  <c r="I729" i="19"/>
  <c r="K721" i="19"/>
  <c r="I721" i="19"/>
  <c r="K720" i="19"/>
  <c r="I720" i="19"/>
  <c r="K719" i="19"/>
  <c r="I719" i="19"/>
  <c r="K687" i="19"/>
  <c r="I687" i="19"/>
  <c r="K686" i="19"/>
  <c r="I686" i="19"/>
  <c r="K685" i="19"/>
  <c r="I685" i="19"/>
  <c r="K684" i="19"/>
  <c r="I684" i="19"/>
  <c r="K683" i="19"/>
  <c r="I683" i="19"/>
  <c r="K682" i="19"/>
  <c r="I682" i="19"/>
  <c r="K681" i="19"/>
  <c r="I681" i="19"/>
  <c r="K680" i="19"/>
  <c r="I680" i="19"/>
  <c r="K679" i="19"/>
  <c r="I679" i="19"/>
  <c r="K678" i="19"/>
  <c r="I678" i="19"/>
  <c r="K677" i="19"/>
  <c r="I677" i="19"/>
  <c r="K676" i="19"/>
  <c r="I676" i="19"/>
  <c r="K675" i="19"/>
  <c r="I675" i="19"/>
  <c r="K674" i="19"/>
  <c r="I674" i="19"/>
  <c r="K673" i="19"/>
  <c r="I673" i="19"/>
  <c r="K672" i="19"/>
  <c r="I672" i="19"/>
  <c r="K671" i="19"/>
  <c r="I671" i="19"/>
  <c r="K670" i="19"/>
  <c r="I670" i="19"/>
  <c r="K669" i="19"/>
  <c r="I669" i="19"/>
  <c r="K668" i="19"/>
  <c r="I668" i="19"/>
  <c r="K667" i="19"/>
  <c r="I667" i="19"/>
  <c r="K666" i="19"/>
  <c r="I666" i="19"/>
  <c r="K665" i="19"/>
  <c r="I665" i="19"/>
  <c r="K664" i="19"/>
  <c r="I664" i="19"/>
  <c r="K663" i="19"/>
  <c r="I663" i="19"/>
  <c r="K662" i="19"/>
  <c r="I662" i="19"/>
  <c r="K661" i="19"/>
  <c r="I661" i="19"/>
  <c r="K660" i="19"/>
  <c r="I660" i="19"/>
  <c r="K659" i="19"/>
  <c r="I659" i="19"/>
  <c r="K658" i="19"/>
  <c r="I658" i="19"/>
  <c r="K657" i="19"/>
  <c r="I657" i="19"/>
  <c r="K656" i="19"/>
  <c r="I656" i="19"/>
  <c r="K655" i="19"/>
  <c r="I655" i="19"/>
  <c r="K654" i="19"/>
  <c r="I654" i="19"/>
  <c r="K653" i="19"/>
  <c r="I653" i="19"/>
  <c r="K652" i="19"/>
  <c r="I652" i="19"/>
  <c r="K651" i="19"/>
  <c r="I651" i="19"/>
  <c r="K650" i="19"/>
  <c r="I650" i="19"/>
  <c r="K649" i="19"/>
  <c r="I649" i="19"/>
  <c r="K648" i="19"/>
  <c r="I648" i="19"/>
  <c r="K647" i="19"/>
  <c r="I647" i="19"/>
  <c r="K646" i="19"/>
  <c r="I646" i="19"/>
  <c r="K645" i="19"/>
  <c r="I645" i="19"/>
  <c r="K644" i="19"/>
  <c r="I644" i="19"/>
  <c r="K643" i="19"/>
  <c r="I643" i="19"/>
  <c r="K642" i="19"/>
  <c r="I642" i="19"/>
  <c r="K641" i="19"/>
  <c r="I641" i="19"/>
  <c r="K640" i="19"/>
  <c r="I640" i="19"/>
  <c r="K639" i="19"/>
  <c r="I639" i="19"/>
  <c r="K638" i="19"/>
  <c r="I638" i="19"/>
  <c r="K637" i="19"/>
  <c r="I637" i="19"/>
  <c r="K636" i="19"/>
  <c r="I636" i="19"/>
  <c r="K635" i="19"/>
  <c r="I635" i="19"/>
  <c r="K634" i="19"/>
  <c r="I634" i="19"/>
  <c r="K633" i="19"/>
  <c r="I633" i="19"/>
  <c r="K632" i="19"/>
  <c r="I632" i="19"/>
  <c r="K631" i="19"/>
  <c r="I631" i="19"/>
  <c r="K630" i="19"/>
  <c r="I630" i="19"/>
  <c r="K629" i="19"/>
  <c r="I629" i="19"/>
  <c r="K628" i="19"/>
  <c r="I628" i="19"/>
  <c r="K627" i="19"/>
  <c r="I627" i="19"/>
  <c r="K626" i="19"/>
  <c r="I626" i="19"/>
  <c r="K625" i="19"/>
  <c r="I625" i="19"/>
  <c r="K624" i="19"/>
  <c r="I624" i="19"/>
  <c r="K623" i="19"/>
  <c r="I623" i="19"/>
  <c r="K622" i="19"/>
  <c r="I622" i="19"/>
  <c r="K621" i="19"/>
  <c r="I621" i="19"/>
  <c r="K620" i="19"/>
  <c r="I620" i="19"/>
  <c r="K619" i="19"/>
  <c r="I619" i="19"/>
  <c r="K618" i="19"/>
  <c r="I618" i="19"/>
  <c r="K617" i="19"/>
  <c r="I617" i="19"/>
  <c r="K616" i="19"/>
  <c r="I616" i="19"/>
  <c r="K612" i="19"/>
  <c r="I612" i="19"/>
  <c r="K611" i="19"/>
  <c r="I611" i="19"/>
  <c r="K610" i="19"/>
  <c r="I610" i="19"/>
  <c r="K609" i="19"/>
  <c r="I609" i="19"/>
  <c r="K589" i="19"/>
  <c r="I589" i="19"/>
  <c r="K588" i="19"/>
  <c r="I588" i="19"/>
  <c r="K587" i="19"/>
  <c r="I587" i="19"/>
  <c r="K586" i="19"/>
  <c r="I586" i="19"/>
  <c r="K585" i="19"/>
  <c r="I585" i="19"/>
  <c r="K584" i="19"/>
  <c r="I584" i="19"/>
  <c r="K583" i="19"/>
  <c r="I583" i="19"/>
  <c r="K582" i="19"/>
  <c r="I582" i="19"/>
  <c r="K581" i="19"/>
  <c r="I581" i="19"/>
  <c r="K580" i="19"/>
  <c r="I580" i="19"/>
  <c r="K579" i="19"/>
  <c r="I579" i="19"/>
  <c r="K578" i="19"/>
  <c r="I578" i="19"/>
  <c r="K577" i="19"/>
  <c r="I577" i="19"/>
  <c r="K576" i="19"/>
  <c r="I576" i="19"/>
  <c r="K575" i="19"/>
  <c r="I575" i="19"/>
  <c r="K574" i="19"/>
  <c r="I574" i="19"/>
  <c r="K573" i="19"/>
  <c r="I573" i="19"/>
  <c r="K572" i="19"/>
  <c r="I572" i="19"/>
  <c r="K571" i="19"/>
  <c r="I571" i="19"/>
  <c r="K570" i="19"/>
  <c r="I570" i="19"/>
  <c r="K569" i="19"/>
  <c r="I569" i="19"/>
  <c r="K568" i="19"/>
  <c r="I568" i="19"/>
  <c r="K567" i="19"/>
  <c r="I567" i="19"/>
  <c r="K566" i="19"/>
  <c r="I566" i="19"/>
  <c r="K565" i="19"/>
  <c r="I565" i="19"/>
  <c r="K564" i="19"/>
  <c r="I564" i="19"/>
  <c r="K563" i="19"/>
  <c r="I563" i="19"/>
  <c r="K562" i="19"/>
  <c r="I562" i="19"/>
  <c r="K561" i="19"/>
  <c r="I561" i="19"/>
  <c r="K560" i="19"/>
  <c r="I560" i="19"/>
  <c r="K559" i="19"/>
  <c r="I559" i="19"/>
  <c r="K558" i="19"/>
  <c r="I558" i="19"/>
  <c r="K557" i="19"/>
  <c r="I557" i="19"/>
  <c r="K556" i="19"/>
  <c r="I556" i="19"/>
  <c r="K555" i="19"/>
  <c r="I555" i="19"/>
  <c r="K608" i="19"/>
  <c r="I608" i="19"/>
  <c r="K554" i="19"/>
  <c r="I554" i="19"/>
  <c r="K553" i="19"/>
  <c r="I553" i="19"/>
  <c r="K552" i="19"/>
  <c r="I552" i="19"/>
  <c r="K551" i="19"/>
  <c r="I551" i="19"/>
  <c r="K550" i="19"/>
  <c r="I550" i="19"/>
  <c r="K549" i="19"/>
  <c r="I549" i="19"/>
  <c r="K545" i="19"/>
  <c r="I545" i="19"/>
  <c r="K544" i="19"/>
  <c r="I544" i="19"/>
  <c r="K543" i="19"/>
  <c r="I543" i="19"/>
  <c r="K542" i="19"/>
  <c r="I542" i="19"/>
  <c r="K541" i="19"/>
  <c r="I541" i="19"/>
  <c r="K538" i="19"/>
  <c r="I538" i="19"/>
  <c r="K548" i="19"/>
  <c r="I548" i="19"/>
  <c r="K536" i="19"/>
  <c r="I536" i="19"/>
  <c r="K527" i="19"/>
  <c r="I527" i="19"/>
  <c r="K526" i="19"/>
  <c r="I526" i="19"/>
  <c r="K525" i="19"/>
  <c r="I525" i="19"/>
  <c r="K524" i="19"/>
  <c r="I524" i="19"/>
  <c r="K523" i="19"/>
  <c r="I523" i="19"/>
  <c r="K522" i="19"/>
  <c r="I522" i="19"/>
  <c r="K521" i="19"/>
  <c r="I521" i="19"/>
  <c r="K520" i="19"/>
  <c r="I520" i="19"/>
  <c r="K519" i="19"/>
  <c r="I519" i="19"/>
  <c r="K518" i="19"/>
  <c r="I518" i="19"/>
  <c r="K517" i="19"/>
  <c r="I517" i="19"/>
  <c r="K516" i="19"/>
  <c r="I516" i="19"/>
  <c r="K515" i="19"/>
  <c r="I515" i="19"/>
  <c r="K514" i="19"/>
  <c r="I514" i="19"/>
  <c r="K513" i="19"/>
  <c r="I513" i="19"/>
  <c r="K512" i="19"/>
  <c r="I512" i="19"/>
  <c r="K511" i="19"/>
  <c r="I511" i="19"/>
  <c r="K483" i="19"/>
  <c r="I483" i="19"/>
  <c r="K482" i="19"/>
  <c r="I482" i="19"/>
  <c r="K481" i="19"/>
  <c r="I481" i="19"/>
  <c r="K480" i="19"/>
  <c r="I480" i="19"/>
  <c r="K479" i="19"/>
  <c r="I479" i="19"/>
  <c r="K478" i="19"/>
  <c r="I478" i="19"/>
  <c r="K477" i="19"/>
  <c r="I477" i="19"/>
  <c r="K476" i="19"/>
  <c r="I476" i="19"/>
  <c r="K475" i="19"/>
  <c r="I475" i="19"/>
  <c r="K474" i="19"/>
  <c r="I474" i="19"/>
  <c r="K473" i="19"/>
  <c r="I473" i="19"/>
  <c r="K472" i="19"/>
  <c r="I472" i="19"/>
  <c r="K471" i="19"/>
  <c r="I471" i="19"/>
  <c r="K470" i="19"/>
  <c r="I470" i="19"/>
  <c r="K469" i="19"/>
  <c r="I469" i="19"/>
  <c r="K468" i="19"/>
  <c r="I468" i="19"/>
  <c r="K467" i="19"/>
  <c r="I467" i="19"/>
  <c r="K466" i="19"/>
  <c r="I466" i="19"/>
  <c r="K465" i="19"/>
  <c r="I465" i="19"/>
  <c r="K464" i="19"/>
  <c r="I464" i="19"/>
  <c r="K463" i="19"/>
  <c r="I463" i="19"/>
  <c r="K462" i="19"/>
  <c r="I462" i="19"/>
  <c r="K461" i="19"/>
  <c r="I461" i="19"/>
  <c r="K460" i="19"/>
  <c r="I460" i="19"/>
  <c r="K459" i="19"/>
  <c r="I459" i="19"/>
  <c r="K458" i="19"/>
  <c r="I458" i="19"/>
  <c r="K457" i="19"/>
  <c r="I457" i="19"/>
  <c r="K456" i="19"/>
  <c r="I456" i="19"/>
  <c r="K455" i="19"/>
  <c r="I455" i="19"/>
  <c r="K454" i="19"/>
  <c r="I454" i="19"/>
  <c r="K453" i="19"/>
  <c r="I453" i="19"/>
  <c r="K452" i="19"/>
  <c r="I452" i="19"/>
  <c r="K451" i="19"/>
  <c r="I451" i="19"/>
  <c r="K450" i="19"/>
  <c r="I450" i="19"/>
  <c r="K449" i="19"/>
  <c r="I449" i="19"/>
  <c r="K448" i="19"/>
  <c r="I448" i="19"/>
  <c r="K447" i="19"/>
  <c r="I447" i="19"/>
  <c r="K446" i="19"/>
  <c r="I446" i="19"/>
  <c r="K445" i="19"/>
  <c r="I445" i="19"/>
  <c r="K444" i="19"/>
  <c r="I444" i="19"/>
  <c r="K443" i="19"/>
  <c r="I443" i="19"/>
  <c r="K442" i="19"/>
  <c r="I442" i="19"/>
  <c r="K441" i="19"/>
  <c r="I441" i="19"/>
  <c r="K440" i="19"/>
  <c r="I440" i="19"/>
  <c r="K439" i="19"/>
  <c r="I439" i="19"/>
  <c r="K438" i="19"/>
  <c r="I438" i="19"/>
  <c r="K437" i="19"/>
  <c r="I437" i="19"/>
  <c r="K433" i="19"/>
  <c r="I433" i="19"/>
  <c r="K432" i="19"/>
  <c r="I432" i="19"/>
  <c r="K431" i="19"/>
  <c r="I431" i="19"/>
  <c r="K430" i="19"/>
  <c r="I430" i="19"/>
  <c r="K429" i="19"/>
  <c r="I429" i="19"/>
  <c r="K428" i="19"/>
  <c r="I428" i="19"/>
  <c r="K427" i="19"/>
  <c r="I427" i="19"/>
  <c r="K426" i="19"/>
  <c r="I426" i="19"/>
  <c r="K421" i="19"/>
  <c r="I421" i="19"/>
  <c r="K420" i="19"/>
  <c r="I420" i="19"/>
  <c r="K419" i="19"/>
  <c r="I419" i="19"/>
  <c r="K418" i="19"/>
  <c r="I418" i="19"/>
  <c r="K417" i="19"/>
  <c r="I417" i="19"/>
  <c r="K416" i="19"/>
  <c r="I416" i="19"/>
  <c r="K415" i="19"/>
  <c r="I415" i="19"/>
  <c r="K414" i="19"/>
  <c r="I414" i="19"/>
  <c r="K424" i="19"/>
  <c r="I424" i="19"/>
  <c r="K423" i="19"/>
  <c r="I423" i="19"/>
  <c r="K422" i="19"/>
  <c r="I422" i="19"/>
  <c r="K403" i="19"/>
  <c r="I403" i="19"/>
  <c r="K402" i="19"/>
  <c r="I402" i="19"/>
  <c r="K401" i="19"/>
  <c r="I401" i="19"/>
  <c r="K400" i="19"/>
  <c r="I400" i="19"/>
  <c r="K399" i="19"/>
  <c r="I399" i="19"/>
  <c r="K398" i="19"/>
  <c r="I398" i="19"/>
  <c r="K397" i="19"/>
  <c r="I397" i="19"/>
  <c r="K396" i="19"/>
  <c r="I396" i="19"/>
  <c r="K395" i="19"/>
  <c r="I395" i="19"/>
  <c r="K394" i="19"/>
  <c r="I394" i="19"/>
  <c r="K393" i="19"/>
  <c r="I393" i="19"/>
  <c r="K392" i="19"/>
  <c r="I392" i="19"/>
  <c r="K391" i="19"/>
  <c r="I391" i="19"/>
  <c r="K390" i="19"/>
  <c r="I390" i="19"/>
  <c r="K389" i="19"/>
  <c r="I389" i="19"/>
  <c r="K388" i="19"/>
  <c r="I388" i="19"/>
  <c r="K387" i="19"/>
  <c r="I387" i="19"/>
  <c r="K386" i="19"/>
  <c r="I386" i="19"/>
  <c r="K385" i="19"/>
  <c r="I385" i="19"/>
  <c r="K384" i="19"/>
  <c r="I384" i="19"/>
  <c r="K383" i="19"/>
  <c r="I383" i="19"/>
  <c r="K382" i="19"/>
  <c r="I382" i="19"/>
  <c r="K381" i="19"/>
  <c r="I381" i="19"/>
  <c r="K380" i="19"/>
  <c r="I380" i="19"/>
  <c r="K379" i="19"/>
  <c r="I379" i="19"/>
  <c r="K378" i="19"/>
  <c r="I378" i="19"/>
  <c r="K377" i="19"/>
  <c r="I377" i="19"/>
  <c r="K376" i="19"/>
  <c r="I376" i="19"/>
  <c r="K375" i="19"/>
  <c r="I375" i="19"/>
  <c r="K374" i="19"/>
  <c r="I374" i="19"/>
  <c r="K373" i="19"/>
  <c r="I373" i="19"/>
  <c r="K372" i="19"/>
  <c r="I372" i="19"/>
  <c r="K371" i="19"/>
  <c r="I371" i="19"/>
  <c r="K370" i="19"/>
  <c r="I370" i="19"/>
  <c r="K369" i="19"/>
  <c r="I369" i="19"/>
  <c r="K368" i="19"/>
  <c r="I368" i="19"/>
  <c r="K367" i="19"/>
  <c r="I367" i="19"/>
  <c r="K366" i="19"/>
  <c r="I366" i="19"/>
  <c r="K365" i="19"/>
  <c r="I365" i="19"/>
  <c r="K364" i="19"/>
  <c r="I364" i="19"/>
  <c r="K361" i="19"/>
  <c r="I361" i="19"/>
  <c r="K360" i="19"/>
  <c r="I360" i="19"/>
  <c r="K362" i="19"/>
  <c r="I362" i="19"/>
  <c r="K354" i="19"/>
  <c r="I354" i="19"/>
  <c r="K353" i="19"/>
  <c r="I353" i="19"/>
  <c r="K352" i="19"/>
  <c r="I352" i="19"/>
  <c r="K351" i="19"/>
  <c r="I351" i="19"/>
  <c r="K350" i="19"/>
  <c r="I350" i="19"/>
  <c r="K349" i="19"/>
  <c r="I349" i="19"/>
  <c r="K348" i="19"/>
  <c r="I348" i="19"/>
  <c r="K347" i="19"/>
  <c r="I347" i="19"/>
  <c r="K346" i="19"/>
  <c r="I346" i="19"/>
  <c r="K345" i="19"/>
  <c r="I345" i="19"/>
  <c r="K344" i="19"/>
  <c r="I344" i="19"/>
  <c r="K343" i="19"/>
  <c r="I343" i="19"/>
  <c r="K342" i="19"/>
  <c r="I342" i="19"/>
  <c r="K341" i="19"/>
  <c r="I341" i="19"/>
  <c r="K340" i="19"/>
  <c r="I340" i="19"/>
  <c r="K339" i="19"/>
  <c r="I339" i="19"/>
  <c r="K330" i="19"/>
  <c r="I330" i="19"/>
  <c r="K329" i="19"/>
  <c r="I329" i="19"/>
  <c r="K328" i="19"/>
  <c r="I328" i="19"/>
  <c r="K327" i="19"/>
  <c r="I327" i="19"/>
  <c r="K326" i="19"/>
  <c r="I326" i="19"/>
  <c r="K325" i="19"/>
  <c r="I325" i="19"/>
  <c r="K324" i="19"/>
  <c r="I324" i="19"/>
  <c r="K323" i="19"/>
  <c r="I323" i="19"/>
  <c r="K322" i="19"/>
  <c r="I322" i="19"/>
  <c r="K321" i="19"/>
  <c r="I321" i="19"/>
  <c r="K320" i="19"/>
  <c r="I320" i="19"/>
  <c r="K319" i="19"/>
  <c r="I319" i="19"/>
  <c r="K318" i="19"/>
  <c r="I318" i="19"/>
  <c r="K317" i="19"/>
  <c r="I317" i="19"/>
  <c r="K316" i="19"/>
  <c r="I316" i="19"/>
  <c r="K315" i="19"/>
  <c r="I315" i="19"/>
  <c r="K314" i="19"/>
  <c r="I314" i="19"/>
  <c r="K313" i="19"/>
  <c r="I313" i="19"/>
  <c r="K312" i="19"/>
  <c r="I312" i="19"/>
  <c r="K311" i="19"/>
  <c r="I311" i="19"/>
  <c r="K310" i="19"/>
  <c r="I310" i="19"/>
  <c r="K309" i="19"/>
  <c r="I309" i="19"/>
  <c r="K308" i="19"/>
  <c r="I308" i="19"/>
  <c r="K307" i="19"/>
  <c r="I307" i="19"/>
  <c r="K306" i="19"/>
  <c r="I306" i="19"/>
  <c r="K305" i="19"/>
  <c r="I305" i="19"/>
  <c r="K304" i="19"/>
  <c r="I304" i="19"/>
  <c r="K303" i="19"/>
  <c r="I303" i="19"/>
  <c r="K302" i="19"/>
  <c r="I302" i="19"/>
  <c r="K301" i="19"/>
  <c r="I301" i="19"/>
  <c r="K300" i="19"/>
  <c r="I300" i="19"/>
  <c r="K299" i="19"/>
  <c r="I299" i="19"/>
  <c r="K298" i="19"/>
  <c r="I298" i="19"/>
  <c r="K297" i="19"/>
  <c r="I297" i="19"/>
  <c r="K296" i="19"/>
  <c r="I296" i="19"/>
  <c r="K295" i="19"/>
  <c r="I295" i="19"/>
  <c r="K294" i="19"/>
  <c r="I294" i="19"/>
  <c r="K293" i="19"/>
  <c r="I293" i="19"/>
  <c r="K292" i="19"/>
  <c r="I292" i="19"/>
  <c r="K291" i="19"/>
  <c r="I291" i="19"/>
  <c r="K289" i="19"/>
  <c r="I289" i="19"/>
  <c r="K288" i="19"/>
  <c r="I288" i="19"/>
  <c r="K287" i="19"/>
  <c r="I287" i="19"/>
  <c r="K286" i="19"/>
  <c r="I286" i="19"/>
  <c r="K285" i="19"/>
  <c r="I285" i="19"/>
  <c r="K282" i="19"/>
  <c r="I282" i="19"/>
  <c r="K281" i="19"/>
  <c r="I281" i="19"/>
  <c r="K280" i="19"/>
  <c r="I280" i="19"/>
  <c r="K279" i="19"/>
  <c r="I279" i="19"/>
  <c r="K278" i="19"/>
  <c r="I278" i="19"/>
  <c r="K266" i="19"/>
  <c r="I266" i="19"/>
  <c r="K265" i="19"/>
  <c r="I265" i="19"/>
  <c r="K264" i="19"/>
  <c r="I264" i="19"/>
  <c r="K263" i="19"/>
  <c r="I263" i="19"/>
  <c r="K262" i="19"/>
  <c r="I262" i="19"/>
  <c r="K261" i="19"/>
  <c r="I261" i="19"/>
  <c r="K260" i="19"/>
  <c r="I260" i="19"/>
  <c r="K259" i="19"/>
  <c r="I259" i="19"/>
  <c r="K258" i="19"/>
  <c r="I258" i="19"/>
  <c r="K257" i="19"/>
  <c r="I257" i="19"/>
  <c r="K256" i="19"/>
  <c r="I256" i="19"/>
  <c r="K255" i="19"/>
  <c r="I255" i="19"/>
  <c r="K254" i="19"/>
  <c r="I254" i="19"/>
  <c r="K253" i="19"/>
  <c r="I253" i="19"/>
  <c r="K252" i="19"/>
  <c r="I252" i="19"/>
  <c r="K251" i="19"/>
  <c r="I251" i="19"/>
  <c r="K250" i="19"/>
  <c r="I250" i="19"/>
  <c r="K249" i="19"/>
  <c r="I249" i="19"/>
  <c r="K248" i="19"/>
  <c r="I248" i="19"/>
  <c r="K247" i="19"/>
  <c r="I247" i="19"/>
  <c r="K246" i="19"/>
  <c r="I246" i="19"/>
  <c r="K245" i="19"/>
  <c r="I245" i="19"/>
  <c r="K243" i="19"/>
  <c r="I243" i="19"/>
  <c r="K240" i="19"/>
  <c r="I240" i="19"/>
  <c r="K239" i="19"/>
  <c r="I239" i="19"/>
  <c r="K229" i="19"/>
  <c r="I229" i="19"/>
  <c r="K228" i="19"/>
  <c r="I228" i="19"/>
  <c r="K227" i="19"/>
  <c r="I227" i="19"/>
  <c r="K226" i="19"/>
  <c r="I226" i="19"/>
  <c r="K225" i="19"/>
  <c r="I225" i="19"/>
  <c r="K224" i="19"/>
  <c r="I224" i="19"/>
  <c r="K223" i="19"/>
  <c r="I223" i="19"/>
  <c r="K222" i="19"/>
  <c r="I222" i="19"/>
  <c r="K217" i="19"/>
  <c r="I217" i="19"/>
  <c r="K216" i="19"/>
  <c r="I216" i="19"/>
  <c r="K215" i="19"/>
  <c r="I215" i="19"/>
  <c r="K214" i="19"/>
  <c r="I214" i="19"/>
  <c r="K213" i="19"/>
  <c r="I213" i="19"/>
  <c r="K212" i="19"/>
  <c r="I212" i="19"/>
  <c r="K211" i="19"/>
  <c r="I211" i="19"/>
  <c r="K210" i="19"/>
  <c r="I210" i="19"/>
  <c r="K209" i="19"/>
  <c r="I209" i="19"/>
  <c r="K208" i="19"/>
  <c r="I208" i="19"/>
  <c r="K207" i="19"/>
  <c r="I207" i="19"/>
  <c r="K206" i="19"/>
  <c r="I206" i="19"/>
  <c r="K205" i="19"/>
  <c r="I205" i="19"/>
  <c r="K204" i="19"/>
  <c r="I204" i="19"/>
  <c r="K203" i="19"/>
  <c r="I203" i="19"/>
  <c r="K202" i="19"/>
  <c r="I202" i="19"/>
  <c r="K201" i="19"/>
  <c r="I201" i="19"/>
  <c r="K200" i="19"/>
  <c r="I200" i="19"/>
  <c r="K199" i="19"/>
  <c r="I199" i="19"/>
  <c r="K198" i="19"/>
  <c r="I198" i="19"/>
  <c r="K197" i="19"/>
  <c r="I197" i="19"/>
  <c r="K196" i="19"/>
  <c r="I196" i="19"/>
  <c r="K195" i="19"/>
  <c r="I195" i="19"/>
  <c r="K194" i="19"/>
  <c r="I194" i="19"/>
  <c r="K193" i="19"/>
  <c r="I193" i="19"/>
  <c r="K192" i="19"/>
  <c r="I192" i="19"/>
  <c r="K191" i="19"/>
  <c r="I191" i="19"/>
  <c r="K188" i="19"/>
  <c r="I188" i="19"/>
  <c r="K187" i="19"/>
  <c r="I187" i="19"/>
  <c r="K186" i="19"/>
  <c r="I186" i="19"/>
  <c r="K185" i="19"/>
  <c r="I185" i="19"/>
  <c r="K184" i="19"/>
  <c r="I184" i="19"/>
  <c r="K183" i="19"/>
  <c r="I183" i="19"/>
  <c r="K182" i="19"/>
  <c r="I182" i="19"/>
  <c r="K181" i="19"/>
  <c r="I181" i="19"/>
  <c r="K180" i="19"/>
  <c r="I180" i="19"/>
  <c r="K179" i="19"/>
  <c r="I179" i="19"/>
  <c r="K173" i="19"/>
  <c r="I173" i="19"/>
  <c r="K172" i="19"/>
  <c r="I172" i="19"/>
  <c r="K171" i="19"/>
  <c r="I171" i="19"/>
  <c r="K170" i="19"/>
  <c r="I170" i="19"/>
  <c r="K169" i="19"/>
  <c r="I169" i="19"/>
  <c r="K168" i="19"/>
  <c r="I168" i="19"/>
  <c r="K167" i="19"/>
  <c r="I167" i="19"/>
  <c r="K166" i="19"/>
  <c r="I166" i="19"/>
  <c r="K165" i="19"/>
  <c r="I165" i="19"/>
  <c r="K164" i="19"/>
  <c r="I164" i="19"/>
  <c r="K163" i="19"/>
  <c r="I163" i="19"/>
  <c r="K162" i="19"/>
  <c r="I162" i="19"/>
  <c r="K161" i="19"/>
  <c r="I161" i="19"/>
  <c r="K160" i="19"/>
  <c r="I160" i="19"/>
  <c r="K159" i="19"/>
  <c r="I159" i="19"/>
  <c r="K158" i="19"/>
  <c r="I158" i="19"/>
  <c r="K157" i="19"/>
  <c r="I157" i="19"/>
  <c r="K156" i="19"/>
  <c r="I156" i="19"/>
  <c r="K155" i="19"/>
  <c r="I155" i="19"/>
  <c r="K154" i="19"/>
  <c r="I154" i="19"/>
  <c r="K152" i="19"/>
  <c r="I152" i="19"/>
  <c r="K135" i="19"/>
  <c r="I135" i="19"/>
  <c r="K134" i="19"/>
  <c r="I134" i="19"/>
  <c r="K133" i="19"/>
  <c r="I133" i="19"/>
  <c r="K132" i="19"/>
  <c r="I132" i="19"/>
  <c r="K131" i="19"/>
  <c r="I131" i="19"/>
  <c r="K130" i="19"/>
  <c r="I130" i="19"/>
  <c r="K129" i="19"/>
  <c r="I129" i="19"/>
  <c r="K128" i="19"/>
  <c r="I128" i="19"/>
  <c r="K127" i="19"/>
  <c r="I127" i="19"/>
  <c r="K126" i="19"/>
  <c r="I126" i="19"/>
  <c r="K125" i="19"/>
  <c r="I125" i="19"/>
  <c r="K124" i="19"/>
  <c r="I124" i="19"/>
  <c r="K123" i="19"/>
  <c r="I123" i="19"/>
  <c r="K122" i="19"/>
  <c r="I122" i="19"/>
  <c r="K148" i="19"/>
  <c r="I148" i="19"/>
  <c r="K147" i="19"/>
  <c r="I147" i="19"/>
  <c r="K146" i="19"/>
  <c r="I146" i="19"/>
  <c r="K145" i="19"/>
  <c r="I145" i="19"/>
  <c r="K144" i="19"/>
  <c r="I144" i="19"/>
  <c r="K143" i="19"/>
  <c r="I143" i="19"/>
  <c r="K142" i="19"/>
  <c r="I142" i="19"/>
  <c r="K119" i="19"/>
  <c r="I119" i="19"/>
  <c r="K118" i="19"/>
  <c r="I118" i="19"/>
  <c r="K117" i="19"/>
  <c r="I117" i="19"/>
  <c r="K116" i="19"/>
  <c r="I116" i="19"/>
  <c r="K115" i="19"/>
  <c r="I115" i="19"/>
  <c r="K110" i="19"/>
  <c r="I110" i="19"/>
  <c r="K109" i="19"/>
  <c r="I109" i="19"/>
  <c r="K108" i="19"/>
  <c r="I108" i="19"/>
  <c r="K107" i="19"/>
  <c r="I107" i="19"/>
  <c r="K106" i="19"/>
  <c r="I106" i="19"/>
  <c r="K105" i="19"/>
  <c r="I105" i="19"/>
  <c r="K104" i="19"/>
  <c r="I104" i="19"/>
  <c r="K103" i="19"/>
  <c r="I103" i="19"/>
  <c r="K102" i="19"/>
  <c r="I102" i="19"/>
  <c r="K101" i="19"/>
  <c r="I101" i="19"/>
  <c r="K100" i="19"/>
  <c r="I100" i="19"/>
  <c r="K99" i="19"/>
  <c r="I99" i="19"/>
  <c r="K98" i="19"/>
  <c r="I98" i="19"/>
  <c r="K113" i="19"/>
  <c r="I113" i="19"/>
  <c r="K97" i="19"/>
  <c r="I97" i="19"/>
  <c r="K96" i="19"/>
  <c r="I96" i="19"/>
  <c r="K95" i="19"/>
  <c r="I95" i="19"/>
  <c r="K94" i="19"/>
  <c r="I94" i="19"/>
  <c r="K93" i="19"/>
  <c r="I93" i="19"/>
  <c r="K89" i="19"/>
  <c r="I89" i="19"/>
  <c r="K88" i="19"/>
  <c r="I88" i="19"/>
  <c r="K87" i="19"/>
  <c r="I87" i="19"/>
  <c r="K86" i="19"/>
  <c r="I86" i="19"/>
  <c r="K85" i="19"/>
  <c r="I85" i="19"/>
  <c r="K84" i="19"/>
  <c r="I84" i="19"/>
  <c r="K83" i="19"/>
  <c r="I83" i="19"/>
  <c r="K82" i="19"/>
  <c r="I82" i="19"/>
  <c r="K81" i="19"/>
  <c r="I81" i="19"/>
  <c r="K79" i="19"/>
  <c r="I79" i="19"/>
  <c r="K78" i="19"/>
  <c r="I78" i="19"/>
  <c r="K77" i="19"/>
  <c r="I77" i="19"/>
  <c r="K76" i="19"/>
  <c r="I76" i="19"/>
  <c r="K75" i="19"/>
  <c r="I75" i="19"/>
  <c r="K74" i="19"/>
  <c r="I74" i="19"/>
  <c r="K73" i="19"/>
  <c r="I73" i="19"/>
  <c r="K72" i="19"/>
  <c r="I72" i="19"/>
  <c r="K71" i="19"/>
  <c r="I71" i="19"/>
  <c r="K69" i="19"/>
  <c r="I69" i="19"/>
  <c r="K65" i="19"/>
  <c r="I65" i="19"/>
  <c r="K64" i="19"/>
  <c r="I64" i="19"/>
  <c r="K60" i="19"/>
  <c r="I60" i="19"/>
  <c r="K59" i="19"/>
  <c r="I59" i="19"/>
  <c r="K58" i="19"/>
  <c r="I58" i="19"/>
  <c r="K57" i="19"/>
  <c r="I57" i="19"/>
  <c r="K54" i="19"/>
  <c r="I54" i="19"/>
  <c r="K56" i="19"/>
  <c r="I56" i="19"/>
  <c r="K52" i="19"/>
  <c r="I52" i="19"/>
  <c r="K51" i="19"/>
  <c r="I51" i="19"/>
  <c r="K50" i="19"/>
  <c r="I50" i="19"/>
  <c r="K49" i="19"/>
  <c r="I49" i="19"/>
  <c r="K48" i="19"/>
  <c r="I48" i="19"/>
  <c r="K47" i="19"/>
  <c r="I47" i="19"/>
  <c r="K46" i="19"/>
  <c r="I46" i="19"/>
  <c r="K45" i="19"/>
  <c r="I45" i="19"/>
  <c r="K44" i="19"/>
  <c r="I44" i="19"/>
  <c r="K238" i="19"/>
  <c r="I238" i="19"/>
  <c r="K43" i="19"/>
  <c r="I43" i="19"/>
  <c r="K40" i="19"/>
  <c r="I40" i="19"/>
  <c r="K39" i="19"/>
  <c r="I39" i="19"/>
  <c r="K38" i="19"/>
  <c r="I38" i="19"/>
  <c r="K42" i="19"/>
  <c r="I42" i="19"/>
  <c r="K41" i="19"/>
  <c r="I41" i="19"/>
  <c r="K738" i="19"/>
  <c r="I738" i="19"/>
  <c r="K37" i="19"/>
  <c r="I37" i="19"/>
  <c r="K34" i="19"/>
  <c r="I34" i="19"/>
  <c r="K32" i="19"/>
  <c r="I32" i="19"/>
  <c r="K33" i="19"/>
  <c r="I33" i="19"/>
  <c r="K30" i="19"/>
  <c r="I30" i="19"/>
  <c r="K29" i="19"/>
  <c r="I29" i="19"/>
  <c r="K27" i="19"/>
  <c r="I27" i="19"/>
  <c r="K28" i="19"/>
  <c r="I28" i="19"/>
  <c r="K26" i="19"/>
  <c r="I26" i="19"/>
  <c r="K25" i="19"/>
  <c r="I25" i="19"/>
  <c r="K23" i="19"/>
  <c r="I23" i="19"/>
  <c r="K22" i="19"/>
  <c r="I22" i="19"/>
  <c r="K21" i="19"/>
  <c r="I21" i="19"/>
  <c r="K20" i="19"/>
  <c r="I20" i="19"/>
  <c r="K19" i="19"/>
  <c r="I19" i="19"/>
  <c r="K18" i="19"/>
  <c r="I18" i="19"/>
  <c r="K15" i="19"/>
  <c r="I15" i="19"/>
  <c r="K17" i="19"/>
  <c r="I17" i="19"/>
  <c r="K16" i="19"/>
  <c r="I16" i="19"/>
  <c r="K14" i="19"/>
  <c r="I14" i="19"/>
  <c r="K13" i="19"/>
  <c r="I13" i="19"/>
  <c r="K12" i="19"/>
  <c r="I12" i="19"/>
  <c r="K11" i="19"/>
  <c r="I11" i="19"/>
  <c r="K7" i="19"/>
  <c r="I7" i="19"/>
  <c r="K9" i="19"/>
  <c r="I9" i="19"/>
  <c r="K8" i="19"/>
  <c r="I8" i="19"/>
  <c r="K6" i="19"/>
  <c r="I6" i="19"/>
  <c r="K5" i="19"/>
  <c r="I5" i="19"/>
  <c r="K3" i="19"/>
  <c r="I3" i="19"/>
  <c r="K2" i="19"/>
  <c r="I2" i="19"/>
  <c r="H681" i="18" l="1"/>
  <c r="H682" i="18"/>
  <c r="H683" i="18"/>
  <c r="H684" i="18"/>
  <c r="H685" i="18"/>
  <c r="H686" i="18"/>
  <c r="H687" i="18"/>
  <c r="H688" i="18"/>
  <c r="H689" i="18"/>
  <c r="H690" i="18"/>
  <c r="H691" i="18"/>
  <c r="H692" i="18"/>
  <c r="H693" i="18"/>
  <c r="H694" i="18"/>
  <c r="H695" i="18"/>
  <c r="H696" i="18"/>
  <c r="H697" i="18"/>
  <c r="H698" i="18"/>
  <c r="H699" i="18"/>
  <c r="H700" i="18"/>
  <c r="H701" i="18"/>
  <c r="H702" i="18"/>
  <c r="H703" i="18"/>
  <c r="H704" i="18"/>
  <c r="H705" i="18"/>
  <c r="H706" i="18"/>
  <c r="H707" i="18"/>
  <c r="H708" i="18"/>
  <c r="H709" i="18"/>
  <c r="H710" i="18"/>
  <c r="H711" i="18"/>
  <c r="H712" i="18"/>
  <c r="H713" i="18"/>
  <c r="H714" i="18"/>
  <c r="H715" i="18"/>
  <c r="H716" i="18"/>
  <c r="H717" i="18"/>
  <c r="H718" i="18"/>
  <c r="H719" i="18"/>
  <c r="H720" i="18"/>
  <c r="H721" i="18"/>
  <c r="H722" i="18"/>
  <c r="H723" i="18"/>
  <c r="H724" i="18"/>
  <c r="H725" i="18"/>
  <c r="H726" i="18"/>
  <c r="H727" i="18"/>
  <c r="H728" i="18"/>
  <c r="H729" i="18"/>
  <c r="H730" i="18"/>
  <c r="H731" i="18"/>
  <c r="H732" i="18"/>
  <c r="H733" i="18"/>
  <c r="H734" i="18"/>
  <c r="H735" i="18"/>
  <c r="H736" i="18"/>
  <c r="H737" i="18"/>
  <c r="H738" i="18"/>
  <c r="H739" i="18"/>
  <c r="H740" i="18"/>
  <c r="H741" i="18"/>
  <c r="H742" i="18"/>
  <c r="H743" i="18"/>
  <c r="H744" i="18"/>
  <c r="H745" i="18"/>
  <c r="H746" i="18"/>
  <c r="H747" i="18"/>
  <c r="H748" i="18"/>
  <c r="H749" i="18"/>
  <c r="H750" i="18"/>
  <c r="H751" i="18"/>
  <c r="H752" i="18"/>
  <c r="H753" i="18"/>
  <c r="H754" i="18"/>
  <c r="H755" i="18"/>
  <c r="H756" i="18"/>
  <c r="H757" i="18"/>
  <c r="H758" i="18"/>
  <c r="H759" i="18"/>
  <c r="H760" i="18"/>
  <c r="H761" i="18"/>
  <c r="H762" i="18"/>
  <c r="H763" i="18"/>
  <c r="H764" i="18"/>
  <c r="H765" i="18"/>
  <c r="H766" i="18"/>
  <c r="H767" i="18"/>
  <c r="H768" i="18"/>
  <c r="H769" i="18"/>
  <c r="H770" i="18"/>
  <c r="H771" i="18"/>
  <c r="H772" i="18"/>
  <c r="H773" i="18"/>
  <c r="H774" i="18"/>
  <c r="H775" i="18"/>
  <c r="H776" i="18"/>
  <c r="H777" i="18"/>
  <c r="H778" i="18"/>
  <c r="H779" i="18"/>
  <c r="H780" i="18"/>
  <c r="H781" i="18"/>
  <c r="H782" i="18"/>
  <c r="H783" i="18"/>
  <c r="H784" i="18"/>
  <c r="H785" i="18"/>
  <c r="H786" i="18"/>
  <c r="H787" i="18"/>
  <c r="H788" i="18"/>
  <c r="H789" i="18"/>
  <c r="H790" i="18"/>
  <c r="H791" i="18"/>
  <c r="H792" i="18"/>
  <c r="H793" i="18"/>
  <c r="H794" i="18"/>
  <c r="H795" i="18"/>
  <c r="H796" i="18"/>
  <c r="H797" i="18"/>
  <c r="H798" i="18"/>
  <c r="H799" i="18"/>
  <c r="H800" i="18"/>
  <c r="H801" i="18"/>
  <c r="H802" i="18"/>
  <c r="H803" i="18"/>
  <c r="H804" i="18"/>
  <c r="H805" i="18"/>
  <c r="H806" i="18"/>
  <c r="H807" i="18"/>
  <c r="H808" i="18"/>
  <c r="H809" i="18"/>
  <c r="H810" i="18"/>
  <c r="H811" i="18"/>
  <c r="H812" i="18"/>
  <c r="H813" i="18"/>
  <c r="H814" i="18"/>
  <c r="H815" i="18"/>
  <c r="H816" i="18"/>
  <c r="H817" i="18"/>
  <c r="H818" i="18"/>
  <c r="H819" i="18"/>
  <c r="H820" i="18"/>
  <c r="H821" i="18"/>
  <c r="H822" i="18"/>
  <c r="H823" i="18"/>
  <c r="H824" i="18"/>
  <c r="H825" i="18"/>
  <c r="H826" i="18"/>
  <c r="H827" i="18"/>
  <c r="H828" i="18"/>
  <c r="H829" i="18"/>
  <c r="H830" i="18"/>
  <c r="H831" i="18"/>
  <c r="H832" i="18"/>
  <c r="H833" i="18"/>
  <c r="H834" i="18"/>
  <c r="H835" i="18"/>
  <c r="H836" i="18"/>
  <c r="H837" i="18"/>
  <c r="H838" i="18"/>
  <c r="H839" i="18"/>
  <c r="H840" i="18"/>
  <c r="H841" i="18"/>
  <c r="H842" i="18"/>
  <c r="H843" i="18"/>
  <c r="H844" i="18"/>
  <c r="H845" i="18"/>
  <c r="H846" i="18"/>
  <c r="H847" i="18"/>
  <c r="H848" i="18"/>
  <c r="H849" i="18"/>
  <c r="H850" i="18"/>
  <c r="H851" i="18"/>
  <c r="H852" i="18"/>
  <c r="H853" i="18"/>
  <c r="H854" i="18"/>
  <c r="H855" i="18"/>
  <c r="H856" i="18"/>
  <c r="H857" i="18"/>
  <c r="H858" i="18"/>
  <c r="H859" i="18"/>
  <c r="H860" i="18"/>
  <c r="H861" i="18"/>
  <c r="H862" i="18"/>
  <c r="H863" i="18"/>
  <c r="H864" i="18"/>
  <c r="H865" i="18"/>
  <c r="H866" i="18"/>
  <c r="H867" i="18"/>
  <c r="H868" i="18"/>
  <c r="H869" i="18"/>
  <c r="H870" i="18"/>
  <c r="H871" i="18"/>
  <c r="H872" i="18"/>
  <c r="H873" i="18"/>
  <c r="H874" i="18"/>
  <c r="H875" i="18"/>
  <c r="H876" i="18"/>
  <c r="H877" i="18"/>
  <c r="H878" i="18"/>
  <c r="H879" i="18"/>
  <c r="H880" i="18"/>
  <c r="H881" i="18"/>
  <c r="H882" i="18"/>
  <c r="H883" i="18"/>
  <c r="H884" i="18"/>
  <c r="H885" i="18"/>
  <c r="H887" i="18"/>
  <c r="H888" i="18"/>
  <c r="H889" i="18"/>
  <c r="H890" i="18"/>
  <c r="H891" i="18"/>
  <c r="H892" i="18"/>
  <c r="H893" i="18"/>
  <c r="H894" i="18"/>
  <c r="H895" i="18"/>
  <c r="H896" i="18"/>
  <c r="H897" i="18"/>
  <c r="H898" i="18"/>
  <c r="H899" i="18"/>
  <c r="H900" i="18"/>
  <c r="H901" i="18"/>
  <c r="H902" i="18"/>
  <c r="H903" i="18"/>
  <c r="H904" i="18"/>
  <c r="H905" i="18"/>
  <c r="H906" i="18"/>
  <c r="H907" i="18"/>
  <c r="H908" i="18"/>
  <c r="H909" i="18"/>
  <c r="H910" i="18"/>
  <c r="H911" i="18"/>
  <c r="H912" i="18"/>
  <c r="H913" i="18"/>
  <c r="H914" i="18"/>
  <c r="H915" i="18"/>
  <c r="H916" i="18"/>
  <c r="H917" i="18"/>
  <c r="H918" i="18"/>
  <c r="H919" i="18"/>
  <c r="H920" i="18"/>
  <c r="H921" i="18"/>
  <c r="H922" i="18"/>
  <c r="H923" i="18"/>
  <c r="H924" i="18"/>
  <c r="H925" i="18"/>
  <c r="H926" i="18"/>
  <c r="H927" i="18"/>
  <c r="H928" i="18"/>
  <c r="H929" i="18"/>
  <c r="H930" i="18"/>
  <c r="H931" i="18"/>
  <c r="H932" i="18"/>
  <c r="H933" i="18"/>
  <c r="H934" i="18"/>
  <c r="H935" i="18"/>
  <c r="H936" i="18"/>
  <c r="H937" i="18"/>
  <c r="H938" i="18"/>
  <c r="H939" i="18"/>
  <c r="H940" i="18"/>
  <c r="H941" i="18"/>
  <c r="H942" i="18"/>
  <c r="H943" i="18"/>
  <c r="H944" i="18"/>
  <c r="H945" i="18"/>
  <c r="H946" i="18"/>
  <c r="H947" i="18"/>
  <c r="H948" i="18"/>
  <c r="H949" i="18"/>
  <c r="H950" i="18"/>
  <c r="H951" i="18"/>
  <c r="H952" i="18"/>
  <c r="H953" i="18"/>
  <c r="H954" i="18"/>
  <c r="H955" i="18"/>
  <c r="H956" i="18"/>
  <c r="H957" i="18"/>
  <c r="H958" i="18"/>
  <c r="H959" i="18"/>
  <c r="H960" i="18"/>
  <c r="H961" i="18"/>
  <c r="H962" i="18"/>
  <c r="H963" i="18"/>
  <c r="H964" i="18"/>
  <c r="H965" i="18"/>
  <c r="H966" i="18"/>
  <c r="H967" i="18"/>
  <c r="H968" i="18"/>
  <c r="H969" i="18"/>
  <c r="H970" i="18"/>
  <c r="H971" i="18"/>
  <c r="H972" i="18"/>
  <c r="H973" i="18"/>
  <c r="H974" i="18"/>
  <c r="H975" i="18"/>
  <c r="H976" i="18"/>
  <c r="H977" i="18"/>
  <c r="H978" i="18"/>
  <c r="H979" i="18"/>
  <c r="H980" i="18"/>
  <c r="H981" i="18"/>
  <c r="H982" i="18"/>
  <c r="H983" i="18"/>
  <c r="H984" i="18"/>
  <c r="H985" i="18"/>
  <c r="H986" i="18"/>
  <c r="H987" i="18"/>
  <c r="H988" i="18"/>
  <c r="H989" i="18"/>
  <c r="H990" i="18"/>
  <c r="H991" i="18"/>
  <c r="H992" i="18"/>
  <c r="H993" i="18"/>
  <c r="H994" i="18"/>
  <c r="H995" i="18"/>
  <c r="H996" i="18"/>
  <c r="H997" i="18"/>
  <c r="H998" i="18"/>
  <c r="H999" i="18"/>
  <c r="H1000" i="18"/>
  <c r="H1001" i="18"/>
  <c r="H1002" i="18"/>
  <c r="H1003" i="18"/>
  <c r="H1004" i="18"/>
  <c r="H1005" i="18"/>
  <c r="H1006" i="18"/>
  <c r="H1007" i="18"/>
  <c r="H1008" i="18"/>
  <c r="H1009" i="18"/>
  <c r="H1010" i="18"/>
  <c r="H1011" i="18"/>
  <c r="H1012" i="18"/>
  <c r="H1013" i="18"/>
  <c r="H1014" i="18"/>
  <c r="N1127" i="19" s="1"/>
  <c r="H1015" i="18"/>
  <c r="H1016" i="18"/>
  <c r="H1017" i="18"/>
  <c r="H1018" i="18"/>
  <c r="H1019" i="18"/>
  <c r="H1020" i="18"/>
  <c r="H1021" i="18"/>
  <c r="H1022" i="18"/>
  <c r="H1023" i="18"/>
  <c r="H1024" i="18"/>
  <c r="H1025" i="18"/>
  <c r="H1026" i="18"/>
  <c r="H1027" i="18"/>
  <c r="H1028" i="18"/>
  <c r="H1029" i="18"/>
  <c r="H1030" i="18"/>
  <c r="H1031" i="18"/>
  <c r="H1032" i="18"/>
  <c r="H1033" i="18"/>
  <c r="H1034" i="18"/>
  <c r="H1035" i="18"/>
  <c r="H1036" i="18"/>
  <c r="H1037" i="18"/>
  <c r="H1038" i="18"/>
  <c r="H1039" i="18"/>
  <c r="H1040" i="18"/>
  <c r="H1041" i="18"/>
  <c r="H1042" i="18"/>
  <c r="H1043" i="18"/>
  <c r="H1044" i="18"/>
  <c r="H1045" i="18"/>
  <c r="H1046" i="18"/>
  <c r="H1047" i="18"/>
  <c r="H1048" i="18"/>
  <c r="H1049" i="18"/>
  <c r="H1050" i="18"/>
  <c r="H1051" i="18"/>
  <c r="H1052" i="18"/>
  <c r="H1053" i="18"/>
  <c r="H1054" i="18"/>
  <c r="H1055" i="18"/>
  <c r="H1056" i="18"/>
  <c r="H1057" i="18"/>
  <c r="H1058" i="18"/>
  <c r="H1059" i="18"/>
  <c r="H1060" i="18"/>
  <c r="H1061" i="18"/>
  <c r="H1062" i="18"/>
  <c r="H1063" i="18"/>
  <c r="H1064" i="18"/>
  <c r="H1065" i="18"/>
  <c r="H1066" i="18"/>
  <c r="H1067" i="18"/>
  <c r="H1068" i="18"/>
  <c r="H1069" i="18"/>
  <c r="H1070" i="18"/>
  <c r="H1071" i="18"/>
  <c r="H1072" i="18"/>
  <c r="H1073" i="18"/>
  <c r="H1074" i="18"/>
  <c r="H1075" i="18"/>
  <c r="H1076" i="18"/>
  <c r="H1077" i="18"/>
  <c r="H1078" i="18"/>
  <c r="H1079" i="18"/>
  <c r="H1080" i="18"/>
  <c r="H1081" i="18"/>
  <c r="H1082" i="18"/>
  <c r="H1083" i="18"/>
  <c r="H1084" i="18"/>
  <c r="H1085" i="18"/>
  <c r="H1086" i="18"/>
  <c r="H1087" i="18"/>
  <c r="H1088" i="18"/>
  <c r="H1089" i="18"/>
  <c r="H1090" i="18"/>
  <c r="H1091" i="18"/>
  <c r="H1092" i="18"/>
  <c r="H1093" i="18"/>
  <c r="H1094" i="18"/>
  <c r="H1095" i="18"/>
  <c r="H1096" i="18"/>
  <c r="H1097" i="18"/>
  <c r="H1098" i="18"/>
  <c r="H1099" i="18"/>
  <c r="H1100" i="18"/>
  <c r="H1101" i="18"/>
  <c r="H1102" i="18"/>
  <c r="H1103" i="18"/>
  <c r="H1104" i="18"/>
  <c r="H1105" i="18"/>
  <c r="H1106" i="18"/>
  <c r="H1107" i="18"/>
  <c r="H1108" i="18"/>
  <c r="H1109" i="18"/>
  <c r="H1110" i="18"/>
  <c r="H1111" i="18"/>
  <c r="H1112" i="18"/>
  <c r="H1113" i="18"/>
  <c r="H1114" i="18"/>
  <c r="H1115" i="18"/>
  <c r="H1116" i="18"/>
  <c r="H1117" i="18"/>
  <c r="H1118" i="18"/>
  <c r="H1119" i="18"/>
  <c r="H1120" i="18"/>
  <c r="H1121" i="18"/>
  <c r="H1122" i="18"/>
  <c r="H1123" i="18"/>
  <c r="H1124" i="18"/>
  <c r="H1125" i="18"/>
  <c r="H1126" i="18"/>
  <c r="H1127" i="18"/>
  <c r="H1128" i="18"/>
  <c r="H1129" i="18"/>
  <c r="H1130" i="18"/>
  <c r="H1131" i="18"/>
  <c r="H1132" i="18"/>
  <c r="H1133" i="18"/>
  <c r="H1134" i="18"/>
  <c r="H1135" i="18"/>
  <c r="H1136" i="18"/>
  <c r="H1137" i="18"/>
  <c r="H1138" i="18"/>
  <c r="H1139" i="18"/>
  <c r="H1140" i="18"/>
  <c r="H1141" i="18"/>
  <c r="H1142" i="18"/>
  <c r="H1143" i="18"/>
  <c r="H1144" i="18"/>
  <c r="H1145" i="18"/>
  <c r="H1146" i="18"/>
  <c r="H1147" i="18"/>
  <c r="H1148" i="18"/>
  <c r="N1082" i="19" s="1"/>
  <c r="H1149" i="18"/>
  <c r="H1150" i="18"/>
  <c r="H1151" i="18"/>
  <c r="H1152" i="18"/>
  <c r="H1153" i="18"/>
  <c r="H1154" i="18"/>
  <c r="H1155" i="18"/>
  <c r="H1156" i="18"/>
  <c r="H1157" i="18"/>
  <c r="H1158" i="18"/>
  <c r="H1159" i="18"/>
  <c r="H1160" i="18"/>
  <c r="H1161" i="18"/>
  <c r="H1162" i="18"/>
  <c r="H1163" i="18"/>
  <c r="H1164" i="18"/>
  <c r="H1165" i="18"/>
  <c r="H1166" i="18"/>
  <c r="H1167" i="18"/>
  <c r="H1168" i="18"/>
  <c r="H1169" i="18"/>
  <c r="H1170" i="18"/>
  <c r="H1171" i="18"/>
  <c r="H1172" i="18"/>
  <c r="H1173" i="18"/>
  <c r="H1174" i="18"/>
  <c r="H1175" i="18"/>
  <c r="H1176" i="18"/>
  <c r="H1177" i="18"/>
  <c r="H1178" i="18"/>
  <c r="H1179" i="18"/>
  <c r="H1180" i="18"/>
  <c r="H1181" i="18"/>
  <c r="H1182" i="18"/>
  <c r="H1183" i="18"/>
  <c r="H1184" i="18"/>
  <c r="H1185" i="18"/>
  <c r="H1186" i="18"/>
  <c r="H1187" i="18"/>
  <c r="H1188" i="18"/>
  <c r="H1189" i="18"/>
  <c r="H1190" i="18"/>
  <c r="H1191" i="18"/>
  <c r="H1192" i="18"/>
  <c r="H1193" i="18"/>
  <c r="H1194" i="18"/>
  <c r="H1195" i="18"/>
  <c r="H1196" i="18"/>
  <c r="H1197" i="18"/>
  <c r="H1198" i="18"/>
  <c r="H1199" i="18"/>
  <c r="H1200" i="18"/>
  <c r="H1201" i="18"/>
  <c r="H1202" i="18"/>
  <c r="H1203" i="18"/>
  <c r="H1204" i="18"/>
  <c r="H1205" i="18"/>
  <c r="H1206" i="18"/>
  <c r="H1207" i="18"/>
  <c r="H1208" i="18"/>
  <c r="H1209" i="18"/>
  <c r="H1210" i="18"/>
  <c r="H1211" i="18"/>
  <c r="H1212" i="18"/>
  <c r="H1213" i="18"/>
  <c r="H1214" i="18"/>
  <c r="H1215" i="18"/>
  <c r="H1216" i="18"/>
  <c r="H1217" i="18"/>
  <c r="H1218" i="18"/>
  <c r="H1219" i="18"/>
  <c r="H1220" i="18"/>
  <c r="H1221" i="18"/>
  <c r="H1222" i="18"/>
  <c r="H1223" i="18"/>
  <c r="H1224" i="18"/>
  <c r="H1225" i="18"/>
  <c r="H1226" i="18"/>
  <c r="H1227" i="18"/>
  <c r="H1228" i="18"/>
  <c r="H1229" i="18"/>
  <c r="H1230" i="18"/>
  <c r="H1231" i="18"/>
  <c r="H1232" i="18"/>
  <c r="H1233" i="18"/>
  <c r="H1234" i="18"/>
  <c r="H1235" i="18"/>
  <c r="H1236" i="18"/>
  <c r="H1237" i="18"/>
  <c r="H1238" i="18"/>
  <c r="H1239" i="18"/>
  <c r="H1240" i="18"/>
  <c r="H1241" i="18"/>
  <c r="H1242" i="18"/>
  <c r="H1243" i="18"/>
  <c r="H1244" i="18"/>
  <c r="H1245" i="18"/>
  <c r="H1246" i="18"/>
  <c r="H1247" i="18"/>
  <c r="H1248" i="18"/>
  <c r="H1249" i="18"/>
  <c r="H1250" i="18"/>
  <c r="H1251" i="18"/>
  <c r="H1252" i="18"/>
  <c r="H1253" i="18"/>
  <c r="H1254" i="18"/>
  <c r="H1255" i="18"/>
  <c r="H1256" i="18"/>
  <c r="H1257" i="18"/>
  <c r="H1258" i="18"/>
  <c r="H1259" i="18"/>
  <c r="H1260" i="18"/>
  <c r="H1261" i="18"/>
  <c r="H1262" i="18"/>
  <c r="H1263" i="18"/>
  <c r="H1264" i="18"/>
  <c r="H1265" i="18"/>
  <c r="H1266" i="18"/>
  <c r="H1267" i="18"/>
  <c r="H1268" i="18"/>
  <c r="H1269" i="18"/>
  <c r="H1270" i="18"/>
  <c r="H1271" i="18"/>
  <c r="H1272" i="18"/>
  <c r="H1273" i="18"/>
  <c r="H1274" i="18"/>
  <c r="H1275" i="18"/>
  <c r="H1276" i="18"/>
  <c r="H1277" i="18"/>
  <c r="H1278" i="18"/>
  <c r="H1279" i="18"/>
  <c r="H1280" i="18"/>
  <c r="H1281" i="18"/>
  <c r="H1282" i="18"/>
  <c r="H1283" i="18"/>
  <c r="H1284" i="18"/>
  <c r="H1285" i="18"/>
  <c r="H1286" i="18"/>
  <c r="H1287" i="18"/>
  <c r="H1288" i="18"/>
  <c r="H1289" i="18"/>
  <c r="H1290" i="18"/>
  <c r="H1291" i="18"/>
  <c r="H1292" i="18"/>
  <c r="H1293" i="18"/>
  <c r="H1294" i="18"/>
  <c r="H1295" i="18"/>
  <c r="H1296" i="18"/>
  <c r="H1297" i="18"/>
  <c r="H1298" i="18"/>
  <c r="H1299" i="18"/>
  <c r="H1300" i="18"/>
  <c r="H1301" i="18"/>
  <c r="H1302" i="18"/>
  <c r="H1303" i="18"/>
  <c r="H1304" i="18"/>
  <c r="H1305" i="18"/>
  <c r="H1306" i="18"/>
  <c r="H1307" i="18"/>
  <c r="H1308" i="18"/>
  <c r="H1309" i="18"/>
  <c r="H1310" i="18"/>
  <c r="H1311" i="18"/>
  <c r="H1312" i="18"/>
  <c r="H1313" i="18"/>
  <c r="H1314" i="18"/>
  <c r="H1315" i="18"/>
  <c r="H1316" i="18"/>
  <c r="H1317" i="18"/>
  <c r="H1318" i="18"/>
  <c r="H1319" i="18"/>
  <c r="H1320" i="18"/>
  <c r="H1321" i="18"/>
  <c r="H1322" i="18"/>
  <c r="H1323" i="18"/>
  <c r="H1324" i="18"/>
  <c r="H1325" i="18"/>
  <c r="H1326" i="18"/>
  <c r="H1327" i="18"/>
  <c r="H1328" i="18"/>
  <c r="H1329" i="18"/>
  <c r="H1330" i="18"/>
  <c r="H1331" i="18"/>
  <c r="H1332" i="18"/>
  <c r="H1333" i="18"/>
  <c r="H1334" i="18"/>
  <c r="H1335" i="18"/>
  <c r="H1336" i="18"/>
  <c r="H1337" i="18"/>
  <c r="H1338" i="18"/>
  <c r="H1339" i="18"/>
  <c r="H1340" i="18"/>
  <c r="H1341" i="18"/>
  <c r="H1342" i="18"/>
  <c r="H1343" i="18"/>
  <c r="H1344" i="18"/>
  <c r="H1345" i="18"/>
  <c r="H1346" i="18"/>
  <c r="H1347" i="18"/>
  <c r="H1348" i="18"/>
  <c r="H1349" i="18"/>
  <c r="H1350" i="18"/>
  <c r="H1351" i="18"/>
  <c r="H1352" i="18"/>
  <c r="H1353" i="18"/>
  <c r="H1354" i="18"/>
  <c r="H1355" i="18"/>
  <c r="H1356" i="18"/>
  <c r="H1357" i="18"/>
  <c r="H1358" i="18"/>
  <c r="H1359" i="18"/>
  <c r="H1360" i="18"/>
  <c r="H1361" i="18"/>
  <c r="H1362" i="18"/>
  <c r="H1363" i="18"/>
  <c r="H1364" i="18"/>
  <c r="H1365" i="18"/>
  <c r="H1366" i="18"/>
  <c r="H1367" i="18"/>
  <c r="H1368" i="18"/>
  <c r="H1369" i="18"/>
  <c r="H1370" i="18"/>
  <c r="H1371" i="18"/>
  <c r="H1372" i="18"/>
  <c r="H1373" i="18"/>
  <c r="H1374" i="18"/>
  <c r="H1375" i="18"/>
  <c r="H1376" i="18"/>
  <c r="H1377" i="18"/>
  <c r="H1378" i="18"/>
  <c r="H1379" i="18"/>
  <c r="H1380" i="18"/>
  <c r="H1381" i="18"/>
  <c r="H1382" i="18"/>
  <c r="H1383" i="18"/>
  <c r="H1384" i="18"/>
  <c r="H1385" i="18"/>
  <c r="H1386" i="18"/>
  <c r="H1387" i="18"/>
  <c r="H1388" i="18"/>
  <c r="H1389" i="18"/>
  <c r="H1390" i="18"/>
  <c r="H1391" i="18"/>
  <c r="H1392" i="18"/>
  <c r="H1393" i="18"/>
  <c r="H1394" i="18"/>
  <c r="H1395" i="18"/>
  <c r="H1396" i="18"/>
  <c r="H1397" i="18"/>
  <c r="H1398" i="18"/>
  <c r="H1399" i="18"/>
  <c r="H1400" i="18"/>
  <c r="H1401" i="18"/>
  <c r="H1402" i="18"/>
  <c r="H1403" i="18"/>
  <c r="H1404" i="18"/>
  <c r="H1405" i="18"/>
  <c r="H1406" i="18"/>
  <c r="H1407" i="18"/>
  <c r="H1408" i="18"/>
  <c r="H1409" i="18"/>
  <c r="H1410" i="18"/>
  <c r="H1411" i="18"/>
  <c r="H1412" i="18"/>
  <c r="H1413" i="18"/>
  <c r="H1414" i="18"/>
  <c r="H1415" i="18"/>
  <c r="H1416" i="18"/>
  <c r="H1417" i="18"/>
  <c r="H1418" i="18"/>
  <c r="H1419" i="18"/>
  <c r="H1420" i="18"/>
  <c r="H1421" i="18"/>
  <c r="H1422" i="18"/>
  <c r="H1423" i="18"/>
  <c r="H1424" i="18"/>
  <c r="H1425" i="18"/>
  <c r="H1426" i="18"/>
  <c r="H1427" i="18"/>
  <c r="H1428" i="18"/>
  <c r="H1429" i="18"/>
  <c r="H1430" i="18"/>
  <c r="H1431" i="18"/>
  <c r="H1432" i="18"/>
  <c r="H1433" i="18"/>
  <c r="H1434" i="18"/>
  <c r="H1435" i="18"/>
  <c r="H1436" i="18"/>
  <c r="H1437" i="18"/>
  <c r="H1438" i="18"/>
  <c r="H1439" i="18"/>
  <c r="H1440" i="18"/>
  <c r="H1441" i="18"/>
  <c r="H1442" i="18"/>
  <c r="H1443" i="18"/>
  <c r="H1444" i="18"/>
  <c r="H1445" i="18"/>
  <c r="H1446" i="18"/>
  <c r="H1447" i="18"/>
  <c r="H1448" i="18"/>
  <c r="H1449" i="18"/>
  <c r="H1450" i="18"/>
  <c r="H1451" i="18"/>
  <c r="H1452" i="18"/>
  <c r="H1453" i="18"/>
  <c r="H1454" i="18"/>
  <c r="H1455" i="18"/>
  <c r="H1456" i="18"/>
  <c r="H1457" i="18"/>
  <c r="H1458" i="18"/>
  <c r="H1459" i="18"/>
  <c r="H1460" i="18"/>
  <c r="H1461" i="18"/>
  <c r="H1462" i="18"/>
  <c r="H1463" i="18"/>
  <c r="H1464" i="18"/>
  <c r="H1465" i="18"/>
  <c r="H1466" i="18"/>
  <c r="H1467" i="18"/>
  <c r="H1468" i="18"/>
  <c r="H1469" i="18"/>
  <c r="H1470" i="18"/>
  <c r="H1471" i="18"/>
  <c r="H1472" i="18"/>
  <c r="H1473" i="18"/>
  <c r="H1474" i="18"/>
  <c r="H1475" i="18"/>
  <c r="H1476" i="18"/>
  <c r="H1477" i="18"/>
  <c r="H1478" i="18"/>
  <c r="H1479" i="18"/>
  <c r="H1480" i="18"/>
  <c r="H1481" i="18"/>
  <c r="H1482" i="18"/>
  <c r="H1483" i="18"/>
  <c r="H1484" i="18"/>
  <c r="H1485" i="18"/>
  <c r="H1486" i="18"/>
  <c r="H1487" i="18"/>
  <c r="H1488" i="18"/>
  <c r="H1489" i="18"/>
  <c r="H1490" i="18"/>
  <c r="H1491" i="18"/>
  <c r="H1492" i="18"/>
  <c r="H1493" i="18"/>
  <c r="H1494" i="18"/>
  <c r="H1495" i="18"/>
  <c r="H1496" i="18"/>
  <c r="H1497" i="18"/>
  <c r="H1498" i="18"/>
  <c r="H1499" i="18"/>
  <c r="H1500" i="18"/>
  <c r="H1501" i="18"/>
  <c r="H1502" i="18"/>
  <c r="H1503" i="18"/>
  <c r="H1504" i="18"/>
  <c r="H1505" i="18"/>
  <c r="H1506" i="18"/>
  <c r="H1507" i="18"/>
  <c r="H1508" i="18"/>
  <c r="H1509" i="18"/>
  <c r="H1510" i="18"/>
  <c r="H1511" i="18"/>
  <c r="H1512" i="18"/>
  <c r="H1513" i="18"/>
  <c r="H1514" i="18"/>
  <c r="H1515" i="18"/>
  <c r="H1516" i="18"/>
  <c r="H672" i="18"/>
  <c r="N1083" i="19" l="1"/>
  <c r="N1091" i="19"/>
  <c r="N55" i="19"/>
  <c r="N541" i="19"/>
  <c r="N618" i="19"/>
  <c r="N995" i="19"/>
  <c r="N899" i="19"/>
  <c r="N487" i="19"/>
  <c r="N621" i="19"/>
  <c r="N485" i="19"/>
  <c r="N1010" i="19"/>
  <c r="N1040" i="19"/>
  <c r="N529" i="19"/>
  <c r="N1071" i="19"/>
  <c r="N1028" i="19"/>
  <c r="N1021" i="19"/>
  <c r="N1068" i="19"/>
  <c r="N370" i="19"/>
  <c r="N369" i="19"/>
  <c r="N442" i="19"/>
  <c r="N223" i="19"/>
  <c r="N628" i="19"/>
  <c r="N1116" i="19"/>
  <c r="N1109" i="19"/>
  <c r="N1017" i="19"/>
  <c r="N822" i="19"/>
  <c r="N795" i="19"/>
  <c r="N1079" i="19"/>
  <c r="N143" i="19"/>
  <c r="N535" i="19"/>
  <c r="N1160" i="19"/>
  <c r="N829" i="19"/>
  <c r="N1148" i="19"/>
  <c r="N68" i="19"/>
  <c r="N1137" i="19"/>
  <c r="N1131" i="19"/>
  <c r="N120" i="19"/>
  <c r="N95" i="19"/>
  <c r="N302" i="19"/>
  <c r="N1219" i="19"/>
  <c r="N920" i="19"/>
  <c r="N1208" i="19"/>
  <c r="N517" i="19"/>
  <c r="N835" i="19"/>
  <c r="N1196" i="19"/>
  <c r="N3" i="19"/>
  <c r="N28" i="19"/>
  <c r="N152" i="19"/>
  <c r="N141" i="19"/>
  <c r="N153" i="19"/>
  <c r="N289" i="19"/>
  <c r="N1503" i="19"/>
  <c r="N1497" i="19"/>
  <c r="N112" i="19"/>
  <c r="N135" i="19"/>
  <c r="N215" i="19"/>
  <c r="N478" i="19"/>
  <c r="N97" i="19"/>
  <c r="N236" i="19"/>
  <c r="N1456" i="19"/>
  <c r="N484" i="19"/>
  <c r="N617" i="19"/>
  <c r="N809" i="19"/>
  <c r="N54" i="19"/>
  <c r="N331" i="19"/>
  <c r="N1004" i="19"/>
  <c r="N994" i="19"/>
  <c r="N783" i="19"/>
  <c r="N808" i="19"/>
  <c r="N813" i="19"/>
  <c r="N1014" i="19"/>
  <c r="N38" i="19"/>
  <c r="N998" i="19"/>
  <c r="N1043" i="19"/>
  <c r="N66" i="19"/>
  <c r="N437" i="19"/>
  <c r="N623" i="19"/>
  <c r="N1039" i="19"/>
  <c r="N1035" i="19"/>
  <c r="N970" i="19"/>
  <c r="N248" i="19"/>
  <c r="N39" i="19"/>
  <c r="N362" i="19"/>
  <c r="N1025" i="19"/>
  <c r="N1020" i="19"/>
  <c r="N72" i="19"/>
  <c r="N1067" i="19"/>
  <c r="N118" i="19"/>
  <c r="N904" i="19"/>
  <c r="N247" i="19"/>
  <c r="N741" i="19"/>
  <c r="N1018" i="19"/>
  <c r="N11" i="19"/>
  <c r="N1062" i="19"/>
  <c r="N1059" i="19"/>
  <c r="N111" i="19"/>
  <c r="N160" i="19"/>
  <c r="N1051" i="19"/>
  <c r="N1048" i="19"/>
  <c r="N10" i="19"/>
  <c r="N1112" i="19"/>
  <c r="N357" i="19"/>
  <c r="N358" i="19"/>
  <c r="N907" i="19"/>
  <c r="N1106" i="19"/>
  <c r="N491" i="19"/>
  <c r="N286" i="19"/>
  <c r="N232" i="19"/>
  <c r="N820" i="19"/>
  <c r="N627" i="19"/>
  <c r="N488" i="19"/>
  <c r="N832" i="19"/>
  <c r="N294" i="19"/>
  <c r="N58" i="19"/>
  <c r="N1094" i="19"/>
  <c r="N1090" i="19"/>
  <c r="N1086" i="19"/>
  <c r="N372" i="19"/>
  <c r="N729" i="19"/>
  <c r="N428" i="19"/>
  <c r="N274" i="19"/>
  <c r="N8" i="19"/>
  <c r="N497" i="19"/>
  <c r="N48" i="19"/>
  <c r="N447" i="19"/>
  <c r="N1134" i="19"/>
  <c r="N1129" i="19"/>
  <c r="N1125" i="19"/>
  <c r="N1121" i="19"/>
  <c r="N257" i="19"/>
  <c r="N201" i="19"/>
  <c r="N1214" i="19"/>
  <c r="N254" i="19"/>
  <c r="N1207" i="19"/>
  <c r="N500" i="19"/>
  <c r="N640" i="19"/>
  <c r="N833" i="19"/>
  <c r="N791" i="19"/>
  <c r="N698" i="19"/>
  <c r="N1180" i="19"/>
  <c r="E1470" i="3"/>
  <c r="N1518" i="19"/>
  <c r="N779" i="19"/>
  <c r="N284" i="19"/>
  <c r="N173" i="19"/>
  <c r="N482" i="19"/>
  <c r="N944" i="19"/>
  <c r="N684" i="19"/>
  <c r="N1482" i="19"/>
  <c r="N1477" i="19"/>
  <c r="N1475" i="19"/>
  <c r="N607" i="19"/>
  <c r="N1468" i="19"/>
  <c r="N397" i="19"/>
  <c r="N1464" i="19"/>
  <c r="N1463" i="19"/>
  <c r="N711" i="19"/>
  <c r="N1459" i="19"/>
  <c r="N108" i="19"/>
  <c r="N986" i="19"/>
  <c r="N158" i="19"/>
  <c r="N1024" i="19"/>
  <c r="N193" i="19"/>
  <c r="N1165" i="19"/>
  <c r="N1162" i="19"/>
  <c r="N913" i="19"/>
  <c r="N1156" i="19"/>
  <c r="N498" i="19"/>
  <c r="N448" i="19"/>
  <c r="N595" i="19"/>
  <c r="N560" i="19"/>
  <c r="N910" i="19"/>
  <c r="N1144" i="19"/>
  <c r="N1141" i="19"/>
  <c r="N827" i="19"/>
  <c r="N252" i="19"/>
  <c r="N47" i="19"/>
  <c r="N445" i="19"/>
  <c r="N695" i="19"/>
  <c r="N298" i="19"/>
  <c r="N197" i="19"/>
  <c r="N374" i="19"/>
  <c r="N1118" i="19"/>
  <c r="N297" i="19"/>
  <c r="N301" i="19"/>
  <c r="N96" i="19"/>
  <c r="N128" i="19"/>
  <c r="N1213" i="19"/>
  <c r="N127" i="19"/>
  <c r="N1211" i="19"/>
  <c r="N164" i="19"/>
  <c r="N700" i="19"/>
  <c r="N1206" i="19"/>
  <c r="N1203" i="19"/>
  <c r="N235" i="19"/>
  <c r="N1200" i="19"/>
  <c r="N558" i="19"/>
  <c r="N1197" i="19"/>
  <c r="N1194" i="19"/>
  <c r="N1193" i="19"/>
  <c r="N1188" i="19"/>
  <c r="N914" i="19"/>
  <c r="N1183" i="19"/>
  <c r="N1179" i="19"/>
  <c r="N1176" i="19"/>
  <c r="N190" i="19"/>
  <c r="N687" i="19"/>
  <c r="N1516" i="19"/>
  <c r="N413" i="19"/>
  <c r="N44" i="19"/>
  <c r="N1509" i="19"/>
  <c r="N14" i="19"/>
  <c r="N1504" i="19"/>
  <c r="N1502" i="19"/>
  <c r="N288" i="19"/>
  <c r="N337" i="19"/>
  <c r="N1493" i="19"/>
  <c r="N20" i="19"/>
  <c r="N1490" i="19"/>
  <c r="N1486" i="19"/>
  <c r="N1481" i="19"/>
  <c r="N1479" i="19"/>
  <c r="N1476" i="19"/>
  <c r="N1474" i="19"/>
  <c r="N399" i="19"/>
  <c r="N714" i="19"/>
  <c r="N1467" i="19"/>
  <c r="N1465" i="19"/>
  <c r="N148" i="19"/>
  <c r="N678" i="19"/>
  <c r="N211" i="19"/>
  <c r="N1458" i="19"/>
  <c r="N1455" i="19"/>
  <c r="N476" i="19"/>
  <c r="N1095" i="19"/>
  <c r="N495" i="19"/>
  <c r="N826" i="19"/>
  <c r="N1120" i="19"/>
  <c r="N494" i="19"/>
  <c r="N443" i="19"/>
  <c r="N1221" i="19"/>
  <c r="N836" i="19"/>
  <c r="N1217" i="19"/>
  <c r="N165" i="19"/>
  <c r="N1212" i="19"/>
  <c r="N641" i="19"/>
  <c r="N597" i="19"/>
  <c r="N418" i="19"/>
  <c r="N1205" i="19"/>
  <c r="N917" i="19"/>
  <c r="N139" i="19"/>
  <c r="N730" i="19"/>
  <c r="N1199" i="19"/>
  <c r="N916" i="19"/>
  <c r="N219" i="19"/>
  <c r="N253" i="19"/>
  <c r="N144" i="19"/>
  <c r="N126" i="19"/>
  <c r="N279" i="19"/>
  <c r="N557" i="19"/>
  <c r="N1175" i="19"/>
  <c r="N1172" i="19"/>
  <c r="N555" i="19"/>
  <c r="N718" i="19"/>
  <c r="N1513" i="19"/>
  <c r="N1512" i="19"/>
  <c r="N433" i="19"/>
  <c r="N589" i="19"/>
  <c r="N895" i="19"/>
  <c r="N1501" i="19"/>
  <c r="N686" i="19"/>
  <c r="N216" i="19"/>
  <c r="N892" i="19"/>
  <c r="N1491" i="19"/>
  <c r="N1489" i="19"/>
  <c r="N1485" i="19"/>
  <c r="N172" i="19"/>
  <c r="N214" i="19"/>
  <c r="N121" i="19"/>
  <c r="N213" i="19"/>
  <c r="N682" i="19"/>
  <c r="N1471" i="19"/>
  <c r="N1466" i="19"/>
  <c r="N888" i="19"/>
  <c r="N171" i="19"/>
  <c r="N109" i="19"/>
  <c r="N1460" i="19"/>
  <c r="N510" i="19"/>
  <c r="N328" i="19"/>
  <c r="N1452" i="19"/>
  <c r="N1087" i="19"/>
  <c r="N987" i="19"/>
  <c r="N985" i="19"/>
  <c r="N511" i="19"/>
  <c r="N93" i="19"/>
  <c r="N367" i="19"/>
  <c r="N622" i="19"/>
  <c r="N999" i="19"/>
  <c r="N782" i="19"/>
  <c r="N732" i="19"/>
  <c r="N812" i="19"/>
  <c r="N900" i="19"/>
  <c r="N902" i="19"/>
  <c r="N1008" i="19"/>
  <c r="N1031" i="19"/>
  <c r="N723" i="19"/>
  <c r="N1070" i="19"/>
  <c r="N441" i="19"/>
  <c r="N100" i="19"/>
  <c r="N136" i="19"/>
  <c r="N231" i="19"/>
  <c r="N440" i="19"/>
  <c r="N1055" i="19"/>
  <c r="N551" i="19"/>
  <c r="N1113" i="19"/>
  <c r="N296" i="19"/>
  <c r="N124" i="19"/>
  <c r="N821" i="19"/>
  <c r="N785" i="19"/>
  <c r="N341" i="19"/>
  <c r="N1044" i="19"/>
  <c r="N1166" i="19"/>
  <c r="N594" i="19"/>
  <c r="N515" i="19"/>
  <c r="N416" i="19"/>
  <c r="N221" i="19"/>
  <c r="N429" i="19"/>
  <c r="N1073" i="19"/>
  <c r="N1157" i="19"/>
  <c r="N1151" i="19"/>
  <c r="N175" i="19"/>
  <c r="N218" i="19"/>
  <c r="N735" i="19"/>
  <c r="N1142" i="19"/>
  <c r="N1135" i="19"/>
  <c r="N138" i="19"/>
  <c r="N63" i="19"/>
  <c r="N444" i="19"/>
  <c r="N694" i="19"/>
  <c r="N303" i="19"/>
  <c r="N256" i="19"/>
  <c r="N1215" i="19"/>
  <c r="N184" i="19"/>
  <c r="N530" i="19"/>
  <c r="N7" i="19"/>
  <c r="N450" i="19"/>
  <c r="N792" i="19"/>
  <c r="N376" i="19"/>
  <c r="N34" i="19"/>
  <c r="N1187" i="19"/>
  <c r="N1181" i="19"/>
  <c r="N974" i="19"/>
  <c r="N1171" i="19"/>
  <c r="N1514" i="19"/>
  <c r="N402" i="19"/>
  <c r="N896" i="19"/>
  <c r="N1499" i="19"/>
  <c r="N1494" i="19"/>
  <c r="N685" i="19"/>
  <c r="N480" i="19"/>
  <c r="N400" i="19"/>
  <c r="N1473" i="19"/>
  <c r="N1469" i="19"/>
  <c r="N92" i="19"/>
  <c r="N679" i="19"/>
  <c r="N1461" i="19"/>
  <c r="N277" i="19"/>
  <c r="N710" i="19"/>
  <c r="N285" i="19"/>
  <c r="N513" i="19"/>
  <c r="N1002" i="19"/>
  <c r="N689" i="19"/>
  <c r="N514" i="19"/>
  <c r="N12" i="19"/>
  <c r="N449" i="19"/>
  <c r="N837" i="19"/>
  <c r="N1159" i="19"/>
  <c r="N1154" i="19"/>
  <c r="N736" i="19"/>
  <c r="N726" i="19"/>
  <c r="N496" i="19"/>
  <c r="N743" i="19"/>
  <c r="N1130" i="19"/>
  <c r="N142" i="19"/>
  <c r="N1123" i="19"/>
  <c r="N273" i="19"/>
  <c r="N49" i="19"/>
  <c r="N1218" i="19"/>
  <c r="N975" i="19"/>
  <c r="N119" i="19"/>
  <c r="N918" i="19"/>
  <c r="N1201" i="19"/>
  <c r="N834" i="19"/>
  <c r="N1195" i="19"/>
  <c r="N1189" i="19"/>
  <c r="N1184" i="19"/>
  <c r="E1472" i="3"/>
  <c r="N1177" i="19"/>
  <c r="N1173" i="19"/>
  <c r="N1517" i="19"/>
  <c r="N717" i="19"/>
  <c r="N1510" i="19"/>
  <c r="N35" i="19"/>
  <c r="N46" i="19"/>
  <c r="N893" i="19"/>
  <c r="N1487" i="19"/>
  <c r="N1480" i="19"/>
  <c r="N1472" i="19"/>
  <c r="N1453" i="19"/>
  <c r="N804" i="19"/>
  <c r="N222" i="19"/>
  <c r="N154" i="19"/>
  <c r="N155" i="19"/>
  <c r="N988" i="19"/>
  <c r="N620" i="19"/>
  <c r="N992" i="19"/>
  <c r="N528" i="19"/>
  <c r="N1001" i="19"/>
  <c r="N546" i="19"/>
  <c r="N807" i="19"/>
  <c r="N53" i="19"/>
  <c r="N810" i="19"/>
  <c r="N997" i="19"/>
  <c r="N149" i="19"/>
  <c r="N156" i="19"/>
  <c r="N1009" i="19"/>
  <c r="N632" i="19"/>
  <c r="N690" i="19"/>
  <c r="N733" i="19"/>
  <c r="N1034" i="19"/>
  <c r="N553" i="19"/>
  <c r="N371" i="19"/>
  <c r="N1030" i="19"/>
  <c r="E1486" i="3"/>
  <c r="N414" i="19"/>
  <c r="N159" i="19"/>
  <c r="N817" i="19"/>
  <c r="N1007" i="19"/>
  <c r="N1065" i="19"/>
  <c r="N692" i="19"/>
  <c r="N271" i="19"/>
  <c r="N368" i="19"/>
  <c r="N174" i="19"/>
  <c r="N816" i="19"/>
  <c r="N691" i="19"/>
  <c r="N1058" i="19"/>
  <c r="N1057" i="19"/>
  <c r="N1054" i="19"/>
  <c r="N552" i="19"/>
  <c r="N417" i="19"/>
  <c r="N1111" i="19"/>
  <c r="N824" i="19"/>
  <c r="N234" i="19"/>
  <c r="N823" i="19"/>
  <c r="N786" i="19"/>
  <c r="N101" i="19"/>
  <c r="N241" i="19"/>
  <c r="N954" i="19"/>
  <c r="N948" i="19"/>
  <c r="N814" i="19"/>
  <c r="N592" i="19"/>
  <c r="N1101" i="19"/>
  <c r="N1099" i="19"/>
  <c r="N365" i="19"/>
  <c r="N1089" i="19"/>
  <c r="N1085" i="19"/>
  <c r="N1081" i="19"/>
  <c r="N2" i="19"/>
  <c r="N1078" i="19"/>
  <c r="N113" i="19"/>
  <c r="N1164" i="19"/>
  <c r="N299" i="19"/>
  <c r="N1075" i="19"/>
  <c r="N637" i="19"/>
  <c r="N69" i="19"/>
  <c r="N179" i="19"/>
  <c r="N740" i="19"/>
  <c r="N991" i="19"/>
  <c r="N182" i="19"/>
  <c r="N339" i="19"/>
  <c r="N996" i="19"/>
  <c r="N1015" i="19"/>
  <c r="N722" i="19"/>
  <c r="N425" i="19"/>
  <c r="N71" i="19"/>
  <c r="N245" i="19"/>
  <c r="N332" i="19"/>
  <c r="N1013" i="19"/>
  <c r="N486" i="19"/>
  <c r="N183" i="19"/>
  <c r="N1042" i="19"/>
  <c r="N1011" i="19"/>
  <c r="N624" i="19"/>
  <c r="N283" i="19"/>
  <c r="N1038" i="19"/>
  <c r="N439" i="19"/>
  <c r="N189" i="19"/>
  <c r="N1072" i="19"/>
  <c r="N811" i="19"/>
  <c r="N549" i="19"/>
  <c r="N1027" i="19"/>
  <c r="N36" i="19"/>
  <c r="N246" i="19"/>
  <c r="N489" i="19"/>
  <c r="N493" i="19"/>
  <c r="N81" i="19"/>
  <c r="N631" i="19"/>
  <c r="N33" i="19"/>
  <c r="N269" i="19"/>
  <c r="N102" i="19"/>
  <c r="N1063" i="19"/>
  <c r="N1061" i="19"/>
  <c r="N629" i="19"/>
  <c r="N1056" i="19"/>
  <c r="N1053" i="19"/>
  <c r="N1050" i="19"/>
  <c r="N815" i="19"/>
  <c r="N18" i="19"/>
  <c r="N1110" i="19"/>
  <c r="N1108" i="19"/>
  <c r="N1169" i="19"/>
  <c r="N251" i="19"/>
  <c r="N342" i="19"/>
  <c r="N634" i="19"/>
  <c r="N1104" i="19"/>
  <c r="N490" i="19"/>
  <c r="N115" i="19"/>
  <c r="N538" i="19"/>
  <c r="N343" i="19"/>
  <c r="N973" i="19"/>
  <c r="N405" i="19"/>
  <c r="N1098" i="19"/>
  <c r="N693" i="19"/>
  <c r="N1088" i="19"/>
  <c r="N355" i="19"/>
  <c r="N1080" i="19"/>
  <c r="N272" i="19"/>
  <c r="N1077" i="19"/>
  <c r="N422" i="19"/>
  <c r="N1163" i="19"/>
  <c r="N790" i="19"/>
  <c r="N364" i="19"/>
  <c r="N696" i="19"/>
  <c r="N912" i="19"/>
  <c r="N198" i="19"/>
  <c r="N1153" i="19"/>
  <c r="N828" i="19"/>
  <c r="N1147" i="19"/>
  <c r="N162" i="19"/>
  <c r="N258" i="19"/>
  <c r="N1145" i="19"/>
  <c r="N909" i="19"/>
  <c r="N1140" i="19"/>
  <c r="N31" i="19"/>
  <c r="N788" i="19"/>
  <c r="N103" i="19"/>
  <c r="N22" i="19"/>
  <c r="N983" i="19"/>
  <c r="N898" i="19"/>
  <c r="N278" i="19"/>
  <c r="N426" i="19"/>
  <c r="N1006" i="19"/>
  <c r="N1005" i="19"/>
  <c r="N41" i="19"/>
  <c r="N806" i="19"/>
  <c r="N805" i="19"/>
  <c r="N590" i="19"/>
  <c r="N1000" i="19"/>
  <c r="N424" i="19"/>
  <c r="N542" i="19"/>
  <c r="N191" i="19"/>
  <c r="N157" i="19"/>
  <c r="N1012" i="19"/>
  <c r="N340" i="19"/>
  <c r="N1041" i="19"/>
  <c r="N901" i="19"/>
  <c r="N268" i="19"/>
  <c r="N550" i="19"/>
  <c r="N1037" i="19"/>
  <c r="N1036" i="19"/>
  <c r="N1033" i="19"/>
  <c r="N724" i="19"/>
  <c r="N16" i="19"/>
  <c r="N1029" i="19"/>
  <c r="N1026" i="19"/>
  <c r="N1023" i="19"/>
  <c r="N61" i="19"/>
  <c r="N1069" i="19"/>
  <c r="N1117" i="19"/>
  <c r="N1064" i="19"/>
  <c r="N903" i="19"/>
  <c r="N99" i="19"/>
  <c r="N1019" i="19"/>
  <c r="N57" i="19"/>
  <c r="N363" i="19"/>
  <c r="N1060" i="19"/>
  <c r="N195" i="19"/>
  <c r="N194" i="19"/>
  <c r="N1052" i="19"/>
  <c r="N1049" i="19"/>
  <c r="N1047" i="19"/>
  <c r="N1115" i="19"/>
  <c r="N125" i="19"/>
  <c r="N90" i="19"/>
  <c r="N373" i="19"/>
  <c r="N972" i="19"/>
  <c r="N123" i="19"/>
  <c r="N906" i="19"/>
  <c r="N295" i="19"/>
  <c r="N250" i="19"/>
  <c r="N1222" i="19"/>
  <c r="N1046" i="19"/>
  <c r="E1143" i="3"/>
  <c r="N1168" i="19"/>
  <c r="N831" i="19"/>
  <c r="N1100" i="19"/>
  <c r="N1097" i="19"/>
  <c r="N1093" i="19"/>
  <c r="N356" i="19"/>
  <c r="N1084" i="19"/>
  <c r="N593" i="19"/>
  <c r="N742" i="19"/>
  <c r="N725" i="19"/>
  <c r="N233" i="19"/>
  <c r="N830" i="19"/>
  <c r="N697" i="19"/>
  <c r="N1074" i="19"/>
  <c r="N638" i="19"/>
  <c r="N499" i="19"/>
  <c r="N163" i="19"/>
  <c r="N744" i="19"/>
  <c r="N1150" i="19"/>
  <c r="N789" i="19"/>
  <c r="N911" i="19"/>
  <c r="N747" i="19"/>
  <c r="N1143" i="19"/>
  <c r="N1139" i="19"/>
  <c r="N1136" i="19"/>
  <c r="N1133" i="19"/>
  <c r="N30" i="19"/>
  <c r="N1128" i="19"/>
  <c r="N908" i="19"/>
  <c r="N1124" i="19"/>
  <c r="N1122" i="19"/>
  <c r="N1119" i="19"/>
  <c r="N825" i="19"/>
  <c r="N180" i="19"/>
  <c r="N280" i="19"/>
  <c r="N921" i="19"/>
  <c r="N73" i="19"/>
  <c r="N255" i="19"/>
  <c r="N200" i="19"/>
  <c r="N919" i="19"/>
  <c r="N701" i="19"/>
  <c r="N199" i="19"/>
  <c r="N1204" i="19"/>
  <c r="N1202" i="19"/>
  <c r="N300" i="19"/>
  <c r="N377" i="19"/>
  <c r="N1198" i="19"/>
  <c r="N699" i="19"/>
  <c r="N955" i="19"/>
  <c r="N1192" i="19"/>
  <c r="N915" i="19"/>
  <c r="N1186" i="19"/>
  <c r="N1182" i="19"/>
  <c r="E22" i="3"/>
  <c r="N224" i="19"/>
  <c r="N596" i="19"/>
  <c r="N556" i="19"/>
  <c r="N1170" i="19"/>
  <c r="N403" i="19"/>
  <c r="N217" i="19"/>
  <c r="N1511" i="19"/>
  <c r="N1508" i="19"/>
  <c r="N1506" i="19"/>
  <c r="N401" i="19"/>
  <c r="N330" i="19"/>
  <c r="N894" i="19"/>
  <c r="N1496" i="19"/>
  <c r="N87" i="19"/>
  <c r="N481" i="19"/>
  <c r="N1488" i="19"/>
  <c r="N1484" i="19"/>
  <c r="N479" i="19"/>
  <c r="N238" i="19"/>
  <c r="N683" i="19"/>
  <c r="N890" i="19"/>
  <c r="N889" i="19"/>
  <c r="N1470" i="19"/>
  <c r="N681" i="19"/>
  <c r="N329" i="19"/>
  <c r="N212" i="19"/>
  <c r="N477" i="19"/>
  <c r="N17" i="19"/>
  <c r="N534" i="19"/>
  <c r="N91" i="19"/>
  <c r="N1451" i="19"/>
  <c r="N984" i="19"/>
  <c r="N989" i="19"/>
  <c r="N613" i="19"/>
  <c r="N739" i="19"/>
  <c r="N619" i="19"/>
  <c r="N990" i="19"/>
  <c r="N781" i="19"/>
  <c r="N952" i="19"/>
  <c r="N512" i="19"/>
  <c r="N1003" i="19"/>
  <c r="N993" i="19"/>
  <c r="N688" i="19"/>
  <c r="N45" i="19"/>
  <c r="N24" i="19"/>
  <c r="N230" i="19"/>
  <c r="N192" i="19"/>
  <c r="N243" i="19"/>
  <c r="N734" i="19"/>
  <c r="N971" i="19"/>
  <c r="N267" i="19"/>
  <c r="N291" i="19"/>
  <c r="N270" i="19"/>
  <c r="N56" i="19"/>
  <c r="N819" i="19"/>
  <c r="N818" i="19"/>
  <c r="N1032" i="19"/>
  <c r="N438" i="19"/>
  <c r="N953" i="19"/>
  <c r="N1022" i="19"/>
  <c r="N626" i="19"/>
  <c r="N293" i="19"/>
  <c r="N1066" i="19"/>
  <c r="N905" i="19"/>
  <c r="N630" i="19"/>
  <c r="N292" i="19"/>
  <c r="N625" i="19"/>
  <c r="N242" i="19"/>
  <c r="N26" i="19"/>
  <c r="N98" i="19"/>
  <c r="N404" i="19"/>
  <c r="N415" i="19"/>
  <c r="N122" i="19"/>
  <c r="N137" i="19"/>
  <c r="N492" i="19"/>
  <c r="N1114" i="19"/>
  <c r="N787" i="19"/>
  <c r="N591" i="19"/>
  <c r="N196" i="19"/>
  <c r="N1107" i="19"/>
  <c r="N554" i="19"/>
  <c r="N1105" i="19"/>
  <c r="N1103" i="19"/>
  <c r="N610" i="19"/>
  <c r="N226" i="19"/>
  <c r="N1045" i="19"/>
  <c r="N1167" i="19"/>
  <c r="N784" i="19"/>
  <c r="N609" i="19"/>
  <c r="N1096" i="19"/>
  <c r="N1092" i="19"/>
  <c r="N633" i="19"/>
  <c r="N249" i="19"/>
  <c r="N62" i="19"/>
  <c r="N244" i="19"/>
  <c r="N1076" i="19"/>
  <c r="N537" i="19"/>
  <c r="N950" i="19"/>
  <c r="N451" i="19"/>
  <c r="N427" i="19"/>
  <c r="N1161" i="19"/>
  <c r="N1158" i="19"/>
  <c r="E30" i="3"/>
  <c r="N1155" i="19"/>
  <c r="N1152" i="19"/>
  <c r="N1149" i="19"/>
  <c r="N1146" i="19"/>
  <c r="N945" i="19"/>
  <c r="N1519" i="19"/>
  <c r="N375" i="19"/>
  <c r="N516" i="19"/>
  <c r="N1138" i="19"/>
  <c r="N338" i="19"/>
  <c r="N1132" i="19"/>
  <c r="N446" i="19"/>
  <c r="N161" i="19"/>
  <c r="N1126" i="19"/>
  <c r="N79" i="19"/>
  <c r="N636" i="19"/>
  <c r="N635" i="19"/>
  <c r="N702" i="19"/>
  <c r="N77" i="19"/>
  <c r="N1220" i="19"/>
  <c r="N166" i="19"/>
  <c r="N1216" i="19"/>
  <c r="N794" i="19"/>
  <c r="N746" i="19"/>
  <c r="N1209" i="19"/>
  <c r="N559" i="19"/>
  <c r="N407" i="19"/>
  <c r="N225" i="19"/>
  <c r="N793" i="19"/>
  <c r="N359" i="19"/>
  <c r="N406" i="19"/>
  <c r="N344" i="19"/>
  <c r="N150" i="19"/>
  <c r="N639" i="19"/>
  <c r="N1190" i="19"/>
  <c r="N333" i="19"/>
  <c r="N1185" i="19"/>
  <c r="N745" i="19"/>
  <c r="N1178" i="19"/>
  <c r="N1174" i="19"/>
  <c r="N23" i="19"/>
  <c r="N780" i="19"/>
  <c r="N1515" i="19"/>
  <c r="N897" i="19"/>
  <c r="N969" i="19"/>
  <c r="N1507" i="19"/>
  <c r="N1505" i="19"/>
  <c r="N483" i="19"/>
  <c r="N1500" i="19"/>
  <c r="N1498" i="19"/>
  <c r="N1495" i="19"/>
  <c r="N1492" i="19"/>
  <c r="N943" i="19"/>
  <c r="N716" i="19"/>
  <c r="N1483" i="19"/>
  <c r="N282" i="19"/>
  <c r="N1478" i="19"/>
  <c r="N891" i="19"/>
  <c r="N715" i="19"/>
  <c r="N110" i="19"/>
  <c r="N398" i="19"/>
  <c r="N713" i="19"/>
  <c r="N712" i="19"/>
  <c r="N680" i="19"/>
  <c r="N1462" i="19"/>
  <c r="N887" i="19"/>
  <c r="N1457" i="19"/>
  <c r="N1454" i="19"/>
  <c r="N1450" i="19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N1325" i="19" s="1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N1360" i="19" s="1"/>
  <c r="H436" i="18"/>
  <c r="N1361" i="19" s="1"/>
  <c r="H437" i="18"/>
  <c r="N1362" i="19" s="1"/>
  <c r="H438" i="18"/>
  <c r="N979" i="19" s="1"/>
  <c r="H439" i="18"/>
  <c r="N612" i="19" s="1"/>
  <c r="H440" i="18"/>
  <c r="N865" i="19" s="1"/>
  <c r="H441" i="18"/>
  <c r="N1363" i="19" s="1"/>
  <c r="H442" i="18"/>
  <c r="N866" i="19" s="1"/>
  <c r="H443" i="18"/>
  <c r="N867" i="19" s="1"/>
  <c r="H444" i="18"/>
  <c r="N1364" i="19" s="1"/>
  <c r="H445" i="18"/>
  <c r="N1365" i="19" s="1"/>
  <c r="H446" i="18"/>
  <c r="N1366" i="19" s="1"/>
  <c r="H447" i="18"/>
  <c r="N720" i="19" s="1"/>
  <c r="H448" i="18"/>
  <c r="N1367" i="19" s="1"/>
  <c r="H449" i="18"/>
  <c r="N465" i="19" s="1"/>
  <c r="H450" i="18"/>
  <c r="N525" i="19" s="1"/>
  <c r="H451" i="18"/>
  <c r="N1368" i="19" s="1"/>
  <c r="H452" i="18"/>
  <c r="N1369" i="19" s="1"/>
  <c r="H453" i="18"/>
  <c r="N1370" i="19" s="1"/>
  <c r="H454" i="18"/>
  <c r="N584" i="19" s="1"/>
  <c r="H455" i="18"/>
  <c r="N773" i="19" s="1"/>
  <c r="H456" i="18"/>
  <c r="N602" i="19" s="1"/>
  <c r="H457" i="18"/>
  <c r="N1371" i="19" s="1"/>
  <c r="H458" i="18"/>
  <c r="N169" i="19" s="1"/>
  <c r="H459" i="18"/>
  <c r="N1372" i="19" s="1"/>
  <c r="H460" i="18"/>
  <c r="N774" i="19" s="1"/>
  <c r="H461" i="18"/>
  <c r="N868" i="19" s="1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2" i="18"/>
  <c r="H613" i="18"/>
  <c r="H614" i="18"/>
  <c r="H615" i="18"/>
  <c r="H616" i="18"/>
  <c r="H617" i="18"/>
  <c r="H618" i="18"/>
  <c r="H619" i="18"/>
  <c r="H620" i="18"/>
  <c r="H621" i="18"/>
  <c r="H622" i="18"/>
  <c r="H623" i="18"/>
  <c r="H624" i="18"/>
  <c r="H625" i="18"/>
  <c r="H626" i="18"/>
  <c r="H627" i="18"/>
  <c r="H628" i="18"/>
  <c r="H629" i="18"/>
  <c r="H630" i="18"/>
  <c r="H631" i="18"/>
  <c r="H632" i="18"/>
  <c r="H633" i="18"/>
  <c r="H634" i="18"/>
  <c r="H635" i="18"/>
  <c r="H636" i="18"/>
  <c r="H637" i="18"/>
  <c r="H638" i="18"/>
  <c r="H639" i="18"/>
  <c r="H640" i="18"/>
  <c r="H641" i="18"/>
  <c r="H642" i="18"/>
  <c r="H643" i="18"/>
  <c r="H644" i="18"/>
  <c r="H645" i="18"/>
  <c r="N1434" i="19" s="1"/>
  <c r="H646" i="18"/>
  <c r="H647" i="18"/>
  <c r="H648" i="18"/>
  <c r="H649" i="18"/>
  <c r="H650" i="18"/>
  <c r="H651" i="18"/>
  <c r="H652" i="18"/>
  <c r="H653" i="18"/>
  <c r="H654" i="18"/>
  <c r="H655" i="18"/>
  <c r="H656" i="18"/>
  <c r="H657" i="18"/>
  <c r="H658" i="18"/>
  <c r="H659" i="18"/>
  <c r="H660" i="18"/>
  <c r="H661" i="18"/>
  <c r="H662" i="18"/>
  <c r="H663" i="18"/>
  <c r="H664" i="18"/>
  <c r="H665" i="18"/>
  <c r="H666" i="18"/>
  <c r="H667" i="18"/>
  <c r="H668" i="18"/>
  <c r="H669" i="18"/>
  <c r="H670" i="18"/>
  <c r="H671" i="18"/>
  <c r="H673" i="18"/>
  <c r="H674" i="18"/>
  <c r="H675" i="18"/>
  <c r="H676" i="18"/>
  <c r="H677" i="18"/>
  <c r="H678" i="18"/>
  <c r="H679" i="18"/>
  <c r="H680" i="18"/>
  <c r="N941" i="19" l="1"/>
  <c r="N863" i="19"/>
  <c r="N1351" i="19"/>
  <c r="N350" i="19"/>
  <c r="N601" i="19"/>
  <c r="N220" i="19"/>
  <c r="N393" i="19"/>
  <c r="N1330" i="19"/>
  <c r="N573" i="19"/>
  <c r="N390" i="19"/>
  <c r="N389" i="19"/>
  <c r="N966" i="19"/>
  <c r="N82" i="19"/>
  <c r="N1304" i="19"/>
  <c r="N569" i="19"/>
  <c r="N737" i="19"/>
  <c r="N309" i="19"/>
  <c r="N227" i="19"/>
  <c r="N307" i="19"/>
  <c r="N1276" i="19"/>
  <c r="N926" i="19"/>
  <c r="N130" i="19"/>
  <c r="N42" i="19"/>
  <c r="N1267" i="19"/>
  <c r="N960" i="19"/>
  <c r="N1263" i="19"/>
  <c r="N924" i="19"/>
  <c r="N797" i="19"/>
  <c r="N1256" i="19"/>
  <c r="N1251" i="19"/>
  <c r="N923" i="19"/>
  <c r="N1244" i="19"/>
  <c r="N1240" i="19"/>
  <c r="N1234" i="19"/>
  <c r="N379" i="19"/>
  <c r="N643" i="19"/>
  <c r="N1229" i="19"/>
  <c r="N419" i="19"/>
  <c r="N167" i="19"/>
  <c r="N751" i="19"/>
  <c r="N562" i="19"/>
  <c r="N533" i="19"/>
  <c r="N1440" i="19"/>
  <c r="N1436" i="19"/>
  <c r="N509" i="19"/>
  <c r="N940" i="19"/>
  <c r="N412" i="19"/>
  <c r="N1413" i="19"/>
  <c r="N1409" i="19"/>
  <c r="N322" i="19"/>
  <c r="N878" i="19"/>
  <c r="N146" i="19"/>
  <c r="N287" i="19"/>
  <c r="N1389" i="19"/>
  <c r="N85" i="19"/>
  <c r="N937" i="19"/>
  <c r="N1380" i="19"/>
  <c r="N731" i="19"/>
  <c r="N951" i="19"/>
  <c r="N935" i="19"/>
  <c r="N583" i="19"/>
  <c r="N801" i="19"/>
  <c r="N860" i="19"/>
  <c r="N314" i="19"/>
  <c r="N800" i="19"/>
  <c r="N106" i="19"/>
  <c r="N459" i="19"/>
  <c r="N1326" i="19"/>
  <c r="N335" i="19"/>
  <c r="N1321" i="19"/>
  <c r="N334" i="19"/>
  <c r="N114" i="19"/>
  <c r="N457" i="19"/>
  <c r="N655" i="19"/>
  <c r="N1296" i="19"/>
  <c r="N931" i="19"/>
  <c r="N1287" i="19"/>
  <c r="N385" i="19"/>
  <c r="N799" i="19"/>
  <c r="N43" i="19"/>
  <c r="N13" i="19"/>
  <c r="N305" i="19"/>
  <c r="N382" i="19"/>
  <c r="N564" i="19"/>
  <c r="N796" i="19"/>
  <c r="N1247" i="19"/>
  <c r="N755" i="19"/>
  <c r="N304" i="19"/>
  <c r="N1449" i="19"/>
  <c r="N676" i="19"/>
  <c r="N942" i="19"/>
  <c r="N1426" i="19"/>
  <c r="N1421" i="19"/>
  <c r="N508" i="19"/>
  <c r="N324" i="19"/>
  <c r="N471" i="19"/>
  <c r="N1408" i="19"/>
  <c r="N672" i="19"/>
  <c r="N1398" i="19"/>
  <c r="N1395" i="19"/>
  <c r="N431" i="19"/>
  <c r="N1393" i="19"/>
  <c r="N708" i="19"/>
  <c r="N321" i="19"/>
  <c r="N586" i="19"/>
  <c r="N874" i="19"/>
  <c r="N1384" i="19"/>
  <c r="N466" i="19"/>
  <c r="N585" i="19"/>
  <c r="N873" i="19"/>
  <c r="N666" i="19"/>
  <c r="N276" i="19"/>
  <c r="N1377" i="19"/>
  <c r="N317" i="19"/>
  <c r="N1357" i="19"/>
  <c r="N107" i="19"/>
  <c r="N967" i="19"/>
  <c r="N313" i="19"/>
  <c r="N662" i="19"/>
  <c r="N858" i="19"/>
  <c r="N391" i="19"/>
  <c r="N1320" i="19"/>
  <c r="N1314" i="19"/>
  <c r="N168" i="19"/>
  <c r="N934" i="19"/>
  <c r="N1302" i="19"/>
  <c r="N965" i="19"/>
  <c r="N963" i="19"/>
  <c r="N853" i="19"/>
  <c r="N503" i="19"/>
  <c r="N1277" i="19"/>
  <c r="N456" i="19"/>
  <c r="N75" i="19"/>
  <c r="N646" i="19"/>
  <c r="N759" i="19"/>
  <c r="N1253" i="19"/>
  <c r="N380" i="19"/>
  <c r="N70" i="19"/>
  <c r="N1444" i="19"/>
  <c r="N885" i="19"/>
  <c r="N134" i="19"/>
  <c r="N1423" i="19"/>
  <c r="N325" i="19"/>
  <c r="N472" i="19"/>
  <c r="N1415" i="19"/>
  <c r="N50" i="19"/>
  <c r="N673" i="19"/>
  <c r="N188" i="19"/>
  <c r="N352" i="19"/>
  <c r="N187" i="19"/>
  <c r="N9" i="19"/>
  <c r="N946" i="19"/>
  <c r="N229" i="19"/>
  <c r="N237" i="19"/>
  <c r="N545" i="19"/>
  <c r="N1356" i="19"/>
  <c r="N1349" i="19"/>
  <c r="N151" i="19"/>
  <c r="N1339" i="19"/>
  <c r="N392" i="19"/>
  <c r="N423" i="19"/>
  <c r="N1323" i="19"/>
  <c r="N1317" i="19"/>
  <c r="N388" i="19"/>
  <c r="N719" i="19"/>
  <c r="N1309" i="19"/>
  <c r="N1299" i="19"/>
  <c r="N1294" i="19"/>
  <c r="N548" i="19"/>
  <c r="N1288" i="19"/>
  <c r="N202" i="19"/>
  <c r="N765" i="19"/>
  <c r="N852" i="19"/>
  <c r="N927" i="19"/>
  <c r="N384" i="19"/>
  <c r="N1268" i="19"/>
  <c r="N757" i="19"/>
  <c r="N327" i="19"/>
  <c r="N738" i="19"/>
  <c r="N474" i="19"/>
  <c r="N1433" i="19"/>
  <c r="N5" i="19"/>
  <c r="N4" i="19"/>
  <c r="N1416" i="19"/>
  <c r="N880" i="19"/>
  <c r="N1405" i="19"/>
  <c r="N1399" i="19"/>
  <c r="N1396" i="19"/>
  <c r="N728" i="19"/>
  <c r="N1387" i="19"/>
  <c r="N32" i="19"/>
  <c r="N208" i="19"/>
  <c r="N872" i="19"/>
  <c r="N1375" i="19"/>
  <c r="N802" i="19"/>
  <c r="N578" i="19"/>
  <c r="N856" i="19"/>
  <c r="N170" i="19"/>
  <c r="N527" i="19"/>
  <c r="N1350" i="19"/>
  <c r="N1343" i="19"/>
  <c r="N80" i="19"/>
  <c r="N660" i="19"/>
  <c r="N600" i="19"/>
  <c r="N1281" i="19"/>
  <c r="N1445" i="19"/>
  <c r="N290" i="19"/>
  <c r="N777" i="19"/>
  <c r="N473" i="19"/>
  <c r="N881" i="19"/>
  <c r="N1412" i="19"/>
  <c r="N1407" i="19"/>
  <c r="N1404" i="19"/>
  <c r="N879" i="19"/>
  <c r="N507" i="19"/>
  <c r="N94" i="19"/>
  <c r="N411" i="19"/>
  <c r="N669" i="19"/>
  <c r="N668" i="19"/>
  <c r="N667" i="19"/>
  <c r="N320" i="19"/>
  <c r="N351" i="19"/>
  <c r="N775" i="19"/>
  <c r="N1383" i="19"/>
  <c r="N181" i="19"/>
  <c r="N318" i="19"/>
  <c r="N721" i="19"/>
  <c r="N436" i="19"/>
  <c r="N1376" i="19"/>
  <c r="N869" i="19"/>
  <c r="N1354" i="19"/>
  <c r="N524" i="19"/>
  <c r="N1347" i="19"/>
  <c r="N1342" i="19"/>
  <c r="N1336" i="19"/>
  <c r="N575" i="19"/>
  <c r="N1324" i="19"/>
  <c r="N312" i="19"/>
  <c r="N6" i="19"/>
  <c r="N570" i="19"/>
  <c r="N704" i="19"/>
  <c r="N768" i="19"/>
  <c r="N1289" i="19"/>
  <c r="N547" i="19"/>
  <c r="N650" i="19"/>
  <c r="N1265" i="19"/>
  <c r="N1442" i="19"/>
  <c r="N1425" i="19"/>
  <c r="N1417" i="19"/>
  <c r="N1403" i="19"/>
  <c r="N877" i="19"/>
  <c r="N1392" i="19"/>
  <c r="N1388" i="19"/>
  <c r="N468" i="19"/>
  <c r="N603" i="19"/>
  <c r="N1382" i="19"/>
  <c r="N1381" i="19"/>
  <c r="N65" i="19"/>
  <c r="N1379" i="19"/>
  <c r="N361" i="19"/>
  <c r="N870" i="19"/>
  <c r="N1374" i="19"/>
  <c r="N207" i="19"/>
  <c r="N1352" i="19"/>
  <c r="N543" i="19"/>
  <c r="N523" i="19"/>
  <c r="N579" i="19"/>
  <c r="N576" i="19"/>
  <c r="N1334" i="19"/>
  <c r="N1332" i="19"/>
  <c r="N574" i="19"/>
  <c r="N1328" i="19"/>
  <c r="N571" i="19"/>
  <c r="N1290" i="19"/>
  <c r="N1262" i="19"/>
  <c r="N1446" i="19"/>
  <c r="N1441" i="19"/>
  <c r="N326" i="19"/>
  <c r="N1429" i="19"/>
  <c r="N882" i="19"/>
  <c r="N60" i="19"/>
  <c r="N1411" i="19"/>
  <c r="N1406" i="19"/>
  <c r="N1400" i="19"/>
  <c r="N587" i="19"/>
  <c r="N470" i="19"/>
  <c r="N1390" i="19"/>
  <c r="N133" i="19"/>
  <c r="N467" i="19"/>
  <c r="N27" i="19"/>
  <c r="N936" i="19"/>
  <c r="N665" i="19"/>
  <c r="N1373" i="19"/>
  <c r="N1358" i="19"/>
  <c r="N464" i="19"/>
  <c r="N460" i="19"/>
  <c r="N522" i="19"/>
  <c r="N203" i="19"/>
  <c r="N658" i="19"/>
  <c r="N311" i="19"/>
  <c r="N240" i="19"/>
  <c r="N709" i="19"/>
  <c r="N1355" i="19"/>
  <c r="N1353" i="19"/>
  <c r="N663" i="19"/>
  <c r="N1345" i="19"/>
  <c r="N1340" i="19"/>
  <c r="N1337" i="19"/>
  <c r="N186" i="19"/>
  <c r="N661" i="19"/>
  <c r="N262" i="19"/>
  <c r="N572" i="19"/>
  <c r="N145" i="19"/>
  <c r="N506" i="19"/>
  <c r="N310" i="19"/>
  <c r="N83" i="19"/>
  <c r="N1303" i="19"/>
  <c r="N1293" i="19"/>
  <c r="N767" i="19"/>
  <c r="N652" i="19"/>
  <c r="N764" i="19"/>
  <c r="N1279" i="19"/>
  <c r="N962" i="19"/>
  <c r="N961" i="19"/>
  <c r="N1275" i="19"/>
  <c r="N347" i="19"/>
  <c r="N40" i="19"/>
  <c r="N59" i="19"/>
  <c r="N647" i="19"/>
  <c r="N346" i="19"/>
  <c r="N1260" i="19"/>
  <c r="N845" i="19"/>
  <c r="N644" i="19"/>
  <c r="N1243" i="19"/>
  <c r="E1450" i="3"/>
  <c r="N1239" i="19"/>
  <c r="N1233" i="19"/>
  <c r="N360" i="19"/>
  <c r="N1228" i="19"/>
  <c r="N840" i="19"/>
  <c r="N454" i="19"/>
  <c r="N561" i="19"/>
  <c r="N266" i="19"/>
  <c r="N1439" i="19"/>
  <c r="N265" i="19"/>
  <c r="N1432" i="19"/>
  <c r="N1428" i="19"/>
  <c r="N209" i="19"/>
  <c r="N353" i="19"/>
  <c r="N776" i="19"/>
  <c r="N206" i="19"/>
  <c r="N581" i="19"/>
  <c r="N463" i="19"/>
  <c r="N461" i="19"/>
  <c r="N204" i="19"/>
  <c r="N577" i="19"/>
  <c r="N25" i="19"/>
  <c r="N336" i="19"/>
  <c r="N430" i="19"/>
  <c r="N520" i="19"/>
  <c r="N1316" i="19"/>
  <c r="N1311" i="19"/>
  <c r="N387" i="19"/>
  <c r="N1307" i="19"/>
  <c r="N855" i="19"/>
  <c r="N854" i="19"/>
  <c r="N930" i="19"/>
  <c r="N1286" i="19"/>
  <c r="N766" i="19"/>
  <c r="N703" i="19"/>
  <c r="N761" i="19"/>
  <c r="N410" i="19"/>
  <c r="N1274" i="19"/>
  <c r="N648" i="19"/>
  <c r="N129" i="19"/>
  <c r="N116" i="19"/>
  <c r="N1266" i="19"/>
  <c r="N925" i="19"/>
  <c r="N1259" i="19"/>
  <c r="N1255" i="19"/>
  <c r="N381" i="19"/>
  <c r="N1246" i="19"/>
  <c r="N539" i="19"/>
  <c r="N1238" i="19"/>
  <c r="N1232" i="19"/>
  <c r="N1231" i="19"/>
  <c r="N563" i="19"/>
  <c r="N1226" i="19"/>
  <c r="N74" i="19"/>
  <c r="N677" i="19"/>
  <c r="N1443" i="19"/>
  <c r="N982" i="19"/>
  <c r="N1437" i="19"/>
  <c r="N210" i="19"/>
  <c r="N1427" i="19"/>
  <c r="N939" i="19"/>
  <c r="N605" i="19"/>
  <c r="N938" i="19"/>
  <c r="N147" i="19"/>
  <c r="N670" i="19"/>
  <c r="N864" i="19"/>
  <c r="N396" i="19"/>
  <c r="N205" i="19"/>
  <c r="N1348" i="19"/>
  <c r="N316" i="19"/>
  <c r="N978" i="19"/>
  <c r="N89" i="19"/>
  <c r="N263" i="19"/>
  <c r="N531" i="19"/>
  <c r="N521" i="19"/>
  <c r="N1329" i="19"/>
  <c r="N857" i="19"/>
  <c r="N132" i="19"/>
  <c r="N1319" i="19"/>
  <c r="N1315" i="19"/>
  <c r="N1313" i="19"/>
  <c r="N611" i="19"/>
  <c r="N421" i="19"/>
  <c r="N505" i="19"/>
  <c r="N1306" i="19"/>
  <c r="N1298" i="19"/>
  <c r="N1292" i="19"/>
  <c r="N1291" i="19"/>
  <c r="N348" i="19"/>
  <c r="N1285" i="19"/>
  <c r="N281" i="19"/>
  <c r="N308" i="19"/>
  <c r="N566" i="19"/>
  <c r="N140" i="19"/>
  <c r="N798" i="19"/>
  <c r="N1273" i="19"/>
  <c r="N502" i="19"/>
  <c r="N1272" i="19"/>
  <c r="N1270" i="19"/>
  <c r="N52" i="19"/>
  <c r="N760" i="19"/>
  <c r="N177" i="19"/>
  <c r="N345" i="19"/>
  <c r="N64" i="19"/>
  <c r="N1258" i="19"/>
  <c r="N846" i="19"/>
  <c r="N608" i="19"/>
  <c r="N1250" i="19"/>
  <c r="N843" i="19"/>
  <c r="N1242" i="19"/>
  <c r="N1237" i="19"/>
  <c r="N727" i="19"/>
  <c r="N614" i="19"/>
  <c r="N642" i="19"/>
  <c r="N754" i="19"/>
  <c r="N839" i="19"/>
  <c r="N15" i="19"/>
  <c r="N453" i="19"/>
  <c r="N1448" i="19"/>
  <c r="N475" i="19"/>
  <c r="N1438" i="19"/>
  <c r="N884" i="19"/>
  <c r="N1435" i="19"/>
  <c r="N1431" i="19"/>
  <c r="N675" i="19"/>
  <c r="N674" i="19"/>
  <c r="N366" i="19"/>
  <c r="N1419" i="19"/>
  <c r="N67" i="19"/>
  <c r="N604" i="19"/>
  <c r="N588" i="19"/>
  <c r="N29" i="19"/>
  <c r="N1401" i="19"/>
  <c r="N981" i="19"/>
  <c r="N526" i="19"/>
  <c r="N1394" i="19"/>
  <c r="N876" i="19"/>
  <c r="N1386" i="19"/>
  <c r="N664" i="19"/>
  <c r="N862" i="19"/>
  <c r="N772" i="19"/>
  <c r="N462" i="19"/>
  <c r="N1344" i="19"/>
  <c r="N580" i="19"/>
  <c r="N771" i="19"/>
  <c r="N615" i="19"/>
  <c r="N659" i="19"/>
  <c r="N261" i="19"/>
  <c r="N239" i="19"/>
  <c r="N770" i="19"/>
  <c r="N1312" i="19"/>
  <c r="N1310" i="19"/>
  <c r="N131" i="19"/>
  <c r="N657" i="19"/>
  <c r="N386" i="19"/>
  <c r="N654" i="19"/>
  <c r="N1301" i="19"/>
  <c r="N1297" i="19"/>
  <c r="N964" i="19"/>
  <c r="N504" i="19"/>
  <c r="N37" i="19"/>
  <c r="N568" i="19"/>
  <c r="N1284" i="19"/>
  <c r="N1282" i="19"/>
  <c r="N1280" i="19"/>
  <c r="N762" i="19"/>
  <c r="N420" i="19"/>
  <c r="N928" i="19"/>
  <c r="N851" i="19"/>
  <c r="N649" i="19"/>
  <c r="N850" i="19"/>
  <c r="N306" i="19"/>
  <c r="N1271" i="19"/>
  <c r="N565" i="19"/>
  <c r="N1269" i="19"/>
  <c r="N599" i="19"/>
  <c r="N536" i="19"/>
  <c r="N847" i="19"/>
  <c r="N19" i="19"/>
  <c r="N645" i="19"/>
  <c r="N758" i="19"/>
  <c r="N1252" i="19"/>
  <c r="N1249" i="19"/>
  <c r="N1245" i="19"/>
  <c r="N1241" i="19"/>
  <c r="N1236" i="19"/>
  <c r="N259" i="19"/>
  <c r="N841" i="19"/>
  <c r="N1230" i="19"/>
  <c r="N1227" i="19"/>
  <c r="N752" i="19"/>
  <c r="N949" i="19"/>
  <c r="N616" i="19"/>
  <c r="N1447" i="19"/>
  <c r="N606" i="19"/>
  <c r="N778" i="19"/>
  <c r="N886" i="19"/>
  <c r="N354" i="19"/>
  <c r="N1430" i="19"/>
  <c r="N540" i="19"/>
  <c r="N1424" i="19"/>
  <c r="N883" i="19"/>
  <c r="N1422" i="19"/>
  <c r="N1418" i="19"/>
  <c r="N968" i="19"/>
  <c r="N86" i="19"/>
  <c r="N178" i="19"/>
  <c r="N1410" i="19"/>
  <c r="N323" i="19"/>
  <c r="N1402" i="19"/>
  <c r="N21" i="19"/>
  <c r="N671" i="19"/>
  <c r="N1397" i="19"/>
  <c r="N432" i="19"/>
  <c r="N78" i="19"/>
  <c r="N1391" i="19"/>
  <c r="N469" i="19"/>
  <c r="N532" i="19"/>
  <c r="N875" i="19"/>
  <c r="N1385" i="19"/>
  <c r="N707" i="19"/>
  <c r="N319" i="19"/>
  <c r="N76" i="19"/>
  <c r="N803" i="19"/>
  <c r="N871" i="19"/>
  <c r="N1378" i="19"/>
  <c r="N980" i="19"/>
  <c r="N544" i="19"/>
  <c r="N1359" i="19"/>
  <c r="N582" i="19"/>
  <c r="N706" i="19"/>
  <c r="N395" i="19"/>
  <c r="N861" i="19"/>
  <c r="N705" i="19"/>
  <c r="N264" i="19"/>
  <c r="N1346" i="19"/>
  <c r="N315" i="19"/>
  <c r="N1341" i="19"/>
  <c r="N394" i="19"/>
  <c r="N1338" i="19"/>
  <c r="N228" i="19"/>
  <c r="N1335" i="19"/>
  <c r="N1333" i="19"/>
  <c r="N859" i="19"/>
  <c r="N1331" i="19"/>
  <c r="N1327" i="19"/>
  <c r="N349" i="19"/>
  <c r="N458" i="19"/>
  <c r="N1322" i="19"/>
  <c r="N117" i="19"/>
  <c r="N1318" i="19"/>
  <c r="N947" i="19"/>
  <c r="N519" i="19"/>
  <c r="N84" i="19"/>
  <c r="N769" i="19"/>
  <c r="N977" i="19"/>
  <c r="N656" i="19"/>
  <c r="N1308" i="19"/>
  <c r="N1305" i="19"/>
  <c r="N1300" i="19"/>
  <c r="N933" i="19"/>
  <c r="N1295" i="19"/>
  <c r="N932" i="19"/>
  <c r="N88" i="19"/>
  <c r="N653" i="19"/>
  <c r="N260" i="19"/>
  <c r="N1283" i="19"/>
  <c r="N651" i="19"/>
  <c r="N763" i="19"/>
  <c r="N567" i="19"/>
  <c r="N929" i="19"/>
  <c r="N275" i="19"/>
  <c r="N1278" i="19"/>
  <c r="N435" i="19"/>
  <c r="N849" i="19"/>
  <c r="N434" i="19"/>
  <c r="N383" i="19"/>
  <c r="N848" i="19"/>
  <c r="N105" i="19"/>
  <c r="N409" i="19"/>
  <c r="N455" i="19"/>
  <c r="N1264" i="19"/>
  <c r="N104" i="19"/>
  <c r="N1261" i="19"/>
  <c r="N1257" i="19"/>
  <c r="N1254" i="19"/>
  <c r="N844" i="19"/>
  <c r="N1248" i="19"/>
  <c r="N842" i="19"/>
  <c r="N756" i="19"/>
  <c r="N1235" i="19"/>
  <c r="N598" i="19"/>
  <c r="N922" i="19"/>
  <c r="N959" i="19"/>
  <c r="N753" i="19"/>
  <c r="N176" i="19"/>
  <c r="N958" i="19"/>
  <c r="N51" i="19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2" i="18"/>
  <c r="N749" i="19" l="1"/>
  <c r="N1225" i="19"/>
  <c r="N957" i="19"/>
  <c r="N1224" i="19"/>
  <c r="N838" i="19"/>
  <c r="N518" i="19"/>
  <c r="N956" i="19"/>
  <c r="N976" i="19"/>
  <c r="N378" i="19"/>
  <c r="N185" i="19"/>
  <c r="N748" i="19"/>
  <c r="N452" i="19"/>
  <c r="N501" i="19"/>
  <c r="N750" i="19"/>
  <c r="N408" i="19"/>
  <c r="N1223" i="19"/>
  <c r="J68" i="8"/>
  <c r="D68" i="8"/>
  <c r="J65" i="8"/>
  <c r="I65" i="8"/>
  <c r="H65" i="8"/>
  <c r="G65" i="8"/>
  <c r="F65" i="8"/>
  <c r="E65" i="8"/>
  <c r="D65" i="8"/>
  <c r="C65" i="8"/>
  <c r="J76" i="8"/>
  <c r="I76" i="8"/>
  <c r="H76" i="8"/>
  <c r="G76" i="8"/>
  <c r="F76" i="8"/>
  <c r="E76" i="8"/>
  <c r="D76" i="8"/>
  <c r="C76" i="8"/>
  <c r="J75" i="8"/>
  <c r="I75" i="8"/>
  <c r="H75" i="8"/>
  <c r="G75" i="8"/>
  <c r="F75" i="8"/>
  <c r="E75" i="8"/>
  <c r="D75" i="8"/>
  <c r="C75" i="8"/>
  <c r="J74" i="8"/>
  <c r="I74" i="8"/>
  <c r="H74" i="8"/>
  <c r="G74" i="8"/>
  <c r="F74" i="8"/>
  <c r="E74" i="8"/>
  <c r="D74" i="8"/>
  <c r="C74" i="8"/>
  <c r="J73" i="8"/>
  <c r="I73" i="8"/>
  <c r="H73" i="8"/>
  <c r="G73" i="8"/>
  <c r="F73" i="8"/>
  <c r="E73" i="8"/>
  <c r="D73" i="8"/>
  <c r="K26" i="8"/>
  <c r="J72" i="8"/>
  <c r="I72" i="8"/>
  <c r="H72" i="8"/>
  <c r="G72" i="8"/>
  <c r="F72" i="8"/>
  <c r="E72" i="8"/>
  <c r="D72" i="8"/>
  <c r="C72" i="8"/>
  <c r="J71" i="8"/>
  <c r="I71" i="8"/>
  <c r="H71" i="8"/>
  <c r="G71" i="8"/>
  <c r="F71" i="8"/>
  <c r="E71" i="8"/>
  <c r="D71" i="8"/>
  <c r="C71" i="8"/>
  <c r="J58" i="8"/>
  <c r="I58" i="8"/>
  <c r="H58" i="8"/>
  <c r="G58" i="8"/>
  <c r="F58" i="8"/>
  <c r="E58" i="8"/>
  <c r="D58" i="8"/>
  <c r="C58" i="8"/>
  <c r="J57" i="8"/>
  <c r="I57" i="8"/>
  <c r="H57" i="8"/>
  <c r="G57" i="8"/>
  <c r="F57" i="8"/>
  <c r="E57" i="8"/>
  <c r="D57" i="8"/>
  <c r="C57" i="8"/>
  <c r="J56" i="8"/>
  <c r="I56" i="8"/>
  <c r="H56" i="8"/>
  <c r="G56" i="8"/>
  <c r="F56" i="8"/>
  <c r="E56" i="8"/>
  <c r="D56" i="8"/>
  <c r="C56" i="8"/>
  <c r="I50" i="8"/>
  <c r="J61" i="8"/>
  <c r="I61" i="8"/>
  <c r="H61" i="8"/>
  <c r="G61" i="8"/>
  <c r="F61" i="8"/>
  <c r="E61" i="8"/>
  <c r="D61" i="8"/>
  <c r="C61" i="8"/>
  <c r="J60" i="8"/>
  <c r="I60" i="8"/>
  <c r="H60" i="8"/>
  <c r="G60" i="8"/>
  <c r="F60" i="8"/>
  <c r="E60" i="8"/>
  <c r="D60" i="8"/>
  <c r="C60" i="8"/>
  <c r="J59" i="8"/>
  <c r="I59" i="8"/>
  <c r="H59" i="8"/>
  <c r="G59" i="8"/>
  <c r="F59" i="8"/>
  <c r="E59" i="8"/>
  <c r="D59" i="8"/>
  <c r="C59" i="8"/>
  <c r="I55" i="8"/>
  <c r="F64" i="8"/>
  <c r="H54" i="8"/>
  <c r="G54" i="8"/>
  <c r="E54" i="8"/>
  <c r="J62" i="8"/>
  <c r="G53" i="8"/>
  <c r="E47" i="8"/>
  <c r="D62" i="8"/>
  <c r="J70" i="8"/>
  <c r="I49" i="8"/>
  <c r="H49" i="8"/>
  <c r="G49" i="8"/>
  <c r="F52" i="8"/>
  <c r="D70" i="8"/>
  <c r="C49" i="8"/>
  <c r="J48" i="8"/>
  <c r="H51" i="8"/>
  <c r="F69" i="8"/>
  <c r="E48" i="8"/>
  <c r="D48" i="8"/>
  <c r="C48" i="8"/>
  <c r="J50" i="8"/>
  <c r="I47" i="8"/>
  <c r="H68" i="8"/>
  <c r="D50" i="8"/>
  <c r="C50" i="8" s="1"/>
  <c r="C47" i="8"/>
  <c r="S6" i="7"/>
  <c r="R6" i="7"/>
  <c r="U6" i="7" s="1"/>
  <c r="S5" i="7"/>
  <c r="R5" i="7"/>
  <c r="U5" i="7" s="1"/>
  <c r="S4" i="7"/>
  <c r="R4" i="7"/>
  <c r="U4" i="7" s="1"/>
  <c r="A1" i="2"/>
  <c r="U29" i="1"/>
  <c r="S29" i="1"/>
  <c r="X16" i="1"/>
  <c r="V37" i="1"/>
  <c r="U37" i="1"/>
  <c r="T37" i="1"/>
  <c r="S37" i="1"/>
  <c r="Q37" i="1"/>
  <c r="P37" i="1"/>
  <c r="U24" i="1"/>
  <c r="O24" i="1"/>
  <c r="S32" i="1"/>
  <c r="Q22" i="1"/>
  <c r="B2" i="4"/>
  <c r="C2" i="4" l="1"/>
  <c r="L59" i="8"/>
  <c r="I51" i="8"/>
  <c r="G55" i="8"/>
  <c r="E50" i="8"/>
  <c r="F50" i="8"/>
  <c r="F53" i="8"/>
  <c r="D54" i="8"/>
  <c r="C54" i="8" s="1"/>
  <c r="J54" i="8"/>
  <c r="H55" i="8"/>
  <c r="I54" i="8"/>
  <c r="D55" i="8"/>
  <c r="C55" i="8" s="1"/>
  <c r="J55" i="8"/>
  <c r="H53" i="8"/>
  <c r="F54" i="8"/>
  <c r="L13" i="8"/>
  <c r="T6" i="7" s="1"/>
  <c r="V6" i="7" s="1"/>
  <c r="H62" i="8"/>
  <c r="F63" i="8"/>
  <c r="D64" i="8"/>
  <c r="J64" i="8"/>
  <c r="F66" i="8"/>
  <c r="D67" i="8"/>
  <c r="J67" i="8"/>
  <c r="E53" i="8"/>
  <c r="G51" i="8"/>
  <c r="E52" i="8"/>
  <c r="I53" i="8"/>
  <c r="E55" i="8"/>
  <c r="C62" i="8"/>
  <c r="I62" i="8"/>
  <c r="G63" i="8"/>
  <c r="E64" i="8"/>
  <c r="G66" i="8"/>
  <c r="E67" i="8"/>
  <c r="L2" i="8"/>
  <c r="L11" i="8"/>
  <c r="T4" i="7" s="1"/>
  <c r="V4" i="7" s="1"/>
  <c r="G48" i="8"/>
  <c r="E51" i="8"/>
  <c r="E62" i="8"/>
  <c r="C63" i="8"/>
  <c r="I63" i="8"/>
  <c r="G64" i="8"/>
  <c r="C66" i="8"/>
  <c r="I66" i="8"/>
  <c r="G67" i="8"/>
  <c r="E49" i="8"/>
  <c r="G50" i="8"/>
  <c r="L12" i="8"/>
  <c r="T5" i="7" s="1"/>
  <c r="V5" i="7" s="1"/>
  <c r="F62" i="8"/>
  <c r="D63" i="8"/>
  <c r="J63" i="8"/>
  <c r="H64" i="8"/>
  <c r="D66" i="8"/>
  <c r="J66" i="8"/>
  <c r="H67" i="8"/>
  <c r="G62" i="8"/>
  <c r="E63" i="8"/>
  <c r="C64" i="8"/>
  <c r="I64" i="8"/>
  <c r="E66" i="8"/>
  <c r="C67" i="8"/>
  <c r="I67" i="8"/>
  <c r="H52" i="8"/>
  <c r="K56" i="8"/>
  <c r="L56" i="8"/>
  <c r="K2" i="8"/>
  <c r="L26" i="8"/>
  <c r="D47" i="8"/>
  <c r="J47" i="8"/>
  <c r="F48" i="8"/>
  <c r="D49" i="8"/>
  <c r="J49" i="8"/>
  <c r="H50" i="8"/>
  <c r="D51" i="8"/>
  <c r="C51" i="8" s="1"/>
  <c r="J51" i="8"/>
  <c r="G52" i="8"/>
  <c r="D53" i="8"/>
  <c r="C53" i="8" s="1"/>
  <c r="J53" i="8"/>
  <c r="C68" i="8"/>
  <c r="I68" i="8"/>
  <c r="G69" i="8"/>
  <c r="E70" i="8"/>
  <c r="H63" i="8"/>
  <c r="H66" i="8"/>
  <c r="F67" i="8"/>
  <c r="H69" i="8"/>
  <c r="F70" i="8"/>
  <c r="F47" i="8"/>
  <c r="H48" i="8"/>
  <c r="F49" i="8"/>
  <c r="F51" i="8"/>
  <c r="I52" i="8"/>
  <c r="E68" i="8"/>
  <c r="C69" i="8"/>
  <c r="I69" i="8"/>
  <c r="G70" i="8"/>
  <c r="G47" i="8"/>
  <c r="I48" i="8"/>
  <c r="D52" i="8"/>
  <c r="C52" i="8" s="1"/>
  <c r="J52" i="8"/>
  <c r="F55" i="8"/>
  <c r="F68" i="8"/>
  <c r="D69" i="8"/>
  <c r="J69" i="8"/>
  <c r="H70" i="8"/>
  <c r="H47" i="8"/>
  <c r="G68" i="8"/>
  <c r="E69" i="8"/>
  <c r="C70" i="8"/>
  <c r="I70" i="8"/>
  <c r="C73" i="8"/>
  <c r="T22" i="1"/>
  <c r="P32" i="1"/>
  <c r="P29" i="1"/>
  <c r="P31" i="1" s="1"/>
  <c r="V29" i="1"/>
  <c r="V30" i="1" s="1"/>
  <c r="T36" i="1"/>
  <c r="W9" i="1"/>
  <c r="P24" i="1"/>
  <c r="V24" i="1"/>
  <c r="T29" i="1"/>
  <c r="T30" i="1" s="1"/>
  <c r="S26" i="1"/>
  <c r="O29" i="1"/>
  <c r="O31" i="1" s="1"/>
  <c r="O22" i="1"/>
  <c r="O34" i="1"/>
  <c r="O35" i="1" s="1"/>
  <c r="U34" i="1"/>
  <c r="U35" i="1" s="1"/>
  <c r="Q29" i="1"/>
  <c r="Q31" i="1" s="1"/>
  <c r="U31" i="1"/>
  <c r="T27" i="1"/>
  <c r="P34" i="1"/>
  <c r="P35" i="1" s="1"/>
  <c r="V35" i="1"/>
  <c r="C14" i="23" s="1"/>
  <c r="S24" i="1"/>
  <c r="U27" i="1"/>
  <c r="Q34" i="1"/>
  <c r="Q35" i="1" s="1"/>
  <c r="P25" i="1"/>
  <c r="O25" i="1" s="1"/>
  <c r="V25" i="1"/>
  <c r="T24" i="1"/>
  <c r="S34" i="1"/>
  <c r="S35" i="1" s="1"/>
  <c r="U32" i="1"/>
  <c r="T32" i="1"/>
  <c r="T26" i="1"/>
  <c r="Q27" i="1"/>
  <c r="O32" i="1"/>
  <c r="U26" i="1"/>
  <c r="T34" i="1"/>
  <c r="T35" i="1" s="1"/>
  <c r="V36" i="1"/>
  <c r="Q24" i="1"/>
  <c r="V32" i="1"/>
  <c r="V26" i="1"/>
  <c r="S27" i="1"/>
  <c r="Q36" i="1"/>
  <c r="P36" i="1" s="1"/>
  <c r="P27" i="1"/>
  <c r="O27" i="1" s="1"/>
  <c r="V27" i="1"/>
  <c r="T25" i="1"/>
  <c r="S31" i="1"/>
  <c r="S30" i="1"/>
  <c r="S22" i="1"/>
  <c r="U25" i="1"/>
  <c r="Q26" i="1"/>
  <c r="U22" i="1"/>
  <c r="Q25" i="1"/>
  <c r="Q32" i="1"/>
  <c r="P26" i="1"/>
  <c r="S36" i="1"/>
  <c r="U30" i="1"/>
  <c r="U36" i="1"/>
  <c r="X15" i="1"/>
  <c r="P22" i="1"/>
  <c r="V22" i="1"/>
  <c r="S25" i="1"/>
  <c r="C3" i="4" l="1"/>
  <c r="W22" i="1"/>
  <c r="P38" i="1"/>
  <c r="P39" i="1"/>
  <c r="Q39" i="1"/>
  <c r="Q38" i="1"/>
  <c r="V38" i="1"/>
  <c r="V39" i="1"/>
  <c r="O38" i="1"/>
  <c r="O39" i="1"/>
  <c r="S38" i="1"/>
  <c r="S39" i="1"/>
  <c r="T38" i="1"/>
  <c r="T39" i="1"/>
  <c r="U38" i="1"/>
  <c r="U39" i="1"/>
  <c r="L54" i="8"/>
  <c r="L51" i="8"/>
  <c r="L55" i="8"/>
  <c r="L50" i="8"/>
  <c r="K50" i="8"/>
  <c r="K47" i="8"/>
  <c r="L52" i="8"/>
  <c r="K53" i="8"/>
  <c r="L53" i="8"/>
  <c r="L47" i="8"/>
  <c r="T31" i="1"/>
  <c r="Q30" i="1"/>
  <c r="P30" i="1"/>
  <c r="O30" i="1" s="1"/>
  <c r="V31" i="1"/>
  <c r="X24" i="1"/>
  <c r="S28" i="1"/>
  <c r="U28" i="1"/>
  <c r="Q28" i="1"/>
  <c r="W24" i="1"/>
  <c r="W31" i="1"/>
  <c r="R33" i="1" s="1"/>
  <c r="X22" i="1"/>
  <c r="T28" i="1"/>
  <c r="V28" i="1"/>
  <c r="O26" i="1"/>
  <c r="O28" i="1" s="1"/>
  <c r="P28" i="1"/>
  <c r="O33" i="1" l="1"/>
  <c r="C4" i="4"/>
  <c r="W39" i="1"/>
  <c r="U33" i="1"/>
  <c r="R2" i="1" s="1"/>
  <c r="V33" i="1"/>
  <c r="Q33" i="1"/>
  <c r="S33" i="1"/>
  <c r="T33" i="1"/>
  <c r="P33" i="1"/>
  <c r="X25" i="1"/>
  <c r="W28" i="1"/>
  <c r="W25" i="1"/>
  <c r="C5" i="4" l="1"/>
  <c r="C6" i="4" l="1"/>
  <c r="C7" i="4" s="1"/>
</calcChain>
</file>

<file path=xl/comments1.xml><?xml version="1.0" encoding="utf-8"?>
<comments xmlns="http://schemas.openxmlformats.org/spreadsheetml/2006/main">
  <authors>
    <author>SW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AD9" authorId="0" shapeId="0">
      <text>
        <r>
          <rPr>
            <b/>
            <sz val="14"/>
            <color indexed="81"/>
            <rFont val="細明體"/>
            <family val="3"/>
            <charset val="136"/>
          </rPr>
          <t>股票股利</t>
        </r>
      </text>
    </comment>
    <comment ref="AD10" authorId="0" shapeId="0">
      <text>
        <r>
          <rPr>
            <sz val="14"/>
            <color indexed="81"/>
            <rFont val="細明體"/>
            <family val="3"/>
            <charset val="136"/>
          </rPr>
          <t>現金股利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 shape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0" background="1">
    <webPr url="http://justdata.yuanta.com.tw/z/zc/zcq/zcq_5607.asp.htm" htmlTables="1" htmlFormat="all"/>
  </connection>
  <connection id="2" name="連線1" type="4" refreshedVersion="0" background="1">
    <webPr url="http://justdata.yuanta.com.tw/z/zc/zcq/zcq_1229.asp.htm" htmlTables="1" htmlFormat="all"/>
  </connection>
  <connection id="3" name="連線10" type="4" refreshedVersion="0" background="1">
    <webPr url="http://justdata.yuanta.com.tw/z/zc/zc3/zc3_1104.asp.htm" htmlTables="1" htmlFormat="all"/>
  </connection>
  <connection id="4" name="連線1024" type="4" refreshedVersion="0" background="1">
    <webPr url="http://www.emega.com.tw/z/zc/zch/zch_2108.djhtm" htmlTables="1" htmlFormat="all"/>
  </connection>
  <connection id="5" name="連線1031" type="4" refreshedVersion="0" background="1">
    <webPr url="http://jsjustweb.jihsun.com.tw/z/zc/zco/zco0/zco0.djhtm?a=1521&amp;b=1650" htmlTables="1" htmlFormat="all"/>
  </connection>
  <connection id="6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7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8" name="連線1049" type="4" refreshedVersion="0" background="1">
    <webPr url="http://jsjustweb.jihsun.com.tw/z/zc/zco/zco0/zco0.djhtm?a=1568&amp;b=" htmlTables="1" htmlFormat="all"/>
  </connection>
  <connection id="9" name="連線107" type="4" refreshedVersion="0" background="1">
    <webPr url="http://www.emega.com.tw/z/zc/zch/zch_1262.djhtm" htmlTables="1" htmlFormat="all"/>
  </connection>
  <connection id="10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11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12" name="連線110" type="4" refreshedVersion="0" background="1">
    <webPr url="http://www.emega.com.tw/z/zc/zcn/zcn.djhtm?a=3293&amp;b=4" htmlTables="1" htmlFormat="all"/>
  </connection>
  <connection id="13" name="連線112" type="4" refreshedVersion="0" background="1">
    <webPr url="http://www.emega.com.tw/z/zc/zch/zch_1316.djhtm" htmlTables="1" htmlFormat="all"/>
  </connection>
  <connection id="14" name="連線1126" type="4" refreshedVersion="0" background="1">
    <webPr url="http://jsjustweb.jihsun.com.tw/z/zc/zco/zco0/zco0.djhtm?a=1465&amp;b=1650" htmlTables="1" htmlFormat="all"/>
  </connection>
  <connection id="15" name="連線1152" type="4" refreshedVersion="0" background="1">
    <webPr url="http://tw.stock.yahoo.com/q/q?s=8341" htmlTables="1" htmlFormat="all"/>
  </connection>
  <connection id="16" name="連線1156" type="4" refreshedVersion="0" background="1">
    <webPr url="http://www.emega.com.tw/z/zc/zch/zch_2390.djhtm" htmlTables="1" htmlFormat="all"/>
  </connection>
  <connection id="17" name="連線119" type="4" refreshedVersion="0" background="1">
    <webPr url="http://justdata.yuanta.com.tw/z/zc/zcq/zcq_2637.asp.htm" htmlTables="1" htmlFormat="all"/>
  </connection>
  <connection id="18" name="連線12" type="4" refreshedVersion="0" background="1">
    <webPr url="http://justdata.yuanta.com.tw/z/zc/zcp/zcpa/zcpa_1103.asp.htm" htmlTables="1" htmlFormat="all"/>
  </connection>
  <connection id="19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20" name="連線1224" type="4" refreshedVersion="0" background="1">
    <webPr url="http://www.emega.com.tw/z/zc/zch/zch_1436.djhtm" htmlTables="1" htmlFormat="all"/>
  </connection>
  <connection id="21" name="連線1229" type="4" refreshedVersion="0" background="1">
    <webPr url="http://jsjustweb.jihsun.com.tw/z/zc/zco/zco0/zco0.djhtm?a=1473&amp;b=1650" htmlTables="1" htmlFormat="all"/>
  </connection>
  <connection id="22" name="連線123" type="4" refreshedVersion="0" background="1">
    <webPr url="http://www.emega.com.tw/z/zc/zch/zch_2399.djhtm" htmlTables="1" htmlFormat="all"/>
  </connection>
  <connection id="23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24" name="連線130" type="4" refreshedVersion="0" background="1">
    <webPr url="http://stockchannel.sinotrade.com.tw/z/zc/zca/zca_14322.djhtm" htmlTables="1" htmlFormat="all"/>
  </connection>
  <connection id="25" name="連線1301" type="4" refreshedVersion="0" background="1">
    <webPr url="http://www.emega.com.tw/z/zc/zch/zch_1339.djhtm" htmlTables="1" htmlFormat="all"/>
  </connection>
  <connection id="26" name="連線131" type="4" refreshedVersion="0" background="1">
    <webPr url="http://www.cnyes.com/twstock/Technical/5206.htm" htmlTables="1" htmlFormat="all"/>
  </connection>
  <connection id="27" name="連線132" type="4" refreshedVersion="0" background="1">
    <webPr url="http://stockchannel.sinotrade.com.tw/z/zc/zca/zca_14423.djhtm" htmlTables="1" htmlFormat="all"/>
  </connection>
  <connection id="28" name="連線133" type="4" refreshedVersion="0" background="1">
    <webPr url="http://stockchannel.sinotrade.com.tw/z/zc/zca/zca_14641.djhtm" htmlTables="1" htmlFormat="all"/>
  </connection>
  <connection id="29" name="連線1330" type="4" refreshedVersion="0" background="1">
    <webPr url="http://www.emega.com.tw/z/zc/zch/zch_1264.djhtm" htmlTables="1" htmlFormat="all"/>
  </connection>
  <connection id="30" name="連線134" type="4" refreshedVersion="0" background="1">
    <webPr url="http://justdata.yuanta.com.tw/z/zc/zcp/zcpa/zcpa_4947.asp.htm" htmlTables="1" htmlFormat="all"/>
  </connection>
  <connection id="31" name="連線135" type="4" refreshedVersion="0" background="1">
    <webPr url="http://stockchannel.sinotrade.com.tw/z/zc/zca/zca_14642.djhtm" htmlTables="1" htmlFormat="all"/>
  </connection>
  <connection id="32" name="連線136" type="4" refreshedVersion="0" background="1">
    <webPr url="http://jsjustweb.jihsun.com.tw/z/zc/zco/zco0/zco0.djhtm?a=4991&amp;b=1090" htmlTables="1" htmlFormat="all"/>
  </connection>
  <connection id="33" name="連線1383" type="4" refreshedVersion="0" background="1">
    <webPr url="http://jsjustweb.jihsun.com.tw/z/zc/zco/zco0/zco0.djhtm?a=1595&amp;b=1650" htmlTables="1" htmlFormat="all"/>
  </connection>
  <connection id="34" name="連線1389" type="4" refreshedVersion="0" background="1">
    <webPr url="http://www.emega.com.tw/z/zc/zcn/zcn.djhtm?a=6431&amp;b=4" htmlTables="1" htmlFormat="all"/>
  </connection>
  <connection id="35" name="連線14" type="4" refreshedVersion="0" background="1">
    <webPr url="http://www.cnyes.com/twstock/Technical/3587.htm" htmlTables="1" htmlFormat="all"/>
  </connection>
  <connection id="36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37" name="連線1445" type="4" refreshedVersion="0" background="1">
    <webPr url="http://jsjustweb.jihsun.com.tw/z/zc/zco/zco0/zco0.djhtm?a=1416&amp;b=1650" htmlTables="1" htmlFormat="all"/>
  </connection>
  <connection id="38" name="連線15" type="4" refreshedVersion="0" background="1">
    <webPr url="http://justdata.yuanta.com.tw/z/zc/zcq/zcq_6212.asp.htm" htmlTables="1" htmlFormat="all"/>
  </connection>
  <connection id="39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40" name="連線1545" type="4" refreshedVersion="0" background="1">
    <webPr url="http://www.emega.com.tw/z/zc/zch/zch_1734.djhtm" htmlTables="1" htmlFormat="all"/>
  </connection>
  <connection id="41" name="連線155" type="4" refreshedVersion="0" background="1">
    <webPr url="http://www.tdcc.com.tw/smWeb/QryStock.jsp?SCA_DATE=20151206&amp;SqlMethod=StockNo&amp;StockNo=1262&amp;StockName=&amp;sub=%ACd%B8%DF" htmlTables="1" htmlFormat="all"/>
  </connection>
  <connection id="42" name="連線1567" type="4" refreshedVersion="0" background="1">
    <webPr url="https://www.stockdog.com.tw/m/index.php?type=0&amp;sid=1109" htmlTables="1" htmlFormat="all"/>
  </connection>
  <connection id="43" name="連線16" type="4" refreshedVersion="0" background="1">
    <webPr url="http://www.cnyes.com/twstock/Technical/2313.htm" htmlTables="1" htmlFormat="all"/>
  </connection>
  <connection id="44" name="連線163" type="4" refreshedVersion="0" background="1">
    <webPr url="http://www.emega.com.tw/z/zc/zch/zch_2450.djhtm" htmlTables="1" htmlFormat="all"/>
  </connection>
  <connection id="45" name="連線1636" type="4" refreshedVersion="0" background="1">
    <webPr url="http://justdata.yuanta.com.tw/z/zc/zcq/zcq_.asp.htm" htmlTables="1" htmlFormat="all"/>
  </connection>
  <connection id="46" name="連線17" type="4" refreshedVersion="0" background="1">
    <webPr url="http://justdata.yuanta.com.tw/z/zc/zc3/zc3_9946.asp.htm" htmlTables="1" htmlFormat="all"/>
  </connection>
  <connection id="47" name="連線1723" type="4" refreshedVersion="0" background="1">
    <webPr url="http://justdata.yuanta.com.tw/z/zc/zcq/zcq_8039.asp.htm" htmlTables="1" htmlFormat="all"/>
  </connection>
  <connection id="48" name="連線1724" type="4" refreshedVersion="0" background="1">
    <webPr url="http://justdata.yuanta.com.tw/z/zc/zcq/zcq_2231.asp.htm" htmlTables="1" htmlFormat="all"/>
  </connection>
  <connection id="49" name="連線1734" type="4" refreshedVersion="0" background="1">
    <webPr url="http://justdata.yuanta.com.tw/z/zc/zcp/zcpa/zcpa_6213.asp.htm" htmlTables="1" htmlFormat="all"/>
  </connection>
  <connection id="50" name="連線1749" type="4" refreshedVersion="0" background="1">
    <webPr url="http://justdata.yuanta.com.tw/z/zc/zcq/zcq_2489.asp.htm" htmlTables="1" htmlFormat="all"/>
  </connection>
  <connection id="51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52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53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54" name="連線179" type="4" refreshedVersion="0" background="1">
    <webPr url="http://jsjustweb.jihsun.com.tw/z/zc/zco/zco0/zco0.djhtm?a=4991&amp;b=0840" htmlTables="1" htmlFormat="all"/>
  </connection>
  <connection id="55" name="連線1799" type="4" refreshedVersion="0" background="1">
    <webPr url="http://justdata.yuanta.com.tw/z/zc/zcq/zcq_1452.asp.htm" htmlTables="1" htmlFormat="all"/>
  </connection>
  <connection id="56" name="連線18" type="4" refreshedVersion="0" background="1">
    <webPr url="http://tw.stock.yahoo.com/q/q?s=1103" htmlTables="1" htmlFormat="all"/>
  </connection>
  <connection id="57" name="連線184" type="4" refreshedVersion="0" background="1">
    <webPr url="http://www.cnyes.com/twstock/Technical/8928.htm" htmlTables="1" htmlFormat="all"/>
  </connection>
  <connection id="58" name="連線1870" type="4" refreshedVersion="0" background="1">
    <webPr url="http://stockchannel.sinotrade.com.tw/z/zc/zca/zca_61393.djhtm" htmlTables="1" htmlFormat="all"/>
  </connection>
  <connection id="59" name="連線1871" type="4" refreshedVersion="0" background="1">
    <webPr url="http://stockchannel.sinotrade.com.tw/z/zc/zca/zca_61703.djhtm" htmlTables="1" htmlFormat="all"/>
  </connection>
  <connection id="60" name="連線1872" type="4" refreshedVersion="0" background="1">
    <webPr url="http://stockchannel.sinotrade.com.tw/z/zc/zca/zca_61775.djhtm" htmlTables="1" htmlFormat="all"/>
  </connection>
  <connection id="61" name="連線1873" type="4" refreshedVersion="0" background="1">
    <webPr url="http://stockchannel.sinotrade.com.tw/z/zc/zca/zca_61776.djhtm" htmlTables="1" htmlFormat="all"/>
  </connection>
  <connection id="62" name="連線1874" type="4" refreshedVersion="0" background="1">
    <webPr url="http://stockchannel.sinotrade.com.tw/z/zc/zca/zca_61841.djhtm" htmlTables="1" htmlFormat="all"/>
  </connection>
  <connection id="63" name="連線1875" type="4" refreshedVersion="0" background="1">
    <webPr url="http://stockchannel.sinotrade.com.tw/z/zc/zca/zca_61904.djhtm" htmlTables="1" htmlFormat="all"/>
  </connection>
  <connection id="64" name="連線1876" type="4" refreshedVersion="0" background="1">
    <webPr url="http://stockchannel.sinotrade.com.tw/z/zc/zca/zca_62264.djhtm" htmlTables="1" htmlFormat="all"/>
  </connection>
  <connection id="65" name="連線1877" type="4" refreshedVersion="0" background="1">
    <webPr url="http://stockchannel.sinotrade.com.tw/z/zc/zca/zca_62641.djhtm" htmlTables="1" htmlFormat="all"/>
  </connection>
  <connection id="66" name="連線1878" type="4" refreshedVersion="0" background="1">
    <webPr url="http://stockchannel.sinotrade.com.tw/z/zc/zca/zca_62754.djhtm" htmlTables="1" htmlFormat="all"/>
  </connection>
  <connection id="67" name="連線1879" type="4" refreshedVersion="0" background="1">
    <webPr url="http://stockchannel.sinotrade.com.tw/z/zc/zca/zca_62852.djhtm" htmlTables="1" htmlFormat="all"/>
  </connection>
  <connection id="68" name="連線1880" type="4" refreshedVersion="0" background="1">
    <webPr url="http://stockchannel.sinotrade.com.tw/z/zc/zca/zca_62874.djhtm" htmlTables="1" htmlFormat="all"/>
  </connection>
  <connection id="69" name="連線1881" type="4" refreshedVersion="0" background="1">
    <webPr url="http://stockchannel.sinotrade.com.tw/z/zc/zca/zca_66032.djhtm" htmlTables="1" htmlFormat="all"/>
  </connection>
  <connection id="70" name="連線1894" type="4" refreshedVersion="0" background="1">
    <webPr url="http://stockchannel.sinotrade.com.tw/z/zc/zca/zca_37021.djhtm" htmlTables="1" htmlFormat="all"/>
  </connection>
  <connection id="71" name="連線1895" type="4" refreshedVersion="0" background="1">
    <webPr url="http://stockchannel.sinotrade.com.tw/z/zc/zca/zca_43066.djhtm" htmlTables="1" htmlFormat="all"/>
  </connection>
  <connection id="72" name="連線1896" type="4" refreshedVersion="0" background="1">
    <webPr url="http://stockchannel.sinotrade.com.tw/z/zc/zca/zca_45322.djhtm" htmlTables="1" htmlFormat="all"/>
  </connection>
  <connection id="73" name="連線1897" type="4" refreshedVersion="0" background="1">
    <webPr url="http://stockchannel.sinotrade.com.tw/z/zc/zca/zca_49561.djhtm" htmlTables="1" htmlFormat="all"/>
  </connection>
  <connection id="74" name="連線1898" type="4" refreshedVersion="0" background="1">
    <webPr url="http://stockchannel.sinotrade.com.tw/z/zc/zca/zca_52133.djhtm" htmlTables="1" htmlFormat="all"/>
  </connection>
  <connection id="75" name="連線1899" type="4" refreshedVersion="0" background="1">
    <webPr url="http://stockchannel.sinotrade.com.tw/z/zc/zca/zca_52134.djhtm" htmlTables="1" htmlFormat="all"/>
  </connection>
  <connection id="76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77" name="連線1900" type="4" refreshedVersion="0" background="1">
    <webPr url="http://stockchannel.sinotrade.com.tw/z/zc/zca/zca_52591.djhtm" htmlTables="1" htmlFormat="all"/>
  </connection>
  <connection id="78" name="連線1901" type="4" refreshedVersion="0" background="1">
    <webPr url="http://stockchannel.sinotrade.com.tw/z/zc/zca/zca_61761.djhtm" htmlTables="1" htmlFormat="all"/>
  </connection>
  <connection id="79" name="連線1902" type="4" refreshedVersion="0" background="1">
    <webPr url="http://stockchannel.sinotrade.com.tw/z/zc/zca/zca_62874.djhtm" htmlTables="1" htmlFormat="all"/>
  </connection>
  <connection id="80" name="連線1903" type="4" refreshedVersion="0" background="1">
    <webPr url="http://stockchannel.sinotrade.com.tw/z/zc/zca/zca_12181.djhtm" htmlTables="1" htmlFormat="all"/>
  </connection>
  <connection id="81" name="連線1906" type="4" refreshedVersion="0" background="1">
    <webPr url="http://stockchannel.sinotrade.com.tw/z/zc/zca/zca_62852.djhtm" htmlTables="1" htmlFormat="all"/>
  </connection>
  <connection id="82" name="連線1907" type="4" refreshedVersion="0" background="1">
    <webPr url="http://stockchannel.sinotrade.com.tw/z/zc/zca/zca_62852.djhtm" htmlTables="1" htmlFormat="all"/>
  </connection>
  <connection id="83" name="連線1933" type="4" refreshedVersion="0" background="1">
    <webPr url="http://stockchannel.sinotrade.com.tw/z/zc/zca/zca_15831.djhtm" htmlTables="1" htmlFormat="all"/>
  </connection>
  <connection id="84" name="連線1934" type="4" refreshedVersion="0" background="1">
    <webPr url="http://stockchannel.sinotrade.com.tw/z/zc/zca/zca_16261.djhtm" htmlTables="1" htmlFormat="all"/>
  </connection>
  <connection id="85" name="連線1935" type="4" refreshedVersion="0" background="1">
    <webPr url="http://stockchannel.sinotrade.com.tw/z/zc/zca/zca_18081.djhtm" htmlTables="1" htmlFormat="all"/>
  </connection>
  <connection id="86" name="連線1936" type="4" refreshedVersion="0" background="1">
    <webPr url="http://stockchannel.sinotrade.com.tw/z/zc/zca/zca_20314.djhtm" htmlTables="1" htmlFormat="all"/>
  </connection>
  <connection id="87" name="連線1937" type="4" refreshedVersion="0" background="1">
    <webPr url="http://stockchannel.sinotrade.com.tw/z/zc/zca/zca_21151.djhtm" htmlTables="1" htmlFormat="all"/>
  </connection>
  <connection id="88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89" name="連線1939" type="4" refreshedVersion="0" background="1">
    <webPr url="http://stockchannel.sinotrade.com.tw/z/zc/zca/zca_24391.djhtm" htmlTables="1" htmlFormat="all"/>
  </connection>
  <connection id="90" name="連線1940" type="4" refreshedVersion="0" background="1">
    <webPr url="http://stockchannel.sinotrade.com.tw/z/zc/zca/zca_28884.djhtm" htmlTables="1" htmlFormat="all"/>
  </connection>
  <connection id="91" name="連線1941" type="4" refreshedVersion="0" background="1">
    <webPr url="http://stockchannel.sinotrade.com.tw/z/zc/zca/zca_32881.djhtm" htmlTables="1" htmlFormat="all"/>
  </connection>
  <connection id="92" name="連線1942" type="4" refreshedVersion="0" background="1">
    <webPr url="http://stockchannel.sinotrade.com.tw/z/zc/zca/zca_33393.djhtm" htmlTables="1" htmlFormat="all"/>
  </connection>
  <connection id="93" name="連線1943" type="4" refreshedVersion="0" background="1">
    <webPr url="http://stockchannel.sinotrade.com.tw/z/zc/zca/zca_33835.djhtm" htmlTables="1" htmlFormat="all"/>
  </connection>
  <connection id="94" name="連線1944" type="4" refreshedVersion="0" background="1">
    <webPr url="http://stockchannel.sinotrade.com.tw/z/zc/zca/zca_35523.djhtm" htmlTables="1" htmlFormat="all"/>
  </connection>
  <connection id="95" name="連線1945" type="4" refreshedVersion="0" background="1">
    <webPr url="http://stockchannel.sinotrade.com.tw/z/zc/zca/zca_36982.djhtm" htmlTables="1" htmlFormat="all"/>
  </connection>
  <connection id="96" name="連線1946" type="4" refreshedVersion="0" background="1">
    <webPr url="http://stockchannel.sinotrade.com.tw/z/zc/zca/zca_41134.djhtm" htmlTables="1" htmlFormat="all"/>
  </connection>
  <connection id="97" name="連線1947" type="4" refreshedVersion="0" background="1">
    <webPr url="http://stockchannel.sinotrade.com.tw/z/zc/zca/zca_49063.djhtm" htmlTables="1" htmlFormat="all"/>
  </connection>
  <connection id="98" name="連線1948" type="4" refreshedVersion="0" background="1">
    <webPr url="http://stockchannel.sinotrade.com.tw/z/zc/zca/zca_49161.djhtm" htmlTables="1" htmlFormat="all"/>
  </connection>
  <connection id="99" name="連線196" type="4" refreshedVersion="0" background="1">
    <webPr url="http://www.emega.com.tw/z/zc/zch/zch_6171.djhtm" htmlTables="1" htmlFormat="all"/>
  </connection>
  <connection id="100" name="連線1963" type="4" refreshedVersion="0" background="1">
    <webPr url="http://stockchannel.sinotrade.com.tw/z/zc/zca/zca_24063.djhtm" htmlTables="1" htmlFormat="all"/>
  </connection>
  <connection id="101" name="連線1964" type="4" refreshedVersion="0" background="1">
    <webPr url="http://stockchannel.sinotrade.com.tw/z/zc/zca/zca_24060.djhtm" htmlTables="1" htmlFormat="all"/>
  </connection>
  <connection id="102" name="連線1965" type="4" refreshedVersion="0" background="1">
    <webPr url="http://stockchannel.sinotrade.com.tw/z/zc/zca/zca_24193.djhtm" htmlTables="1" htmlFormat="all"/>
  </connection>
  <connection id="103" name="連線1966" type="4" refreshedVersion="0" background="1">
    <webPr url="http://www.emega.com.tw/z/zc/zch/zch_1521.djhtm" htmlTables="1" htmlFormat="all"/>
  </connection>
  <connection id="104" name="連線198" type="4" refreshedVersion="0" background="1">
    <webPr url="http://jsjustweb.jihsun.com.tw/z/zc/zco/zco0/zco0.djhtm?a=4991&amp;b=0910" htmlTables="1" htmlFormat="all"/>
  </connection>
  <connection id="105" name="連線1987" type="4" refreshedVersion="0" background="1">
    <webPr url="http://stockchannel.sinotrade.com.tw/z/zc/zca/zca_32881.djhtm" htmlTables="1" htmlFormat="all"/>
  </connection>
  <connection id="106" name="連線1988" type="4" refreshedVersion="0" background="1">
    <webPr url="http://stockchannel.sinotrade.com.tw/z/zc/zca/zca_33393.djhtm" htmlTables="1" htmlFormat="all"/>
  </connection>
  <connection id="107" name="連線2" type="4" refreshedVersion="0" background="1">
    <webPr url="http://justdata.yuanta.com.tw/z/zc/zcq/zcq_5457.asp.htm" htmlTables="1" htmlFormat="all"/>
  </connection>
  <connection id="108" name="連線20" type="4" refreshedVersion="0" background="1">
    <webPr url="http://www.emega.com.tw/z/zc/zch/zch_1409.djhtm" htmlTables="1" htmlFormat="all"/>
  </connection>
  <connection id="109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10" name="連線204" type="4" refreshedVersion="0" background="1">
    <webPr url="http://www.emega.com.tw/z/zc/zch/zch_2428.djhtm" htmlTables="1" htmlFormat="all"/>
  </connection>
  <connection id="111" name="連線2048" type="4" refreshedVersion="0" background="1">
    <webPr url="http://stockchannel.sinotrade.com.tw/z/zc/zca/zca_36801.djhtm" htmlTables="1" htmlFormat="all"/>
  </connection>
  <connection id="112" name="連線2049" type="4" refreshedVersion="0" background="1">
    <webPr url="http://stockchannel.sinotrade.com.tw/z/zc/zca/zca_37021.djhtm" htmlTables="1" htmlFormat="all"/>
  </connection>
  <connection id="113" name="連線2050" type="4" refreshedVersion="0" background="1">
    <webPr url="http://stockchannel.sinotrade.com.tw/z/zc/zca/zca_43066.djhtm" htmlTables="1" htmlFormat="all"/>
  </connection>
  <connection id="114" name="連線2051" type="4" refreshedVersion="0" background="1">
    <webPr url="http://stockchannel.sinotrade.com.tw/z/zc/zca/zca_45322.djhtm" htmlTables="1" htmlFormat="all"/>
  </connection>
  <connection id="115" name="連線2052" type="4" refreshedVersion="0" background="1">
    <webPr url="http://stockchannel.sinotrade.com.tw/z/zc/zca/zca_49561.djhtm" htmlTables="1" htmlFormat="all"/>
  </connection>
  <connection id="116" name="連線2053" type="4" refreshedVersion="0" background="1">
    <webPr url="http://stockchannel.sinotrade.com.tw/z/zc/zca/zca_52133.djhtm" htmlTables="1" htmlFormat="all"/>
  </connection>
  <connection id="117" name="連線2054" type="4" refreshedVersion="0" background="1">
    <webPr url="http://stockchannel.sinotrade.com.tw/z/zc/zca/zca_52134.djhtm" htmlTables="1" htmlFormat="all"/>
  </connection>
  <connection id="118" name="連線2055" type="4" refreshedVersion="0" background="1">
    <webPr url="http://stockchannel.sinotrade.com.tw/z/zc/zca/zca_52591.djhtm" htmlTables="1" htmlFormat="all"/>
  </connection>
  <connection id="119" name="連線2056" type="4" refreshedVersion="0" background="1">
    <webPr url="http://stockchannel.sinotrade.com.tw/z/zc/zca/zca_61761.djhtm" htmlTables="1" htmlFormat="all"/>
  </connection>
  <connection id="120" name="連線2057" type="4" refreshedVersion="0" background="1">
    <webPr url="http://stockchannel.sinotrade.com.tw/z/zc/zca/zca_62874.djhtm" htmlTables="1" htmlFormat="all"/>
  </connection>
  <connection id="121" name="連線208" type="4" refreshedVersion="0" background="1">
    <webPr url="http://www.emega.com.tw/z/zc/zch/zch_8906.djhtm" htmlTables="1" htmlFormat="all"/>
  </connection>
  <connection id="122" name="連線2094" type="4" refreshedVersion="0" background="1">
    <webPr url="http://stockchannel.sinotrade.com.tw/z/zc/zca/zca_33835.djhtm" htmlTables="1" htmlFormat="all"/>
  </connection>
  <connection id="123" name="連線2095" type="4" refreshedVersion="0" background="1">
    <webPr url="http://stockchannel.sinotrade.com.tw/z/zc/zca/zca_35523.djhtm" htmlTables="1" htmlFormat="all"/>
  </connection>
  <connection id="124" name="連線2096" type="4" refreshedVersion="0" background="1">
    <webPr url="http://stockchannel.sinotrade.com.tw/z/zc/zca/zca_36982.djhtm" htmlTables="1" htmlFormat="all"/>
  </connection>
  <connection id="125" name="連線2097" type="4" refreshedVersion="0" background="1">
    <webPr url="http://stockchannel.sinotrade.com.tw/z/zc/zca/zca_41134.djhtm" htmlTables="1" htmlFormat="all"/>
  </connection>
  <connection id="126" name="連線2098" type="4" refreshedVersion="0" background="1">
    <webPr url="http://stockchannel.sinotrade.com.tw/z/zc/zca/zca_49063.djhtm" htmlTables="1" htmlFormat="all"/>
  </connection>
  <connection id="127" name="連線2099" type="4" refreshedVersion="0" background="1">
    <webPr url="http://stockchannel.sinotrade.com.tw/z/zc/zca/zca_49161.djhtm" htmlTables="1" htmlFormat="all"/>
  </connection>
  <connection id="128" name="連線2100" type="4" refreshedVersion="0" background="1">
    <webPr url="http://stockchannel.sinotrade.com.tw/z/zc/zca/zca_55291.djhtm" htmlTables="1" htmlFormat="all"/>
  </connection>
  <connection id="129" name="連線2101" type="4" refreshedVersion="0" background="1">
    <webPr url="http://stockchannel.sinotrade.com.tw/z/zc/zca/zca_62383.djhtm" htmlTables="1" htmlFormat="all"/>
  </connection>
  <connection id="130" name="連線2102" type="4" refreshedVersion="0" background="1">
    <webPr url="http://stockchannel.sinotrade.com.tw/z/zc/zca/zca_62711.djhtm" htmlTables="1" htmlFormat="all"/>
  </connection>
  <connection id="13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3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33" name="連線22" type="4" refreshedVersion="0" background="1">
    <webPr url="http://tw.stock.yahoo.com/q/q?s=1104" htmlTables="1" htmlFormat="all"/>
  </connection>
  <connection id="134" name="連線2200" type="4" refreshedVersion="0" background="1">
    <webPr url="http://stockchannel.sinotrade.com.tw/z/zc/zca/zca_17152.djhtm" htmlTables="1" htmlFormat="all"/>
  </connection>
  <connection id="135" name="連線23" type="4" refreshedVersion="0" background="1">
    <webPr url="http://www.emega.com.tw/z/zc/zch/zch_1104.djhtm" htmlTables="1" htmlFormat="all"/>
  </connection>
  <connection id="136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37" name="連線235" type="4" refreshedVersion="0" background="1">
    <webPr url="http://jsjustweb.jihsun.com.tw/z/zc/zco/zco0/zco0.djhtm?a=4991&amp;b=9800" htmlTables="1" htmlFormat="all"/>
  </connection>
  <connection id="138" name="連線24" type="4" refreshedVersion="0" background="1">
    <webPr url="http://www.emega.com.tw/z/zc/zch/zch_1103.djhtm" htmlTables="1" htmlFormat="all"/>
  </connection>
  <connection id="139" name="連線249" type="4" refreshedVersion="0" background="1">
    <webPr url="http://www.emega.com.tw/z/zc/zch/zch_2450.djhtm" htmlTables="1" htmlFormat="all"/>
  </connection>
  <connection id="140" name="連線25" type="4" refreshedVersion="0" background="1">
    <webPr url="http://www.emega.com.tw/z/zc/zch/zch_1110.djhtm" htmlTables="1" htmlFormat="all"/>
  </connection>
  <connection id="141" name="連線258" type="4" refreshedVersion="0" background="1">
    <webPr url="http://www.cnyes.com/twstock/Technical/3675.htm" htmlTables="1" htmlFormat="all"/>
  </connection>
  <connection id="142" name="連線26" type="4" refreshedVersion="0" background="1">
    <webPr url="http://tw.stock.yahoo.com/q/q?s=5388" htmlTables="1" htmlFormat="all"/>
  </connection>
  <connection id="143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44" name="連線27" type="4" refreshedVersion="0" background="1">
    <webPr url="http://tw.stock.yahoo.com/q/q?s=5508" htmlTables="1" htmlFormat="all"/>
  </connection>
  <connection id="145" name="連線272" type="4" refreshedVersion="0" background="1">
    <webPr url="http://www.emega.com.tw/z/zc/zch/zch_2102.djhtm" htmlTables="1" htmlFormat="all"/>
  </connection>
  <connection id="146" name="連線274" type="4" refreshedVersion="0" background="1">
    <webPr url="https://tw.stock.yahoo.com/d/s/earning_2733.html" htmlTables="1" htmlFormat="all"/>
  </connection>
  <connection id="147" name="連線2749" type="4" refreshedVersion="0" background="1">
    <webPr url="http://justdata.yuanta.com.tw/z/zc/zcp/zcpa/zcpa_8068.asp.htm" htmlTables="1" htmlFormat="all"/>
  </connection>
  <connection id="148" name="連線285" type="4" refreshedVersion="0" background="1">
    <webPr url="http://www.emega.com.tw/z/zc/zch/zch_1220.djhtm" htmlTables="1" htmlFormat="all"/>
  </connection>
  <connection id="149" name="連線3" type="4" refreshedVersion="0" background="1">
    <webPr url="http://justdata.yuanta.com.tw/z/zc/zcp/zcpa/zcpa_3073.asp.htm" htmlTables="1" htmlFormat="all"/>
  </connection>
  <connection id="150" name="連線318" type="4" refreshedVersion="0" background="1">
    <webPr url="http://jsjustweb.jihsun.com.tw/z/zc/zco/zco0/zco0.djhtm?a=1533&amp;b=1650" htmlTables="1" htmlFormat="all"/>
  </connection>
  <connection id="151" name="連線325" type="4" refreshedVersion="0" background="1">
    <webPr url="http://www.emega.com.tw/z/zc/zch/zch_1603.djhtm" htmlTables="1" htmlFormat="all"/>
  </connection>
  <connection id="152" name="連線327" type="4" refreshedVersion="0" background="1">
    <webPr url="http://www.emega.com.tw/z/zc/zch/zch_3029.djhtm" htmlTables="1" htmlFormat="all"/>
  </connection>
  <connection id="153" name="連線329" type="4" refreshedVersion="0" background="1">
    <webPr url="http://justdata.yuanta.com.tw/z/zc/zcq/zcq_1464.asp.htm" htmlTables="1" htmlFormat="all"/>
  </connection>
  <connection id="154" name="連線33" type="4" refreshedVersion="0" background="1">
    <webPr url="http://www.cnyes.com/twstock/Technical/3005.htm" htmlTables="1" htmlFormat="all"/>
  </connection>
  <connection id="155" name="連線338" type="4" refreshedVersion="0" background="1">
    <webPr url="http://www.emega.com.tw/z/zc/zch/zch_1517.djhtm" htmlTables="1" htmlFormat="all"/>
  </connection>
  <connection id="156" name="連線349" type="4" refreshedVersion="0" background="1">
    <webPr url="http://stockchannel.sinotrade.com.tw/z/zc/zca/zca_15951.djhtm" htmlTables="1" htmlFormat="all"/>
  </connection>
  <connection id="157" name="連線350" type="4" refreshedVersion="0" background="1">
    <webPr url="http://stockchannel.sinotrade.com.tw/z/zc/zca/zca_17091.djhtm" htmlTables="1" htmlFormat="all"/>
  </connection>
  <connection id="158" name="連線351" type="4" refreshedVersion="0" background="1">
    <webPr url="http://stockchannel.sinotrade.com.tw/z/zc/zca/zca_17153.djhtm" htmlTables="1" htmlFormat="all"/>
  </connection>
  <connection id="159" name="連線352" type="4" refreshedVersion="0" background="1">
    <webPr url="http://stockchannel.sinotrade.com.tw/z/zc/zca/zca_17150.djhtm" htmlTables="1" htmlFormat="all"/>
  </connection>
  <connection id="160" name="連線353" type="4" refreshedVersion="0" background="1">
    <webPr url="http://stockchannel.sinotrade.com.tw/z/zc/zca/zca_18083.djhtm" htmlTables="1" htmlFormat="all"/>
  </connection>
  <connection id="161" name="連線354" type="4" refreshedVersion="0" background="1">
    <webPr url="http://stockchannel.sinotrade.com.tw/z/zc/zca/zca_19093.djhtm" htmlTables="1" htmlFormat="all"/>
  </connection>
  <connection id="162" name="連線355" type="4" refreshedVersion="0" background="1">
    <webPr url="http://justdata.yuanta.com.tw/z/zc/zcq/zcq_1201.asp.htm" htmlTables="1" htmlFormat="all"/>
  </connection>
  <connection id="163" name="連線356" type="4" refreshedVersion="0" background="1">
    <webPr url="http://stockchannel.sinotrade.com.tw/z/zc/zca/zca_21151.djhtm" htmlTables="1" htmlFormat="all"/>
  </connection>
  <connection id="164" name="連線357" type="4" refreshedVersion="0" background="1">
    <webPr url="http://stockchannel.sinotrade.com.tw/z/zc/zca/zca_23320.djhtm" htmlTables="1" htmlFormat="all"/>
  </connection>
  <connection id="165" name="連線358" type="4" refreshedVersion="0" background="1">
    <webPr url="http://stockchannel.sinotrade.com.tw/z/zc/zca/zca_23532.djhtm" htmlTables="1" htmlFormat="all"/>
  </connection>
  <connection id="166" name="連線359" type="4" refreshedVersion="0" background="1">
    <webPr url="http://stockchannel.sinotrade.com.tw/z/zc/zca/zca_24022.djhtm" htmlTables="1" htmlFormat="all"/>
  </connection>
  <connection id="167" name="連線36" type="4" refreshedVersion="0" background="1">
    <webPr url="http://www.emega.com.tw/z/zc/zch/zch_1452.djhtm" htmlTables="1" htmlFormat="all"/>
  </connection>
  <connection id="168" name="連線360" type="4" refreshedVersion="0" background="1">
    <webPr url="http://www.cnyes.com/twstock/Technical/2106.htm" htmlTables="1" htmlFormat="all"/>
  </connection>
  <connection id="169" name="連線361" type="4" refreshedVersion="0" background="1">
    <webPr url="http://stockchannel.sinotrade.com.tw/z/zc/zca/zca_24391.djhtm" htmlTables="1" htmlFormat="all"/>
  </connection>
  <connection id="170" name="連線362" type="4" refreshedVersion="0" background="1">
    <webPr url="http://stockchannel.sinotrade.com.tw/z/zc/zca/zca_24442.djhtm" htmlTables="1" htmlFormat="all"/>
  </connection>
  <connection id="171" name="連線363" type="4" refreshedVersion="0" background="1">
    <webPr url="http://stockchannel.sinotrade.com.tw/z/zc/zca/zca_24564.djhtm" htmlTables="1" htmlFormat="all"/>
  </connection>
  <connection id="172" name="連線364" type="4" refreshedVersion="0" background="1">
    <webPr url="https://tw.stock.yahoo.com/d/s/earning_3627.html" htmlTables="1" htmlFormat="all"/>
  </connection>
  <connection id="173" name="連線369" type="4" refreshedVersion="0" background="1">
    <webPr url="http://www.emega.com.tw/z/zc/zch/zch_1446.djhtm" htmlTables="1" htmlFormat="all"/>
  </connection>
  <connection id="174" name="連線37" type="4" refreshedVersion="0" background="1">
    <webPr url="http://www.emega.com.tw/z/zc/zch/zch_2637.djhtm" htmlTables="1" htmlFormat="all"/>
  </connection>
  <connection id="175" name="連線371" type="4" refreshedVersion="0" background="1">
    <webPr url="http://justdata.yuanta.com.tw/z/zc/zcq/zcq_1233.asp.htm" htmlTables="1" htmlFormat="all"/>
  </connection>
  <connection id="176" name="連線374" type="4" refreshedVersion="0" background="1">
    <webPr url="http://www.emega.com.tw/z/zc/zch/zch_1316.djhtm" htmlTables="1" htmlFormat="all"/>
  </connection>
  <connection id="177" name="連線376" type="4" refreshedVersion="0" background="1">
    <webPr url="http://www.emega.com.tw/z/zc/zch/zch_2424.djhtm" htmlTables="1" htmlFormat="all"/>
  </connection>
  <connection id="178" name="連線38" type="4" refreshedVersion="5" background="1" saveData="1">
    <webPr sourceData="1" parsePre="1" consecutive="1" xl2000="1" url="http://justdata.yuanta.com.tw/z/zc/zcq/zcq_3324.asp.htm" htmlTables="1"/>
  </connection>
  <connection id="179" name="連線384" type="4" refreshedVersion="0" background="1">
    <webPr url="http://www.emega.com.tw/z/zc/zch/zch_4930.djhtm" htmlTables="1" htmlFormat="all"/>
  </connection>
  <connection id="180" name="連線39" type="4" refreshedVersion="5" background="1" saveData="1">
    <webPr sourceData="1" parsePre="1" consecutive="1" xl2000="1" url="http://justdata.yuanta.com.tw/z/zc/zcp/zcpa/zcpa_3324.asp.htm" htmlTables="1"/>
  </connection>
  <connection id="181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82" name="連線40" type="4" refreshedVersion="5" background="1" saveData="1">
    <webPr sourceData="1" parsePre="1" consecutive="1" xl2000="1" url="http://justdata.yuanta.com.tw/z/zc/zc3/zc3_3324.asp.htm" htmlTables="1"/>
  </connection>
  <connection id="183" name="連線409" type="4" refreshedVersion="0" background="1">
    <webPr url="http://tw.stock.yahoo.com/q/q?s=8421" htmlTables="1" htmlFormat="all"/>
  </connection>
  <connection id="184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185" name="連線42" type="4" refreshedVersion="5" background="1" saveData="1">
    <webPr sourceData="1" parsePre="1" consecutive="1" xl2000="1" url="http://justdata.yuanta.com.tw/z/zc/zcq/zcq_3017.asp.htm" htmlTables="1"/>
  </connection>
  <connection id="186" name="連線43" type="4" refreshedVersion="5" background="1" saveData="1">
    <webPr sourceData="1" parsePre="1" consecutive="1" xl2000="1" url="http://justdata.yuanta.com.tw/z/zc/zcp/zcpa/zcpa_3017.asp.htm" htmlTables="1"/>
  </connection>
  <connection id="187" name="連線435" type="4" refreshedVersion="0" background="1">
    <webPr url="http://www.tdcc.com.tw/smWeb/QryStock.jsp?SCA_DATE=20151113&amp;SqlMethod=StockNo&amp;StockNo=1203&amp;StockName=&amp;sub=%ACd%B8%DF" htmlTables="1" htmlFormat="all"/>
  </connection>
  <connection id="188" name="連線44" type="4" refreshedVersion="5" background="1" saveData="1">
    <webPr sourceData="1" parsePre="1" consecutive="1" xl2000="1" url="http://justdata.yuanta.com.tw/z/zc/zc3/zc3_3017.asp.htm" htmlTables="1"/>
  </connection>
  <connection id="189" name="連線45" type="4" refreshedVersion="5" background="1" saveData="1">
    <webPr sourceData="1" parsePre="1" consecutive="1" xl2000="1" url="http://justdata.yuanta.com.tw/z/zc/zcq/zcq_6230.asp.htm" htmlTables="1"/>
  </connection>
  <connection id="190" name="連線456" type="4" refreshedVersion="0" background="1">
    <webPr url="http://www.cnyes.com/twstock/Technical/5388.htm" htmlTables="1" htmlFormat="all"/>
  </connection>
  <connection id="191" name="連線46" type="4" refreshedVersion="5" background="1" saveData="1">
    <webPr sourceData="1" parsePre="1" consecutive="1" xl2000="1" url="http://justdata.yuanta.com.tw/z/zc/zcp/zcpa/zcpa_6230.asp.htm" htmlTables="1"/>
  </connection>
  <connection id="192" name="連線468" type="4" refreshedVersion="0" background="1">
    <webPr url="http://www.emega.com.tw/z/zc/zch/zch_1463.djhtm" htmlTables="1" htmlFormat="all"/>
  </connection>
  <connection id="193" name="連線47" type="4" refreshedVersion="5" background="1" saveData="1">
    <webPr sourceData="1" parsePre="1" consecutive="1" xl2000="1" url="http://justdata.yuanta.com.tw/z/zc/zc3/zc3_6230.asp.htm" htmlTables="1"/>
  </connection>
  <connection id="194" name="連線49" type="4" refreshedVersion="0" background="1">
    <webPr url="http://www.tdcc.com.tw/smWeb/QryStock.jsp?SCA_DATE=20151113&amp;SqlMethod=StockNo&amp;StockNo=1336&amp;StockName=&amp;sub=%ACd%B8%DF" htmlTables="1" htmlFormat="all"/>
  </connection>
  <connection id="195" name="連線492" type="4" refreshedVersion="0" background="1">
    <webPr url="http://www.tdcc.com.tw/smWeb/QryStock.jsp?SCA_DATE=20151106&amp;SqlMethod=StockNo&amp;StockNo=1477&amp;StockName=&amp;sub=%ACd%B8%DF" htmlTables="1" htmlFormat="all"/>
  </connection>
  <connection id="196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197" name="連線50" type="4" refreshedVersion="0" background="1">
    <webPr url="http://www.emega.com.tw/z/zc/zch/zch_1264.djhtm" htmlTables="1" htmlFormat="all"/>
  </connection>
  <connection id="198" name="連線512" type="4" refreshedVersion="0" background="1">
    <webPr url="http://www.emega.com.tw/z/zc/zch/zch_6197.djhtm" htmlTables="1" htmlFormat="all"/>
  </connection>
  <connection id="199" name="連線52" type="4" refreshedVersion="0" background="1">
    <webPr url="http://www.emega.com.tw/z/zc/zch/zch_1471.djhtm" htmlTables="1" htmlFormat="all"/>
  </connection>
  <connection id="200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01" name="連線57" type="4" refreshedVersion="5" background="1" saveData="1">
    <webPr sourceData="1" parsePre="1" consecutive="1" xl2000="1" url="http://mops.twse.com.tw/nas/t21/sii/t21sc03_105_2_0.html" htmlTables="1"/>
  </connection>
  <connection id="202" name="連線58" type="4" refreshedVersion="5" background="1" saveData="1">
    <webPr sourceData="1" parsePre="1" consecutive="1" xl2000="1" url="http://mops.twse.com.tw/nas/t21/otc/t21sc03_105_2_0.html" htmlTables="1"/>
  </connection>
  <connection id="203" name="連線586" type="4" refreshedVersion="0" background="1">
    <webPr url="http://www.emega.com.tw/z/zc/zch/zch_2115.djhtm" htmlTables="1" htmlFormat="all"/>
  </connection>
  <connection id="204" name="連線59" type="4" refreshedVersion="0" background="1">
    <webPr url="http://justdata.yuanta.com.tw/z/zc/zcl/zcl.djhtm?a=2441&amp;b=2" htmlTables="1" htmlFormat="all"/>
  </connection>
  <connection id="205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06" name="連線60" type="4" refreshedVersion="5" background="1" saveData="1">
    <webPr sourceData="1" parsePre="1" consecutive="1" xl2000="1" url="http://mops.twse.com.tw/nas/t21/sii/t21sc03_105_2_0.html" htmlTables="1"/>
  </connection>
  <connection id="207" name="連線603" type="4" refreshedVersion="0" background="1">
    <webPr url="http://www.tdcc.com.tw/smWeb/QryStock.jsp?SCA_DATE=20151121&amp;SqlMethod=StockNo&amp;StockNo=1773&amp;StockName=&amp;sub=%ACd%B8%DF" htmlTables="1" htmlFormat="all"/>
  </connection>
  <connection id="208" name="連線61" type="4" refreshedVersion="5" background="1" saveData="1">
    <webPr sourceData="1" parsePre="1" consecutive="1" xl2000="1" url="http://mops.twse.com.tw/nas/t21/otc/t21sc03_105_2_0.html" htmlTables="1"/>
  </connection>
  <connection id="209" name="連線612" type="4" refreshedVersion="0" background="1">
    <webPr url="http://jsjustweb.jihsun.com.tw/z/zc/zco/zco0/zco0.djhtm?a=1568&amp;b=" htmlTables="1" htmlFormat="all"/>
  </connection>
  <connection id="210" name="連線614" type="4" refreshedVersion="0" background="1">
    <webPr url="http://jsjustweb.jihsun.com.tw/z/zc/zco/zco0/zco0.djhtm?a=1568&amp;b=" htmlTables="1" htmlFormat="all"/>
  </connection>
  <connection id="211" name="連線618" type="4" refreshedVersion="0" background="1">
    <webPr url="http://jsjustweb.jihsun.com.tw/z/zc/zco/zco0/zco0.djhtm?a=1568&amp;b=" htmlTables="1" htmlFormat="all"/>
  </connection>
  <connection id="212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13" name="連線63" type="4" refreshedVersion="5" background="1" saveData="1">
    <webPr sourceData="1" parsePre="1" consecutive="1" xl2000="1" url="http://mops.twse.com.tw/nas/t21/sii/t21sc03_105_2_0.html" htmlTables="1"/>
  </connection>
  <connection id="214" name="連線633" type="4" refreshedVersion="0" background="1">
    <webPr url="http://www.emega.com.tw/z/zc/zcn/zcn.djhtm?a=1773&amp;b=4" htmlTables="1" htmlFormat="all"/>
  </connection>
  <connection id="215" name="連線635" type="4" refreshedVersion="0" background="1">
    <webPr url="http://jsjustweb.jihsun.com.tw/z/zc/zco/zco0/zco0.djhtm?a=1568&amp;b=1440" htmlTables="1" htmlFormat="all"/>
  </connection>
  <connection id="216" name="連線64" type="4" refreshedVersion="0" background="1">
    <webPr url="http://justdata.yuanta.com.tw/z/zc/zcq/zcq_1717.asp.htm" htmlTables="1" htmlFormat="all"/>
  </connection>
  <connection id="217" name="連線645" type="4" refreshedVersion="0" background="1">
    <webPr url="http://www.emega.com.tw/z/zc/zch/zch_2349.djhtm" htmlTables="1" htmlFormat="all"/>
  </connection>
  <connection id="218" name="連線648" type="4" refreshedVersion="0" background="1">
    <webPr url="http://jsjustweb.jihsun.com.tw/z/zc/zco/zco0/zco0.djhtm?a=1217&amp;b=7750" htmlTables="1" htmlFormat="all"/>
  </connection>
  <connection id="219" name="連線65" type="4" refreshedVersion="0" background="1">
    <webPr url="http://jsjustweb.jihsun.com.tw/z/zc/zco/zco0/zco0.djhtm?a=6235&amp;b=0840" htmlTables="1" htmlFormat="all"/>
  </connection>
  <connection id="220" name="連線66" type="4" refreshedVersion="5" background="1" saveData="1">
    <webPr sourceData="1" parsePre="1" consecutive="1" xl2000="1" url="http://mops.twse.com.tw/nas/t21/otc/t21sc03_105_2_0.html" htmlTables="1"/>
  </connection>
  <connection id="221" name="連線661" type="4" refreshedVersion="0" background="1">
    <webPr url="http://justdata.yuanta.com.tw/z/zc/zcl/zcl.djhtm?a=1524&amp;b=2" htmlTables="1" htmlFormat="all"/>
  </connection>
  <connection id="222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23" name="連線69" type="4" refreshedVersion="0" background="1">
    <webPr url="http://www.cnyes.com/twstock/Technical/1537_1.65%.htm" htmlTables="1" htmlFormat="all"/>
  </connection>
  <connection id="224" name="連線7" type="4" refreshedVersion="0" background="1">
    <webPr url="http://justdata.yuanta.com.tw/z/zc/zcq/zcq_1108.asp.htm" htmlTables="1" htmlFormat="all"/>
  </connection>
  <connection id="225" name="連線70" type="4" refreshedVersion="0" background="1">
    <webPr url="http://www.cnyes.com/twstock/Technical/1537_1.65%.htm" htmlTables="1" htmlFormat="all"/>
  </connection>
  <connection id="226" name="連線708" type="4" refreshedVersion="0" background="1">
    <webPr url="http://www.tdcc.com.tw/smWeb/QryStock.jsp?SCA_DATE=20151113&amp;SqlMethod=StockNo&amp;StockNo=1438&amp;StockName=&amp;sub=%ACd%B8%DF" htmlTables="1" htmlFormat="all"/>
  </connection>
  <connection id="227" name="連線730" type="4" refreshedVersion="0" background="1">
    <webPr url="http://www.cnyes.com/twstock/Technical/1219.htm" htmlTables="1" htmlFormat="all"/>
  </connection>
  <connection id="228" name="連線740" type="4" refreshedVersion="0" background="1">
    <webPr url="http://www.tdcc.com.tw/smWeb/QryStock.jsp?SCA_DATE=20151120&amp;SqlMethod=StockNo&amp;StockNo=1108&amp;StockName=&amp;sub=%ACd%B8%DF" htmlTables="1" htmlFormat="all"/>
  </connection>
  <connection id="229" name="連線748" type="4" refreshedVersion="0" background="1">
    <webPr url="http://www.tdcc.com.tw/smWeb/QryStock.jsp?SCA_DATE=20151120&amp;SqlMethod=StockNo&amp;StockNo=1201&amp;StockName=&amp;sub=%ACd%B8%DF" htmlTables="1" htmlFormat="all"/>
  </connection>
  <connection id="230" name="連線750" type="4" refreshedVersion="0" background="1">
    <webPr url="http://justdata.yuanta.com.tw/z/zc/zcq/zcq_3017.asp.htm" htmlTables="1" htmlFormat="all"/>
  </connection>
  <connection id="231" name="連線759" type="4" refreshedVersion="0" background="1">
    <webPr url="http://www.tdcc.com.tw/smWeb/QryStock.jsp?SCA_DATE=20151204&amp;SqlMethod=StockNo&amp;StockNo=1110&amp;StockName=&amp;sub=%ACd%B8%DF" htmlTables="1" htmlFormat="all"/>
  </connection>
  <connection id="232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33" name="連線77" type="4" refreshedVersion="0" background="1">
    <webPr url="http://www.emega.com.tw/z/zc/zch/zch_6286.djhtm" htmlTables="1" htmlFormat="all"/>
  </connection>
  <connection id="234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35" name="連線78" type="4" refreshedVersion="0" background="1">
    <webPr url="http://www.emega.com.tw/z/zc/zch/zch_1303.djhtm" htmlTables="1" htmlFormat="all"/>
  </connection>
  <connection id="236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37" name="連線798" type="4" refreshedVersion="0" background="1">
    <webPr url="http://www.emega.com.tw/z/zc/zch/zch_2344.djhtm" htmlTables="1" htmlFormat="all"/>
  </connection>
  <connection id="238" name="連線799" type="4" refreshedVersion="0" background="1">
    <webPr url="http://www.emega.com.tw/z/zc/zch/zch_6171.djhtm" htmlTables="1" htmlFormat="all"/>
  </connection>
  <connection id="239" name="連線8" type="4" refreshedVersion="0" background="1">
    <webPr url="http://justdata.yuanta.com.tw/z/zc/zcp/zcpa/zcpa_8109.asp.htm" htmlTables="1" htmlFormat="all"/>
  </connection>
  <connection id="240" name="連線812" type="4" refreshedVersion="0" background="1">
    <webPr url="http://jsjustweb.jihsun.com.tw/z/zc/zco/zco0/zco0.djhtm?a=1319&amp;b=7750" htmlTables="1" htmlFormat="all"/>
  </connection>
  <connection id="241" name="連線813" type="4" refreshedVersion="0" background="1">
    <webPr url="http://jsjustweb.jihsun.com.tw/z/zc/zco/zco0/zco0.djhtm?a=1101&amp;b=7750" htmlTables="1" htmlFormat="all"/>
  </connection>
  <connection id="242" name="連線83" type="4" refreshedVersion="0" background="1">
    <webPr url="http://justdata.yuanta.com.tw/z/zc/zcl/zcl.djhtm?a=2455&amp;b=2" htmlTables="1" htmlFormat="all"/>
  </connection>
  <connection id="243" name="連線86" type="4" refreshedVersion="0" background="1">
    <webPr url="http://justdata.yuanta.com.tw/z/zc/zcq/zcq_6126.asp.htm" htmlTables="1" htmlFormat="all"/>
  </connection>
  <connection id="244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45" name="連線9" type="4" refreshedVersion="0" background="1">
    <webPr url="http://justdata.yuanta.com.tw/z/zc/zcq/zcq_5511.asp.htm" htmlTables="1" htmlFormat="all"/>
  </connection>
  <connection id="246" name="連線910" type="4" refreshedVersion="0" background="1">
    <webPr url="http://www.cnyes.com/twstock/Technical/3520.htm" htmlTables="1" htmlFormat="all"/>
  </connection>
  <connection id="247" name="連線911" type="4" refreshedVersion="0" background="1">
    <webPr url="http://www.hjsjustweb.jihsun.com.tw/z/zc/zco/zco0/zco0.djhtm?a=1101&amp;b=1650" htmlTables="1" htmlFormat="all"/>
  </connection>
  <connection id="248" name="連線914" type="4" refreshedVersion="0" background="1">
    <webPr url="http://www.tdcc.com.tw/smWeb/QryStock.jsp?SCA_DATE=20151225&amp;SqlMethod=StockNo&amp;StockNo=1409&amp;StockName=&amp;sub=%ACd%B8%DF" htmlTables="1" htmlFormat="all"/>
  </connection>
  <connection id="249" name="連線93" type="4" refreshedVersion="0" background="1">
    <webPr url="http://www.emega.com.tw/z/zc/zch/zch_1232.djhtm" htmlTables="1" htmlFormat="all"/>
  </connection>
  <connection id="250" name="連線930" type="4" refreshedVersion="0" background="1">
    <webPr url="http://www.emega.com.tw/z/zc/zch/zch_3706.djhtm" htmlTables="1" htmlFormat="all"/>
  </connection>
  <connection id="251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52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53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<sst xmlns="http://schemas.openxmlformats.org/spreadsheetml/2006/main" count="8046" uniqueCount="4128">
  <si>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</si>
  <si>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</si>
  <si>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</si>
  <si>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</si>
  <si>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Q-3</t>
  </si>
  <si>
    <t>Q-2</t>
  </si>
  <si>
    <t>Q-1</t>
  </si>
  <si>
    <t>Q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</si>
  <si>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</si>
  <si>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</si>
  <si>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</si>
  <si>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</si>
  <si>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</si>
  <si>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</si>
  <si>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</si>
  <si>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</si>
  <si>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</si>
  <si>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</si>
  <si>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</si>
  <si>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</si>
  <si>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</si>
  <si>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</si>
  <si>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</si>
  <si>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</si>
  <si>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</si>
  <si>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</si>
  <si>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</si>
  <si>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</si>
  <si>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</si>
  <si>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</si>
  <si>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</si>
  <si>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</si>
  <si>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</si>
  <si>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</si>
  <si>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</si>
  <si>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</si>
  <si>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</si>
  <si>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</si>
  <si>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</si>
  <si>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</si>
  <si>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</si>
  <si>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</si>
  <si>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</si>
  <si>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</si>
  <si>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</si>
  <si>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</si>
  <si>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期別</t>
  </si>
  <si>
    <t>104.1Q</t>
  </si>
  <si>
    <t>103.4Q</t>
  </si>
  <si>
    <t>103.3Q</t>
  </si>
  <si>
    <t>103.2Q</t>
  </si>
  <si>
    <t>103.1Q</t>
  </si>
  <si>
    <t>102.4Q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</si>
  <si>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</si>
  <si>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</si>
  <si>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</si>
  <si>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</si>
  <si>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</si>
  <si>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</si>
  <si>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</si>
  <si>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</si>
  <si>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</si>
  <si>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</si>
  <si>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</si>
  <si>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</si>
  <si>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</si>
  <si>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</si>
  <si>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</si>
  <si>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</si>
  <si>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</si>
  <si>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</si>
  <si>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</si>
  <si>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</si>
  <si>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</si>
  <si>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</si>
  <si>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</si>
  <si>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</si>
  <si>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</si>
  <si>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</si>
  <si>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</si>
  <si>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</si>
  <si>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</si>
  <si>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</si>
  <si>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</si>
  <si>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</si>
  <si>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</si>
  <si>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</si>
  <si>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</si>
  <si>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</si>
  <si>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</si>
  <si>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</si>
  <si>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</si>
  <si>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</si>
  <si>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</si>
  <si>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</si>
  <si>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</si>
  <si>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</si>
  <si>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</si>
  <si>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</si>
  <si>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</si>
  <si>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</si>
  <si>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</si>
  <si>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</si>
  <si>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</si>
  <si>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</si>
  <si>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</si>
  <si>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</si>
  <si>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</si>
  <si>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</si>
  <si>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</si>
  <si>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</si>
  <si>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</si>
  <si>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</si>
  <si>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</si>
  <si>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</si>
  <si>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</si>
  <si>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</si>
  <si>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</si>
  <si>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</si>
  <si>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</si>
  <si>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</si>
  <si>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</si>
  <si>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</si>
  <si>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</si>
  <si>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</si>
  <si>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</si>
  <si>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</si>
  <si>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</si>
  <si>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</si>
  <si>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</si>
  <si>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</si>
  <si>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</si>
  <si>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</si>
  <si>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</si>
  <si>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</si>
  <si>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</si>
  <si>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</si>
  <si>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</si>
  <si>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</si>
  <si>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</si>
  <si>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</si>
  <si>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</si>
  <si>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</si>
  <si>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</si>
  <si>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</si>
  <si>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</si>
  <si>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</si>
  <si>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</si>
  <si>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5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</si>
  <si>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</si>
  <si>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</si>
  <si>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</si>
  <si>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</si>
  <si>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</si>
  <si>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</si>
  <si>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</si>
  <si>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</si>
  <si>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</si>
  <si>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</si>
  <si>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</si>
  <si>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</si>
  <si>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</si>
  <si>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</si>
  <si>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</si>
  <si>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</si>
  <si>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</si>
  <si>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</si>
  <si>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</si>
  <si>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</si>
  <si>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</si>
  <si>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</si>
  <si>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</si>
  <si>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</si>
  <si>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</si>
  <si>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</si>
  <si>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</si>
  <si>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</si>
  <si>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</si>
  <si>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</si>
  <si>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</si>
  <si>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</si>
  <si>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</si>
  <si>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</si>
  <si>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</si>
  <si>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</si>
  <si>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</si>
  <si>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</si>
  <si>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</si>
  <si>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</si>
  <si>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</si>
  <si>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</si>
  <si>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</si>
  <si>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</si>
  <si>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</si>
  <si>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</si>
  <si>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</si>
  <si>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</si>
  <si>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</si>
  <si>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</si>
  <si>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</si>
  <si>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</si>
  <si>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</si>
  <si>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</si>
  <si>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</si>
  <si>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</si>
  <si>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</si>
  <si>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</si>
  <si>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</si>
  <si>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</si>
  <si>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</si>
  <si>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</si>
  <si>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</si>
  <si>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</si>
  <si>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</si>
  <si>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</si>
  <si>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</si>
  <si>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</si>
  <si>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</si>
  <si>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</si>
  <si>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5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</si>
  <si>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</si>
  <si>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</si>
  <si>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</si>
  <si>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</si>
  <si>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</si>
  <si>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</si>
  <si>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</si>
  <si>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</si>
  <si>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</si>
  <si>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最新
本業比率</t>
    <phoneticPr fontId="15" type="noConversion"/>
  </si>
  <si>
    <t>總市值</t>
    <phoneticPr fontId="15" type="noConversion"/>
  </si>
  <si>
    <t>最新
流通股數</t>
    <phoneticPr fontId="15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</si>
  <si>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5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</si>
  <si>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</si>
  <si>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</si>
  <si>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</si>
  <si>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</si>
  <si>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</si>
  <si>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</si>
  <si>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</si>
  <si>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</si>
  <si>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</si>
  <si>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</si>
  <si>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</si>
  <si>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</si>
  <si>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</si>
  <si>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</si>
  <si>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</si>
  <si>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</si>
  <si>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</si>
  <si>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</si>
  <si>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</si>
  <si>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</si>
  <si>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</si>
  <si>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</si>
  <si>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</si>
  <si>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</si>
  <si>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</si>
  <si>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</si>
  <si>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</si>
  <si>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</si>
  <si>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</si>
  <si>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</si>
  <si>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</si>
  <si>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</si>
  <si>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</si>
  <si>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</si>
  <si>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</si>
  <si>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</si>
  <si>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</si>
  <si>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</si>
  <si>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</si>
  <si>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</si>
  <si>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</si>
  <si>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</si>
  <si>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</si>
  <si>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</si>
  <si>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</si>
  <si>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</si>
  <si>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</si>
  <si>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</si>
  <si>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</si>
  <si>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</si>
  <si>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</si>
  <si>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</si>
  <si>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</si>
  <si>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</si>
  <si>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</si>
  <si>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</si>
  <si>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</si>
  <si>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</si>
  <si>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</si>
  <si>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</si>
  <si>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</si>
  <si>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</si>
  <si>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</si>
  <si>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</si>
  <si>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</si>
  <si>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</si>
  <si>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</si>
  <si>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</si>
  <si>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</si>
  <si>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</si>
  <si>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</si>
  <si>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</si>
  <si>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</si>
  <si>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</si>
  <si>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</si>
  <si>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</si>
  <si>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</si>
  <si>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</si>
  <si>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</si>
  <si>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</si>
  <si>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</si>
  <si>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</si>
  <si>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</si>
  <si>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</si>
  <si>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</si>
  <si>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</si>
  <si>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</si>
  <si>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</si>
  <si>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</si>
  <si>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</si>
  <si>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</si>
  <si>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</si>
  <si>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</si>
  <si>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</si>
  <si>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</si>
  <si>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</si>
  <si>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</si>
  <si>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</si>
  <si>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</si>
  <si>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</si>
  <si>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</si>
  <si>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</si>
  <si>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</si>
  <si>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</si>
  <si>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</si>
  <si>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</si>
  <si>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</si>
  <si>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</si>
  <si>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</si>
  <si>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</si>
  <si>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</si>
  <si>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</si>
  <si>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</si>
  <si>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</si>
  <si>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</si>
  <si>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</si>
  <si>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</si>
  <si>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</si>
  <si>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</si>
  <si>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</si>
  <si>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</si>
  <si>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</si>
  <si>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</si>
  <si>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</si>
  <si>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</si>
  <si>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</si>
  <si>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</si>
  <si>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</si>
  <si>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</si>
  <si>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</si>
  <si>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</si>
  <si>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</si>
  <si>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</si>
  <si>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</si>
  <si>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</si>
  <si>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</si>
  <si>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</si>
  <si>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</si>
  <si>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</si>
  <si>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</si>
  <si>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</si>
  <si>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</si>
  <si>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</si>
  <si>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</si>
  <si>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</si>
  <si>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</si>
  <si>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</si>
  <si>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</si>
  <si>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</si>
  <si>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</si>
  <si>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</si>
  <si>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</si>
  <si>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</si>
  <si>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</si>
  <si>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</si>
  <si>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</si>
  <si>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</si>
  <si>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</si>
  <si>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</si>
  <si>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</si>
  <si>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</si>
  <si>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</si>
  <si>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</si>
  <si>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</si>
  <si>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</si>
  <si>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</si>
  <si>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</si>
  <si>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</si>
  <si>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</si>
  <si>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</si>
  <si>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</si>
  <si>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</si>
  <si>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</si>
  <si>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</si>
  <si>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</si>
  <si>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</si>
  <si>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</si>
  <si>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</si>
  <si>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</si>
  <si>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</si>
  <si>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</si>
  <si>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</si>
  <si>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</si>
  <si>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</si>
  <si>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</si>
  <si>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</si>
  <si>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</si>
  <si>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</si>
  <si>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</si>
  <si>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</si>
  <si>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</si>
  <si>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</si>
  <si>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</si>
  <si>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</si>
  <si>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</si>
  <si>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</si>
  <si>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</si>
  <si>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</si>
  <si>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</si>
  <si>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</si>
  <si>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</si>
  <si>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</si>
  <si>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</si>
  <si>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</si>
  <si>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</si>
  <si>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</si>
  <si>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</si>
  <si>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</si>
  <si>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</si>
  <si>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</si>
  <si>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</si>
  <si>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</si>
  <si>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</si>
  <si>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</si>
  <si>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</si>
  <si>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</si>
  <si>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</si>
  <si>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</si>
  <si>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</si>
  <si>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</si>
  <si>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</si>
  <si>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</si>
  <si>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</si>
  <si>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</si>
  <si>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</si>
  <si>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</si>
  <si>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</si>
  <si>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</si>
  <si>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</si>
  <si>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</si>
  <si>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</si>
  <si>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</si>
  <si>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</si>
  <si>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</si>
  <si>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</si>
  <si>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</si>
  <si>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</si>
  <si>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</si>
  <si>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</si>
  <si>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</si>
  <si>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</si>
  <si>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</si>
  <si>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</si>
  <si>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</si>
  <si>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</si>
  <si>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</si>
  <si>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</si>
  <si>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</si>
  <si>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</si>
  <si>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</si>
  <si>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</si>
  <si>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</si>
  <si>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</si>
  <si>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</si>
  <si>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</si>
  <si>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</si>
  <si>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</si>
  <si>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</si>
  <si>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</si>
  <si>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</si>
  <si>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</si>
  <si>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</si>
  <si>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</si>
  <si>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</si>
  <si>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</si>
  <si>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</si>
  <si>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</si>
  <si>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</si>
  <si>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</si>
  <si>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</si>
  <si>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</si>
  <si>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</si>
  <si>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</si>
  <si>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</si>
  <si>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</si>
  <si>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</si>
  <si>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</si>
  <si>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</si>
  <si>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</si>
  <si>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</si>
  <si>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</si>
  <si>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</si>
  <si>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</si>
  <si>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</si>
  <si>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</si>
  <si>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</si>
  <si>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</si>
  <si>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</si>
  <si>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5" type="noConversion"/>
  </si>
  <si>
    <t>合計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</si>
  <si>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</si>
  <si>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</si>
  <si>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</si>
  <si>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</si>
  <si>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</si>
  <si>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</si>
  <si>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</si>
  <si>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</si>
  <si>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</si>
  <si>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</si>
  <si>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</si>
  <si>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</si>
  <si>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</si>
  <si>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</si>
  <si>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</si>
  <si>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</si>
  <si>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</si>
  <si>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</si>
  <si>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</si>
  <si>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</si>
  <si>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</si>
  <si>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</si>
  <si>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</si>
  <si>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</si>
  <si>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</si>
  <si>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</si>
  <si>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</si>
  <si>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</si>
  <si>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</si>
  <si>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</si>
  <si>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</si>
  <si>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</si>
  <si>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</si>
  <si>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</si>
  <si>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</si>
  <si>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</si>
  <si>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</si>
  <si>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</si>
  <si>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</si>
  <si>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</si>
  <si>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</si>
  <si>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</si>
  <si>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</si>
  <si>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</si>
  <si>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</si>
  <si>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</si>
  <si>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</si>
  <si>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</si>
  <si>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</si>
  <si>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</si>
  <si>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</si>
  <si>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</si>
  <si>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</si>
  <si>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</si>
  <si>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</si>
  <si>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</si>
  <si>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</si>
  <si>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</si>
  <si>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</si>
  <si>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</si>
  <si>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</si>
  <si>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</si>
  <si>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</si>
  <si>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</si>
  <si>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</si>
  <si>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</si>
  <si>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</si>
  <si>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</si>
  <si>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</si>
  <si>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</si>
  <si>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</si>
  <si>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</si>
  <si>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</si>
  <si>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</si>
  <si>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</si>
  <si>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</si>
  <si>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</si>
  <si>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</si>
  <si>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</si>
  <si>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</si>
  <si>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</si>
  <si>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</si>
  <si>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</si>
  <si>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</si>
  <si>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</si>
  <si>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</si>
  <si>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</si>
  <si>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</si>
  <si>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</si>
  <si>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</si>
  <si>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</si>
  <si>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</si>
  <si>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</si>
  <si>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</si>
  <si>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</si>
  <si>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</si>
  <si>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</si>
  <si>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</si>
  <si>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</si>
  <si>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</si>
  <si>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</si>
  <si>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</si>
  <si>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</si>
  <si>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</si>
  <si>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</si>
  <si>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</si>
  <si>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</si>
  <si>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</si>
  <si>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</si>
  <si>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</si>
  <si>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</si>
  <si>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</si>
  <si>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</si>
  <si>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</si>
  <si>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</si>
  <si>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</si>
  <si>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</si>
  <si>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</si>
  <si>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</si>
  <si>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</si>
  <si>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</si>
  <si>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</si>
  <si>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</si>
  <si>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</si>
  <si>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</si>
  <si>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</si>
  <si>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</si>
  <si>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</si>
  <si>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</si>
  <si>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</si>
  <si>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</si>
  <si>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</si>
  <si>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</si>
  <si>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</si>
  <si>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</si>
  <si>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</si>
  <si>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</si>
  <si>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</si>
  <si>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</si>
  <si>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</si>
  <si>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</si>
  <si>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</si>
  <si>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</si>
  <si>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</si>
  <si>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</si>
  <si>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</si>
  <si>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</si>
  <si>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</si>
  <si>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</si>
  <si>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</si>
  <si>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</si>
  <si>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</si>
  <si>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</si>
  <si>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</si>
  <si>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</si>
  <si>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</si>
  <si>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</si>
  <si>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</si>
  <si>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</si>
  <si>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</si>
  <si>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</si>
  <si>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</si>
  <si>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</si>
  <si>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</si>
  <si>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</si>
  <si>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</si>
  <si>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</si>
  <si>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</si>
  <si>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</si>
  <si>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</si>
  <si>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</si>
  <si>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</si>
  <si>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</si>
  <si>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</si>
  <si>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</si>
  <si>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</si>
  <si>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</si>
  <si>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</si>
  <si>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</si>
  <si>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</si>
  <si>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</si>
  <si>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</si>
  <si>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</si>
  <si>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</si>
  <si>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</si>
  <si>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</si>
  <si>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</si>
  <si>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</si>
  <si>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</si>
  <si>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</si>
  <si>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</si>
  <si>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</si>
  <si>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</si>
  <si>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</si>
  <si>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</si>
  <si>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</si>
  <si>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</si>
  <si>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</si>
  <si>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</si>
  <si>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</si>
  <si>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</si>
  <si>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</si>
  <si>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</si>
  <si>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</si>
  <si>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</si>
  <si>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</si>
  <si>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</si>
  <si>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</si>
  <si>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</si>
  <si>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</si>
  <si>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</si>
  <si>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</si>
  <si>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</si>
  <si>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</si>
  <si>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</si>
  <si>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</si>
  <si>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</si>
  <si>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</si>
  <si>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</si>
  <si>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</si>
  <si>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</si>
  <si>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</si>
  <si>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</si>
  <si>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</si>
  <si>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</si>
  <si>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</si>
  <si>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</si>
  <si>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</si>
  <si>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</si>
  <si>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</si>
  <si>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</si>
  <si>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</si>
  <si>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</si>
  <si>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</si>
  <si>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</si>
  <si>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</si>
  <si>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</si>
  <si>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</si>
  <si>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</si>
  <si>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</si>
  <si>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</si>
  <si>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</si>
  <si>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</si>
  <si>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</si>
  <si>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</si>
  <si>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</si>
  <si>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</si>
  <si>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</si>
  <si>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</si>
  <si>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</si>
  <si>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</si>
  <si>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</si>
  <si>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</si>
  <si>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</si>
  <si>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</si>
  <si>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</si>
  <si>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</si>
  <si>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</si>
  <si>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</si>
  <si>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</si>
  <si>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</si>
  <si>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</si>
  <si>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</si>
  <si>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</si>
  <si>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</si>
  <si>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</si>
  <si>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</si>
  <si>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</si>
  <si>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</si>
  <si>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</si>
  <si>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</si>
  <si>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</si>
  <si>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</si>
  <si>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</si>
  <si>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</si>
  <si>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</si>
  <si>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</si>
  <si>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</si>
  <si>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</si>
  <si>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</si>
  <si>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</si>
  <si>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</si>
  <si>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</si>
  <si>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</si>
  <si>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</si>
  <si>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</si>
  <si>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</si>
  <si>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</si>
  <si>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</si>
  <si>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</si>
  <si>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</si>
  <si>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</si>
  <si>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</si>
  <si>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</si>
  <si>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</si>
  <si>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</si>
  <si>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</si>
  <si>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</si>
  <si>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</si>
  <si>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</si>
  <si>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</si>
  <si>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</si>
  <si>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</si>
  <si>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</si>
  <si>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</si>
  <si>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</si>
  <si>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</si>
  <si>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</si>
  <si>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</si>
  <si>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</si>
  <si>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</si>
  <si>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</si>
  <si>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</si>
  <si>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</si>
  <si>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</si>
  <si>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</si>
  <si>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</si>
  <si>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</si>
  <si>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</si>
  <si>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</si>
  <si>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</si>
  <si>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</si>
  <si>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</si>
  <si>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</si>
  <si>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</si>
  <si>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</si>
  <si>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</si>
  <si>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</si>
  <si>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</si>
  <si>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</si>
  <si>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</si>
  <si>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</si>
  <si>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</si>
  <si>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</si>
  <si>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</si>
  <si>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</si>
  <si>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</si>
  <si>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</si>
  <si>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</si>
  <si>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</si>
  <si>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</si>
  <si>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</si>
  <si>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</si>
  <si>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</si>
  <si>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</si>
  <si>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</si>
  <si>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</si>
  <si>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</si>
  <si>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</si>
  <si>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</si>
  <si>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</si>
  <si>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</si>
  <si>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</si>
  <si>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</si>
  <si>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</si>
  <si>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</si>
  <si>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</si>
  <si>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</si>
  <si>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</si>
  <si>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</si>
  <si>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</si>
  <si>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</si>
  <si>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</si>
  <si>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</si>
  <si>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</si>
  <si>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</si>
  <si>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</si>
  <si>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</si>
  <si>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</si>
  <si>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</si>
  <si>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</si>
  <si>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</si>
  <si>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</si>
  <si>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</si>
  <si>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</si>
  <si>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</si>
  <si>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</si>
  <si>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</si>
  <si>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</si>
  <si>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</si>
  <si>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</si>
  <si>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</si>
  <si>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</si>
  <si>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</si>
  <si>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</si>
  <si>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</si>
  <si>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</si>
  <si>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</si>
  <si>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</si>
  <si>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</si>
  <si>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</si>
  <si>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</si>
  <si>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</si>
  <si>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</si>
  <si>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</si>
  <si>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</si>
  <si>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</si>
  <si>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</si>
  <si>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</si>
  <si>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</si>
  <si>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</si>
  <si>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</si>
  <si>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</si>
  <si>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</si>
  <si>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</si>
  <si>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</si>
  <si>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</si>
  <si>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</si>
  <si>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</si>
  <si>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</si>
  <si>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</si>
  <si>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</si>
  <si>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</si>
  <si>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</si>
  <si>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</si>
  <si>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</si>
  <si>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</si>
  <si>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</si>
  <si>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</si>
  <si>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</si>
  <si>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</si>
  <si>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</si>
  <si>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</si>
  <si>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</si>
  <si>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</si>
  <si>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</si>
  <si>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</si>
  <si>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</si>
  <si>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</si>
  <si>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</si>
  <si>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</si>
  <si>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</si>
  <si>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</si>
  <si>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</si>
  <si>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</si>
  <si>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</si>
  <si>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</si>
  <si>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</si>
  <si>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</si>
  <si>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</si>
  <si>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</si>
  <si>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</si>
  <si>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</si>
  <si>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</si>
  <si>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</si>
  <si>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</si>
  <si>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</si>
  <si>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</si>
  <si>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</si>
  <si>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</si>
  <si>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</si>
  <si>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</si>
  <si>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</si>
  <si>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</si>
  <si>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</si>
  <si>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</si>
  <si>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</si>
  <si>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</si>
  <si>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</si>
  <si>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</si>
  <si>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</si>
  <si>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</si>
  <si>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</si>
  <si>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</si>
  <si>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</si>
  <si>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</si>
  <si>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</si>
  <si>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</si>
  <si>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</si>
  <si>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</si>
  <si>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</si>
  <si>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</si>
  <si>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</si>
  <si>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</si>
  <si>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</si>
  <si>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</si>
  <si>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</si>
  <si>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</si>
  <si>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</si>
  <si>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</si>
  <si>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</si>
  <si>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</si>
  <si>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</si>
  <si>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</si>
  <si>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</si>
  <si>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</si>
  <si>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</si>
  <si>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</si>
  <si>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</si>
  <si>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</si>
  <si>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</si>
  <si>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</si>
  <si>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</si>
  <si>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</si>
  <si>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</si>
  <si>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</si>
  <si>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</si>
  <si>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</si>
  <si>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</si>
  <si>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</si>
  <si>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</si>
  <si>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</si>
  <si>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</si>
  <si>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</si>
  <si>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</si>
  <si>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</si>
  <si>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</si>
  <si>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</si>
  <si>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</si>
  <si>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</si>
  <si>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</si>
  <si>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</si>
  <si>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</si>
  <si>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</si>
  <si>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</si>
  <si>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</si>
  <si>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</si>
  <si>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</si>
  <si>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</si>
  <si>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</si>
  <si>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</si>
  <si>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</si>
  <si>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</si>
  <si>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</si>
  <si>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</si>
  <si>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</si>
  <si>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</si>
  <si>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</si>
  <si>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</si>
  <si>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</si>
  <si>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</si>
  <si>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</si>
  <si>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</si>
  <si>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</si>
  <si>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</si>
  <si>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</si>
  <si>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</si>
  <si>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</si>
  <si>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</si>
  <si>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</si>
  <si>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</si>
  <si>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</si>
  <si>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</si>
  <si>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</si>
  <si>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</si>
  <si>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</si>
  <si>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</si>
  <si>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</si>
  <si>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</si>
  <si>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</si>
  <si>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</si>
  <si>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</si>
  <si>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</si>
  <si>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</si>
  <si>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</si>
  <si>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</si>
  <si>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</si>
  <si>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</si>
  <si>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</si>
  <si>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</si>
  <si>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</si>
  <si>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</si>
  <si>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</si>
  <si>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</si>
  <si>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</si>
  <si>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</si>
  <si>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</si>
  <si>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</si>
  <si>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</si>
  <si>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</si>
  <si>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</si>
  <si>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</si>
  <si>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</si>
  <si>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</si>
  <si>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</si>
  <si>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</si>
  <si>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</si>
  <si>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</si>
  <si>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</si>
  <si>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</si>
  <si>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</si>
  <si>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</si>
  <si>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</si>
  <si>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</si>
  <si>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</si>
  <si>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</si>
  <si>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</si>
  <si>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</si>
  <si>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</si>
  <si>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</si>
  <si>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</si>
  <si>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</si>
  <si>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</si>
  <si>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</si>
  <si>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</si>
  <si>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</si>
  <si>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</si>
  <si>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</si>
  <si>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</si>
  <si>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</si>
  <si>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</si>
  <si>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</si>
  <si>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</si>
  <si>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</si>
  <si>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</si>
  <si>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</si>
  <si>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</si>
  <si>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</si>
  <si>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</si>
  <si>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</si>
  <si>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</si>
  <si>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</si>
  <si>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</si>
  <si>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</si>
  <si>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</si>
  <si>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</si>
  <si>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</si>
  <si>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</si>
  <si>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</si>
  <si>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</si>
  <si>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</si>
  <si>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</si>
  <si>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</si>
  <si>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</si>
  <si>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</si>
  <si>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</si>
  <si>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</si>
  <si>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</si>
  <si>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</si>
  <si>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</si>
  <si>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</si>
  <si>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</si>
  <si>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</si>
  <si>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</si>
  <si>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</si>
  <si>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</si>
  <si>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</si>
  <si>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</si>
  <si>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</si>
  <si>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</si>
  <si>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</si>
  <si>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</si>
  <si>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</si>
  <si>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</si>
  <si>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</si>
  <si>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</si>
  <si>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</si>
  <si>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</si>
  <si>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</si>
  <si>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</si>
  <si>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</si>
  <si>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</si>
  <si>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</si>
  <si>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</si>
  <si>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</si>
  <si>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</si>
  <si>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</si>
  <si>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</si>
  <si>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</si>
  <si>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</si>
  <si>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</si>
  <si>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</si>
  <si>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</si>
  <si>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</si>
  <si>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</si>
  <si>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</si>
  <si>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</si>
  <si>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</si>
  <si>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</si>
  <si>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</si>
  <si>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</si>
  <si>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</si>
  <si>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</si>
  <si>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</si>
  <si>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</si>
  <si>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</si>
  <si>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</si>
  <si>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</si>
  <si>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</si>
  <si>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</si>
  <si>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</si>
  <si>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</si>
  <si>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</si>
  <si>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</si>
  <si>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</si>
  <si>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</si>
  <si>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</si>
  <si>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</si>
  <si>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</si>
  <si>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</si>
  <si>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</si>
  <si>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</si>
  <si>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</si>
  <si>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</si>
  <si>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</si>
  <si>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</si>
  <si>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</si>
  <si>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</si>
  <si>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</si>
  <si>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</si>
  <si>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</si>
  <si>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</si>
  <si>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</si>
  <si>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</si>
  <si>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</si>
  <si>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</si>
  <si>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</si>
  <si>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</si>
  <si>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</si>
  <si>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</si>
  <si>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</si>
  <si>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</si>
  <si>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</si>
  <si>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</si>
  <si>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</si>
  <si>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</si>
  <si>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</si>
  <si>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</si>
  <si>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</si>
  <si>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</si>
  <si>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</si>
  <si>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</si>
  <si>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</si>
  <si>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</si>
  <si>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</si>
  <si>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</si>
  <si>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</si>
  <si>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</si>
  <si>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</si>
  <si>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</si>
  <si>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</si>
  <si>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</si>
  <si>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</si>
  <si>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</si>
  <si>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</si>
  <si>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</si>
  <si>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</si>
  <si>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</si>
  <si>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</si>
  <si>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</si>
  <si>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</si>
  <si>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</si>
  <si>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</si>
  <si>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</si>
  <si>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</si>
  <si>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</si>
  <si>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</si>
  <si>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</si>
  <si>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</si>
  <si>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</si>
  <si>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</si>
  <si>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</si>
  <si>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</si>
  <si>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</si>
  <si>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</si>
  <si>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</si>
  <si>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</si>
  <si>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</si>
  <si>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</si>
  <si>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</si>
  <si>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</si>
  <si>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</si>
  <si>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</si>
  <si>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</si>
  <si>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</si>
  <si>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</si>
  <si>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</si>
  <si>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</si>
  <si>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</si>
  <si>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</si>
  <si>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</si>
  <si>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</si>
  <si>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</si>
  <si>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</si>
  <si>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</si>
  <si>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</si>
  <si>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</si>
  <si>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</si>
  <si>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</si>
  <si>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</si>
  <si>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</si>
  <si>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</si>
  <si>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</si>
  <si>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</si>
  <si>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</si>
  <si>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</si>
  <si>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</si>
  <si>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</si>
  <si>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</si>
  <si>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</si>
  <si>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</si>
  <si>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</si>
  <si>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</si>
  <si>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</si>
  <si>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</si>
  <si>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</si>
  <si>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</si>
  <si>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</si>
  <si>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</si>
  <si>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</si>
  <si>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</si>
  <si>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</si>
  <si>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</si>
  <si>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</si>
  <si>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</si>
  <si>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</si>
  <si>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</si>
  <si>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</si>
  <si>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</si>
  <si>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</si>
  <si>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</si>
  <si>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</si>
  <si>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</si>
  <si>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</si>
  <si>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</si>
  <si>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</si>
  <si>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</si>
  <si>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</si>
  <si>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</si>
  <si>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</si>
  <si>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</si>
  <si>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</si>
  <si>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</si>
  <si>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</si>
  <si>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</si>
  <si>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</si>
  <si>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</si>
  <si>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</si>
  <si>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</si>
  <si>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</si>
  <si>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</si>
  <si>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</si>
  <si>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</si>
  <si>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</si>
  <si>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</si>
  <si>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</si>
  <si>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</si>
  <si>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</si>
  <si>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</si>
  <si>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</si>
  <si>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</si>
  <si>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</si>
  <si>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</si>
  <si>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</si>
  <si>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</si>
  <si>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</si>
  <si>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</si>
  <si>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</si>
  <si>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</si>
  <si>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</si>
  <si>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</si>
  <si>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</si>
  <si>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</si>
  <si>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</si>
  <si>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</si>
  <si>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</si>
  <si>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</si>
  <si>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</si>
  <si>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</si>
  <si>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</si>
  <si>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</si>
  <si>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</si>
  <si>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</si>
  <si>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</si>
  <si>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</si>
  <si>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</si>
  <si>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</si>
  <si>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</si>
  <si>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</si>
  <si>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</si>
  <si>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</si>
  <si>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</si>
  <si>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</si>
  <si>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</si>
  <si>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</si>
  <si>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</si>
  <si>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</si>
  <si>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</si>
  <si>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</si>
  <si>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</si>
  <si>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</si>
  <si>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</si>
  <si>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</si>
  <si>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</si>
  <si>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</si>
  <si>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</si>
  <si>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</si>
  <si>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</si>
  <si>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</si>
  <si>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</si>
  <si>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</si>
  <si>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</si>
  <si>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</si>
  <si>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</si>
  <si>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</si>
  <si>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</si>
  <si>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</si>
  <si>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</si>
  <si>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</si>
  <si>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</si>
  <si>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</si>
  <si>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</si>
  <si>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</si>
  <si>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</si>
  <si>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</si>
  <si>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</si>
  <si>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</si>
  <si>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</si>
  <si>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</si>
  <si>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</si>
  <si>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</si>
  <si>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</si>
  <si>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</si>
  <si>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</si>
  <si>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</si>
  <si>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</si>
  <si>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</si>
  <si>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</si>
  <si>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</si>
  <si>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</si>
  <si>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</si>
  <si>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</si>
  <si>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</si>
  <si>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</si>
  <si>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</si>
  <si>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</si>
  <si>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</si>
  <si>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</si>
  <si>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</si>
  <si>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</si>
  <si>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</si>
  <si>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</si>
  <si>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</si>
  <si>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</si>
  <si>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</si>
  <si>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</si>
  <si>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</si>
  <si>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</si>
  <si>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</si>
  <si>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</si>
  <si>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</si>
  <si>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</si>
  <si>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</si>
  <si>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</si>
  <si>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</si>
  <si>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</si>
  <si>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</si>
  <si>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</si>
  <si>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</si>
  <si>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</si>
  <si>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</si>
  <si>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</si>
  <si>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</si>
  <si>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</si>
  <si>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</si>
  <si>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</si>
  <si>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</si>
  <si>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</si>
  <si>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</si>
  <si>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</si>
  <si>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</si>
  <si>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</si>
  <si>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</si>
  <si>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</si>
  <si>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</si>
  <si>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</si>
  <si>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</si>
  <si>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</si>
  <si>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</si>
  <si>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</si>
  <si>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</si>
  <si>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</si>
  <si>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</si>
  <si>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</si>
  <si>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</si>
  <si>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</si>
  <si>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</si>
  <si>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</si>
  <si>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</si>
  <si>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</si>
  <si>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</si>
  <si>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</si>
  <si>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</si>
  <si>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</si>
  <si>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</si>
  <si>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</si>
  <si>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</si>
  <si>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</si>
  <si>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</si>
  <si>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</si>
  <si>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</si>
  <si>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</si>
  <si>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</si>
  <si>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</si>
  <si>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</si>
  <si>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</si>
  <si>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</si>
  <si>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</si>
  <si>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</si>
  <si>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</si>
  <si>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</si>
  <si>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</si>
  <si>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</si>
  <si>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</si>
  <si>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</si>
  <si>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</si>
  <si>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</si>
  <si>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</si>
  <si>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</si>
  <si>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</si>
  <si>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</si>
  <si>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</si>
  <si>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</si>
  <si>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</si>
  <si>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</si>
  <si>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</si>
  <si>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</si>
  <si>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</si>
  <si>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</si>
  <si>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</si>
  <si>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</si>
  <si>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</si>
  <si>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</si>
  <si>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</si>
  <si>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</si>
  <si>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</si>
  <si>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</si>
  <si>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</si>
  <si>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</si>
  <si>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</si>
  <si>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</si>
  <si>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</si>
  <si>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</si>
  <si>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</si>
  <si>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</si>
  <si>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</si>
  <si>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</si>
  <si>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</si>
  <si>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</si>
  <si>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</si>
  <si>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</si>
  <si>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</si>
  <si>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</si>
  <si>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</si>
  <si>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</si>
  <si>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</si>
  <si>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</si>
  <si>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</si>
  <si>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</si>
  <si>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</si>
  <si>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</si>
  <si>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</si>
  <si>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</si>
  <si>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</si>
  <si>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</si>
  <si>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</si>
  <si>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</si>
  <si>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</si>
  <si>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</si>
  <si>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</si>
  <si>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</si>
  <si>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</si>
  <si>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</si>
  <si>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</si>
  <si>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</si>
  <si>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</si>
  <si>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</si>
  <si>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</si>
  <si>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</si>
  <si>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</si>
  <si>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</si>
  <si>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</si>
  <si>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</si>
  <si>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</si>
  <si>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</si>
  <si>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</si>
  <si>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</si>
  <si>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</si>
  <si>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</si>
  <si>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</si>
  <si>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</si>
  <si>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</si>
  <si>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</si>
  <si>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</si>
  <si>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</si>
  <si>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</si>
  <si>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</si>
  <si>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</si>
  <si>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</si>
  <si>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</si>
  <si>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</si>
  <si>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</si>
  <si>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</si>
  <si>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</si>
  <si>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</si>
  <si>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</si>
  <si>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</si>
  <si>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</si>
  <si>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</si>
  <si>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</si>
  <si>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</si>
  <si>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</si>
  <si>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</si>
  <si>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</si>
  <si>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</si>
  <si>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</si>
  <si>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</si>
  <si>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</si>
  <si>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</si>
  <si>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</si>
  <si>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</si>
  <si>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</si>
  <si>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</si>
  <si>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</si>
  <si>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</si>
  <si>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</si>
  <si>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</si>
  <si>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</si>
  <si>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</si>
  <si>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</si>
  <si>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</si>
  <si>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</si>
  <si>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</si>
  <si>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</si>
  <si>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</si>
  <si>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</si>
  <si>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</si>
  <si>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</si>
  <si>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</si>
  <si>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</si>
  <si>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</si>
  <si>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</si>
  <si>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</si>
  <si>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</si>
  <si>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</si>
  <si>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</si>
  <si>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</si>
  <si>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</si>
  <si>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</si>
  <si>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</si>
  <si>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</si>
  <si>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</si>
  <si>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</si>
  <si>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</si>
  <si>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</si>
  <si>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</si>
  <si>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</si>
  <si>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</si>
  <si>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</si>
  <si>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</si>
  <si>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</si>
  <si>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</si>
  <si>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</si>
  <si>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</si>
  <si>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</si>
  <si>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</si>
  <si>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</si>
  <si>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</si>
  <si>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</si>
  <si>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</si>
  <si>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</si>
  <si>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</si>
  <si>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</si>
  <si>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</si>
  <si>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</si>
  <si>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</si>
  <si>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</si>
  <si>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</si>
  <si>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</si>
  <si>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</si>
  <si>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</si>
  <si>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</si>
  <si>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</si>
  <si>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</si>
  <si>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</si>
  <si>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</si>
  <si>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</si>
  <si>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</si>
  <si>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</si>
  <si>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</si>
  <si>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</si>
  <si>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</si>
  <si>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</si>
  <si>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</si>
  <si>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</si>
  <si>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</si>
  <si>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</si>
  <si>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</si>
  <si>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</si>
  <si>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</si>
  <si>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</si>
  <si>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</si>
  <si>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</si>
  <si>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</si>
  <si>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</si>
  <si>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</si>
  <si>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</si>
  <si>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</si>
  <si>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</si>
  <si>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</si>
  <si>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</si>
  <si>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</si>
  <si>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</si>
  <si>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</si>
  <si>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</si>
  <si>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</si>
  <si>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</si>
  <si>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</si>
  <si>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</si>
  <si>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</si>
  <si>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</si>
  <si>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</si>
  <si>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</si>
  <si>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</si>
  <si>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</si>
  <si>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</si>
  <si>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</si>
  <si>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</si>
  <si>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</si>
  <si>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</si>
  <si>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</si>
  <si>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</si>
  <si>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</si>
  <si>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</si>
  <si>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</si>
  <si>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</si>
  <si>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</si>
  <si>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</si>
  <si>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</si>
  <si>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</si>
  <si>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</si>
  <si>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</si>
  <si>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</si>
  <si>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</si>
  <si>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</si>
  <si>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</si>
  <si>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</si>
  <si>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</si>
  <si>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</si>
  <si>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</si>
  <si>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</si>
  <si>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</si>
  <si>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</si>
  <si>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</si>
  <si>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</si>
  <si>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</si>
  <si>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</si>
  <si>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</si>
  <si>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</si>
  <si>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</si>
  <si>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</si>
  <si>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</si>
  <si>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</si>
  <si>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</si>
  <si>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</si>
  <si>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</si>
  <si>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</si>
  <si>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</si>
  <si>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</si>
  <si>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</si>
  <si>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</si>
  <si>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</si>
  <si>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</si>
  <si>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</si>
  <si>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</si>
  <si>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</si>
  <si>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</si>
  <si>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</si>
  <si>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</si>
  <si>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</si>
  <si>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</si>
  <si>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</si>
  <si>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</si>
  <si>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</si>
  <si>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</si>
  <si>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</si>
  <si>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</si>
  <si>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</si>
  <si>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</si>
  <si>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</si>
  <si>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</si>
  <si>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</si>
  <si>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</si>
  <si>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</si>
  <si>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</si>
  <si>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</si>
  <si>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</si>
  <si>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</si>
  <si>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</si>
  <si>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</si>
  <si>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</si>
  <si>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</si>
  <si>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</si>
  <si>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</si>
  <si>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</si>
  <si>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</si>
  <si>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</si>
  <si>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</si>
  <si>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</si>
  <si>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</si>
  <si>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</si>
  <si>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</si>
  <si>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</si>
  <si>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</si>
  <si>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</si>
  <si>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</si>
  <si>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</si>
  <si>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</si>
  <si>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全漢            </t>
  </si>
  <si>
    <t>F-泰鼎</t>
  </si>
  <si>
    <t>中菲</t>
  </si>
  <si>
    <t>松上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</si>
  <si>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</si>
  <si>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</si>
  <si>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</si>
  <si>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</si>
  <si>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</si>
  <si>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</si>
  <si>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</si>
  <si>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</si>
  <si>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</si>
  <si>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</si>
  <si>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</si>
  <si>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前2週</t>
  </si>
  <si>
    <t>前3週</t>
  </si>
  <si>
    <t>前4週</t>
  </si>
  <si>
    <t>前5週</t>
  </si>
  <si>
    <t>前1週</t>
    <phoneticPr fontId="2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</si>
  <si>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</si>
  <si>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</si>
  <si>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</si>
  <si>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t>晶悅</t>
  </si>
  <si>
    <t>F-綠河</t>
  </si>
  <si>
    <t xml:space="preserve">氣立            </t>
  </si>
  <si>
    <t>RPS</t>
  </si>
  <si>
    <t>過去一年營業額</t>
    <phoneticPr fontId="15" type="noConversion"/>
  </si>
  <si>
    <t>PE</t>
    <phoneticPr fontId="15" type="noConversion"/>
  </si>
  <si>
    <t>RPS</t>
    <phoneticPr fontId="2" type="noConversion"/>
  </si>
  <si>
    <t>加項</t>
    <phoneticPr fontId="2" type="noConversion"/>
  </si>
  <si>
    <t>--</t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</si>
  <si>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</si>
  <si>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</si>
  <si>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</si>
  <si>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</si>
  <si>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</si>
  <si>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</si>
  <si>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</si>
  <si>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</si>
  <si>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</si>
  <si>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</si>
  <si>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</si>
  <si>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</si>
  <si>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</si>
  <si>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</si>
  <si>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營業收入</t>
  </si>
  <si>
    <t>累計營業收入</t>
  </si>
  <si>
    <t>備註</t>
  </si>
  <si>
    <t>宇智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</si>
  <si>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</si>
  <si>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</si>
  <si>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</si>
  <si>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</si>
  <si>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公司債</t>
    <phoneticPr fontId="2" type="noConversion"/>
  </si>
  <si>
    <t>減資</t>
    <phoneticPr fontId="2" type="noConversion"/>
  </si>
  <si>
    <t>關鍵清單</t>
    <phoneticPr fontId="2" type="noConversion"/>
  </si>
  <si>
    <t>104.3Q</t>
  </si>
  <si>
    <t xml:space="preserve">立積            </t>
  </si>
  <si>
    <t>小計</t>
    <phoneticPr fontId="2" type="noConversion"/>
  </si>
  <si>
    <t>淨利率</t>
    <phoneticPr fontId="2" type="noConversion"/>
  </si>
  <si>
    <t xml:space="preserve">   </t>
  </si>
  <si>
    <t>問題回報</t>
  </si>
  <si>
    <t>回上頁</t>
  </si>
  <si>
    <t>金額</t>
  </si>
  <si>
    <t>103年第3季</t>
  </si>
  <si>
    <t>104年01月01日至104年09月30日</t>
  </si>
  <si>
    <t>103年01月01日至103年09月30日</t>
  </si>
  <si>
    <t>威潤</t>
  </si>
  <si>
    <t>點序</t>
  </si>
  <si>
    <t>基本面_財務分析</t>
    <phoneticPr fontId="2" type="noConversion"/>
  </si>
  <si>
    <t>中裕</t>
  </si>
  <si>
    <t>健信</t>
  </si>
  <si>
    <t>F-大略</t>
  </si>
  <si>
    <t>F-芮特</t>
  </si>
  <si>
    <t>現金</t>
    <phoneticPr fontId="2" type="noConversion"/>
  </si>
  <si>
    <t>匯賺投資股分有限公司</t>
    <phoneticPr fontId="2" type="noConversion"/>
  </si>
  <si>
    <t>股票買進檢查表</t>
    <phoneticPr fontId="2" type="noConversion"/>
  </si>
  <si>
    <t>A1</t>
    <phoneticPr fontId="2" type="noConversion"/>
  </si>
  <si>
    <t>A2</t>
    <phoneticPr fontId="2" type="noConversion"/>
  </si>
  <si>
    <t>A3</t>
    <phoneticPr fontId="2" type="noConversion"/>
  </si>
  <si>
    <t>營運天數加快</t>
    <phoneticPr fontId="2" type="noConversion"/>
  </si>
  <si>
    <t>營業活動現金流量正向</t>
    <phoneticPr fontId="2" type="noConversion"/>
  </si>
  <si>
    <t>技術線圖</t>
    <phoneticPr fontId="2" type="noConversion"/>
  </si>
  <si>
    <t>停損價</t>
    <phoneticPr fontId="2" type="noConversion"/>
  </si>
  <si>
    <t>更新價</t>
    <phoneticPr fontId="2" type="noConversion"/>
  </si>
  <si>
    <t>最後出場</t>
    <phoneticPr fontId="2" type="noConversion"/>
  </si>
  <si>
    <t>檢  查  項  目</t>
    <phoneticPr fontId="2" type="noConversion"/>
  </si>
  <si>
    <t>補 充 說 明</t>
    <phoneticPr fontId="2" type="noConversion"/>
  </si>
  <si>
    <t>結    果</t>
    <phoneticPr fontId="2" type="noConversion"/>
  </si>
  <si>
    <t>項  次</t>
    <phoneticPr fontId="2" type="noConversion"/>
  </si>
  <si>
    <t>常用代碼</t>
    <phoneticPr fontId="2" type="noConversion"/>
  </si>
  <si>
    <t>買進狀況</t>
    <phoneticPr fontId="2" type="noConversion"/>
  </si>
  <si>
    <t>買進理由</t>
    <phoneticPr fontId="2" type="noConversion"/>
  </si>
  <si>
    <t>摘要=&gt;</t>
    <phoneticPr fontId="2" type="noConversion"/>
  </si>
  <si>
    <t>首次加碼</t>
    <phoneticPr fontId="2" type="noConversion"/>
  </si>
  <si>
    <t>蟄伏機會</t>
    <phoneticPr fontId="2" type="noConversion"/>
  </si>
  <si>
    <t>布林機會</t>
    <phoneticPr fontId="2" type="noConversion"/>
  </si>
  <si>
    <t>威廉機會</t>
    <phoneticPr fontId="2" type="noConversion"/>
  </si>
  <si>
    <t>常用選項</t>
    <phoneticPr fontId="2" type="noConversion"/>
  </si>
  <si>
    <t>回補缺口</t>
    <phoneticPr fontId="2" type="noConversion"/>
  </si>
  <si>
    <t>均線糾結</t>
    <phoneticPr fontId="2" type="noConversion"/>
  </si>
  <si>
    <t>鱷魚開口</t>
    <phoneticPr fontId="2" type="noConversion"/>
  </si>
  <si>
    <t>下降突破</t>
    <phoneticPr fontId="2" type="noConversion"/>
  </si>
  <si>
    <t>亞當杯子</t>
    <phoneticPr fontId="2" type="noConversion"/>
  </si>
  <si>
    <t>外資佈局</t>
    <phoneticPr fontId="2" type="noConversion"/>
  </si>
  <si>
    <t>拉回季線</t>
    <phoneticPr fontId="2" type="noConversion"/>
  </si>
  <si>
    <t>當下文字記錄</t>
    <phoneticPr fontId="2" type="noConversion"/>
  </si>
  <si>
    <t>和勤精機</t>
  </si>
  <si>
    <t>永彰機電</t>
  </si>
  <si>
    <t>鈦昇科技</t>
  </si>
  <si>
    <t>康普材料</t>
  </si>
  <si>
    <t>健喬信元</t>
  </si>
  <si>
    <t>聿新生技</t>
  </si>
  <si>
    <t>鐿鈦科技</t>
  </si>
  <si>
    <t>豪展醫療</t>
  </si>
  <si>
    <t>台灣類比</t>
  </si>
  <si>
    <t>家登精密</t>
  </si>
  <si>
    <t>元隆電子</t>
  </si>
  <si>
    <t>商丞科技</t>
  </si>
  <si>
    <t>昇銳電子</t>
  </si>
  <si>
    <t>泰谷光電</t>
  </si>
  <si>
    <t>東浦精密</t>
  </si>
  <si>
    <t>立端科技</t>
  </si>
  <si>
    <t>天宇工業</t>
  </si>
  <si>
    <t>川寶科技</t>
  </si>
  <si>
    <t>富喬工業</t>
  </si>
  <si>
    <t>點晶科技</t>
  </si>
  <si>
    <t>祥業科技</t>
  </si>
  <si>
    <t>凡甲科技</t>
  </si>
  <si>
    <t>湧德電子</t>
  </si>
  <si>
    <t>德宏工業</t>
  </si>
  <si>
    <t>連展科技</t>
  </si>
  <si>
    <t>萬旭電業</t>
  </si>
  <si>
    <t>良維科技</t>
  </si>
  <si>
    <t>鉅橡企業</t>
  </si>
  <si>
    <t>友威科技</t>
  </si>
  <si>
    <t>志嘉建設</t>
  </si>
  <si>
    <t>晟田科技</t>
  </si>
  <si>
    <t>白紗科技</t>
  </si>
  <si>
    <t>國統國際</t>
  </si>
  <si>
    <t>遊戲橘子</t>
  </si>
  <si>
    <t>試單買進</t>
    <phoneticPr fontId="2" type="noConversion"/>
  </si>
  <si>
    <t>再度加碼</t>
    <phoneticPr fontId="2" type="noConversion"/>
  </si>
  <si>
    <t>邦特生技</t>
  </si>
  <si>
    <t>曜亞國際</t>
  </si>
  <si>
    <t>盛弘醫藥</t>
  </si>
  <si>
    <t>旭品科技</t>
  </si>
  <si>
    <t>瑞傳科技</t>
  </si>
  <si>
    <t>廣積科技</t>
  </si>
  <si>
    <t>兆遠科技</t>
  </si>
  <si>
    <t>晶達光電</t>
  </si>
  <si>
    <t>應華精密</t>
  </si>
  <si>
    <t>華宏新技</t>
  </si>
  <si>
    <t>系統電子</t>
  </si>
  <si>
    <t>華美電子</t>
  </si>
  <si>
    <t>九豪精密</t>
  </si>
  <si>
    <t>佳邦科技</t>
  </si>
  <si>
    <t>正淩精工</t>
  </si>
  <si>
    <t>宜特科技</t>
  </si>
  <si>
    <t>鑫科材料</t>
  </si>
  <si>
    <t>勝麗國際</t>
  </si>
  <si>
    <t>元山科技</t>
  </si>
  <si>
    <t>綠意開發</t>
  </si>
  <si>
    <t>亞昕國際</t>
  </si>
  <si>
    <t>富旺國際</t>
  </si>
  <si>
    <t>台驊投控</t>
  </si>
  <si>
    <t>正德海運</t>
  </si>
  <si>
    <t>新洲全球</t>
  </si>
  <si>
    <t>華義國際</t>
  </si>
  <si>
    <t>樂陞科技</t>
  </si>
  <si>
    <t>庫藏效應</t>
    <phoneticPr fontId="2" type="noConversion"/>
  </si>
  <si>
    <t>業內業外趨勢</t>
    <phoneticPr fontId="2" type="noConversion"/>
  </si>
  <si>
    <t>毛利成長&gt;15%</t>
    <phoneticPr fontId="2" type="noConversion"/>
  </si>
  <si>
    <t>營收成長&gt;15%</t>
    <phoneticPr fontId="2" type="noConversion"/>
  </si>
  <si>
    <t>請將技術線圖複製於儲純格內</t>
    <phoneticPr fontId="2" type="noConversion"/>
  </si>
  <si>
    <t>起漲缺口</t>
    <phoneticPr fontId="2" type="noConversion"/>
  </si>
  <si>
    <t>中繼缺口</t>
    <phoneticPr fontId="2" type="noConversion"/>
  </si>
  <si>
    <t>Z1</t>
    <phoneticPr fontId="2" type="noConversion"/>
  </si>
  <si>
    <t>Z2</t>
    <phoneticPr fontId="2" type="noConversion"/>
  </si>
  <si>
    <t>大盤季線方向  與   重要缺口</t>
    <phoneticPr fontId="2" type="noConversion"/>
  </si>
  <si>
    <t>其他補充</t>
    <phoneticPr fontId="2" type="noConversion"/>
  </si>
  <si>
    <t xml:space="preserve">富邦R2          </t>
  </si>
  <si>
    <t xml:space="preserve">國泰R2          </t>
  </si>
  <si>
    <t xml:space="preserve">同泰            </t>
  </si>
  <si>
    <t xml:space="preserve">台數科          </t>
  </si>
  <si>
    <t xml:space="preserve">F-波力          </t>
  </si>
  <si>
    <t>明基醫</t>
  </si>
  <si>
    <t>F-VHQ</t>
  </si>
  <si>
    <t>PSR=&gt;</t>
  </si>
  <si>
    <t>威廉55&gt;中值-50</t>
  </si>
  <si>
    <t>季線55乖離&lt;15%</t>
  </si>
  <si>
    <t>融資餘額&lt;55天融資餘額的1.5倍</t>
  </si>
  <si>
    <t>集保籌碼正向</t>
  </si>
  <si>
    <t>本益比與本益成長比&lt;0.5</t>
  </si>
  <si>
    <t>RPS&gt;=75</t>
  </si>
  <si>
    <t>葛林排名300名以內</t>
  </si>
  <si>
    <t>A4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</si>
  <si>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</si>
  <si>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</si>
  <si>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</si>
  <si>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  <phoneticPr fontId="2" type="noConversion"/>
  </si>
  <si>
    <t>B5</t>
    <phoneticPr fontId="2" type="noConversion"/>
  </si>
  <si>
    <t>C1</t>
    <phoneticPr fontId="2" type="noConversion"/>
  </si>
  <si>
    <t>C2</t>
    <phoneticPr fontId="2" type="noConversion"/>
  </si>
  <si>
    <t>C3</t>
    <phoneticPr fontId="2" type="noConversion"/>
  </si>
  <si>
    <t>D4</t>
    <phoneticPr fontId="2" type="noConversion"/>
  </si>
  <si>
    <t xml:space="preserve">億豐            </t>
  </si>
  <si>
    <t>天蔥</t>
  </si>
  <si>
    <t>旭然</t>
  </si>
  <si>
    <t>神盾</t>
  </si>
  <si>
    <t>愛之味</t>
  </si>
  <si>
    <t>機構名稱</t>
  </si>
  <si>
    <t>債券代碼</t>
  </si>
  <si>
    <t>到期日期</t>
  </si>
  <si>
    <t>發行總額</t>
  </si>
  <si>
    <t>目前餘額</t>
  </si>
  <si>
    <t>1217</t>
  </si>
  <si>
    <t>1218</t>
  </si>
  <si>
    <t>泰山企業</t>
  </si>
  <si>
    <t>1258</t>
  </si>
  <si>
    <t>1316</t>
  </si>
  <si>
    <t>上曜</t>
  </si>
  <si>
    <t>1336</t>
  </si>
  <si>
    <t>1432</t>
  </si>
  <si>
    <t>大魯閣</t>
  </si>
  <si>
    <t>1442</t>
  </si>
  <si>
    <t>名軒</t>
  </si>
  <si>
    <t>1464</t>
  </si>
  <si>
    <t>得力實業</t>
  </si>
  <si>
    <t>1466</t>
  </si>
  <si>
    <t>聚隆</t>
  </si>
  <si>
    <t>1477</t>
  </si>
  <si>
    <t>聚陽實業</t>
  </si>
  <si>
    <t>1506</t>
  </si>
  <si>
    <t>正道</t>
  </si>
  <si>
    <t>1530</t>
  </si>
  <si>
    <t>亞崴機電</t>
  </si>
  <si>
    <t>1566</t>
  </si>
  <si>
    <t>1569</t>
  </si>
  <si>
    <t>1582</t>
  </si>
  <si>
    <t>信錦</t>
  </si>
  <si>
    <t>1583</t>
  </si>
  <si>
    <t>程泰</t>
  </si>
  <si>
    <t>1586</t>
  </si>
  <si>
    <t>1589</t>
  </si>
  <si>
    <t>F-永冠</t>
  </si>
  <si>
    <t>1593</t>
  </si>
  <si>
    <t>1595</t>
  </si>
  <si>
    <t>1611</t>
  </si>
  <si>
    <t>中電</t>
  </si>
  <si>
    <t>1626</t>
  </si>
  <si>
    <t>F-艾美</t>
  </si>
  <si>
    <t>1707</t>
  </si>
  <si>
    <t>葡萄王</t>
  </si>
  <si>
    <t>1709</t>
  </si>
  <si>
    <t>和益化工</t>
  </si>
  <si>
    <t>1712</t>
  </si>
  <si>
    <t>興農</t>
  </si>
  <si>
    <t>1715</t>
  </si>
  <si>
    <t>萬洲化學</t>
  </si>
  <si>
    <t>1733</t>
  </si>
  <si>
    <t>五鼎</t>
  </si>
  <si>
    <t>1752</t>
  </si>
  <si>
    <t>1808</t>
  </si>
  <si>
    <t>潤隆</t>
  </si>
  <si>
    <t>1815</t>
  </si>
  <si>
    <t>1909</t>
  </si>
  <si>
    <t>榮成</t>
  </si>
  <si>
    <t>2006</t>
  </si>
  <si>
    <t>東和鋼鐵</t>
  </si>
  <si>
    <t>聚亨</t>
  </si>
  <si>
    <t>2031</t>
  </si>
  <si>
    <t>新光鋼</t>
  </si>
  <si>
    <t>2115</t>
  </si>
  <si>
    <t>F-六暉</t>
  </si>
  <si>
    <t>2228</t>
  </si>
  <si>
    <t>劍麟</t>
  </si>
  <si>
    <t>2231</t>
  </si>
  <si>
    <t>為升</t>
  </si>
  <si>
    <t>2332</t>
  </si>
  <si>
    <t>友訊科技</t>
  </si>
  <si>
    <t>2353</t>
  </si>
  <si>
    <t>宏科股份有限公司</t>
  </si>
  <si>
    <t>2360</t>
  </si>
  <si>
    <t>致茂電子</t>
  </si>
  <si>
    <t>2393</t>
  </si>
  <si>
    <t>億光電子</t>
  </si>
  <si>
    <t>2402</t>
  </si>
  <si>
    <t>毅嘉科技</t>
  </si>
  <si>
    <t>2406</t>
  </si>
  <si>
    <t>國碩科技</t>
  </si>
  <si>
    <t>2419</t>
  </si>
  <si>
    <t>仲琦</t>
  </si>
  <si>
    <t>2426</t>
  </si>
  <si>
    <t>鼎元</t>
  </si>
  <si>
    <t>2437</t>
  </si>
  <si>
    <t>旺詮</t>
  </si>
  <si>
    <t>2439</t>
  </si>
  <si>
    <t>美律</t>
  </si>
  <si>
    <t>2442</t>
  </si>
  <si>
    <t>新美齊</t>
  </si>
  <si>
    <t>2444</t>
  </si>
  <si>
    <t>友旺科技</t>
  </si>
  <si>
    <t>2456</t>
  </si>
  <si>
    <t>奇力新</t>
  </si>
  <si>
    <t>2457</t>
  </si>
  <si>
    <t>飛宏科技</t>
  </si>
  <si>
    <t>2461</t>
  </si>
  <si>
    <t>光群雷射</t>
  </si>
  <si>
    <t>2462</t>
  </si>
  <si>
    <t>良得電</t>
  </si>
  <si>
    <t>2466</t>
  </si>
  <si>
    <t>冠西電</t>
  </si>
  <si>
    <t>2478</t>
  </si>
  <si>
    <t>大毅</t>
  </si>
  <si>
    <t>2481</t>
  </si>
  <si>
    <t>強茂</t>
  </si>
  <si>
    <t>2486</t>
  </si>
  <si>
    <t>一詮精密</t>
  </si>
  <si>
    <t>2515</t>
  </si>
  <si>
    <t>中華工程</t>
  </si>
  <si>
    <t>2528</t>
  </si>
  <si>
    <t>皇普建設</t>
  </si>
  <si>
    <t>2535</t>
  </si>
  <si>
    <t>達工</t>
  </si>
  <si>
    <t>2537</t>
  </si>
  <si>
    <t>聯上開發</t>
  </si>
  <si>
    <t>2538</t>
  </si>
  <si>
    <t>基泰建設</t>
  </si>
  <si>
    <t>2547</t>
  </si>
  <si>
    <t>日勝</t>
  </si>
  <si>
    <t>2596</t>
  </si>
  <si>
    <t>2601</t>
  </si>
  <si>
    <t>益航</t>
  </si>
  <si>
    <t>2609</t>
  </si>
  <si>
    <t>陽明海運</t>
  </si>
  <si>
    <t>2610</t>
  </si>
  <si>
    <t>華航</t>
  </si>
  <si>
    <t>2613</t>
  </si>
  <si>
    <t>中櫃</t>
  </si>
  <si>
    <t>2616</t>
  </si>
  <si>
    <t>山隆通運</t>
  </si>
  <si>
    <t>2636</t>
  </si>
  <si>
    <t>2637</t>
  </si>
  <si>
    <t>F-慧洋</t>
  </si>
  <si>
    <t>2640</t>
  </si>
  <si>
    <t>2641</t>
  </si>
  <si>
    <t>2707</t>
  </si>
  <si>
    <t>晶華酒店</t>
  </si>
  <si>
    <t>2724</t>
  </si>
  <si>
    <t>2726</t>
  </si>
  <si>
    <t>2734</t>
  </si>
  <si>
    <t>2841</t>
  </si>
  <si>
    <t>台灣土地</t>
  </si>
  <si>
    <t>2886</t>
  </si>
  <si>
    <t>兆豐金</t>
  </si>
  <si>
    <t>2888</t>
  </si>
  <si>
    <t>新光金</t>
  </si>
  <si>
    <t>2924</t>
  </si>
  <si>
    <t>3010</t>
  </si>
  <si>
    <t>華立</t>
  </si>
  <si>
    <t>3018</t>
  </si>
  <si>
    <t>同開科技</t>
  </si>
  <si>
    <t>3023</t>
  </si>
  <si>
    <t>信邦電子</t>
  </si>
  <si>
    <t>3029</t>
  </si>
  <si>
    <t>零壹科技</t>
  </si>
  <si>
    <t>威健</t>
  </si>
  <si>
    <t>3042</t>
  </si>
  <si>
    <t>晶技</t>
  </si>
  <si>
    <t>3047</t>
  </si>
  <si>
    <t>訊舟科技</t>
  </si>
  <si>
    <t>3048</t>
  </si>
  <si>
    <t>益登</t>
  </si>
  <si>
    <t>3054</t>
  </si>
  <si>
    <t>萬國科技</t>
  </si>
  <si>
    <t>3056</t>
  </si>
  <si>
    <t>總太地產</t>
  </si>
  <si>
    <t>3086</t>
  </si>
  <si>
    <t>3128</t>
  </si>
  <si>
    <t>3149</t>
  </si>
  <si>
    <t>正達國際</t>
  </si>
  <si>
    <t>3163</t>
  </si>
  <si>
    <t>3171</t>
  </si>
  <si>
    <t>3205</t>
  </si>
  <si>
    <t>3224</t>
  </si>
  <si>
    <t>3234</t>
  </si>
  <si>
    <t>3252</t>
  </si>
  <si>
    <t>3272</t>
  </si>
  <si>
    <t>3288</t>
  </si>
  <si>
    <t>3289</t>
  </si>
  <si>
    <t>3290</t>
  </si>
  <si>
    <t>3299</t>
  </si>
  <si>
    <t>3323</t>
  </si>
  <si>
    <t>3325</t>
  </si>
  <si>
    <t>3338</t>
  </si>
  <si>
    <t>泰碩電子</t>
  </si>
  <si>
    <t>3339</t>
  </si>
  <si>
    <t>3383</t>
  </si>
  <si>
    <t>新世紀</t>
  </si>
  <si>
    <t>3438</t>
  </si>
  <si>
    <t>3465</t>
  </si>
  <si>
    <t>3484</t>
  </si>
  <si>
    <t>3494</t>
  </si>
  <si>
    <t>誠研科技</t>
  </si>
  <si>
    <t>3514</t>
  </si>
  <si>
    <t>昱晶能源</t>
  </si>
  <si>
    <t>3526</t>
  </si>
  <si>
    <t>3535</t>
  </si>
  <si>
    <t>晶彩科</t>
  </si>
  <si>
    <t>3545</t>
  </si>
  <si>
    <t>敦泰</t>
  </si>
  <si>
    <t>3552</t>
  </si>
  <si>
    <t>同致電子</t>
  </si>
  <si>
    <t>3557</t>
  </si>
  <si>
    <t>嘉威光電</t>
  </si>
  <si>
    <t>3564</t>
  </si>
  <si>
    <t>3576</t>
  </si>
  <si>
    <t>新日光</t>
  </si>
  <si>
    <t>3580</t>
  </si>
  <si>
    <t>3591</t>
  </si>
  <si>
    <t>艾笛森</t>
  </si>
  <si>
    <t>3594</t>
  </si>
  <si>
    <t>奕力</t>
  </si>
  <si>
    <t>3607</t>
  </si>
  <si>
    <t>谷崧</t>
  </si>
  <si>
    <t>3609</t>
  </si>
  <si>
    <t>3611</t>
  </si>
  <si>
    <t>3625</t>
  </si>
  <si>
    <t>3631</t>
  </si>
  <si>
    <t>3662</t>
  </si>
  <si>
    <t>3663</t>
  </si>
  <si>
    <t>3665</t>
  </si>
  <si>
    <t>F-貿聯</t>
  </si>
  <si>
    <t>3680</t>
  </si>
  <si>
    <t>3689</t>
  </si>
  <si>
    <t>3691</t>
  </si>
  <si>
    <t>3693</t>
  </si>
  <si>
    <t>3698</t>
  </si>
  <si>
    <t>隆達</t>
  </si>
  <si>
    <t>3702</t>
  </si>
  <si>
    <t>大聯大</t>
  </si>
  <si>
    <t>4104</t>
  </si>
  <si>
    <t>佳醫</t>
  </si>
  <si>
    <t>4107</t>
  </si>
  <si>
    <t>4109</t>
  </si>
  <si>
    <t>4113</t>
  </si>
  <si>
    <t>4114</t>
  </si>
  <si>
    <t>4119</t>
  </si>
  <si>
    <t>旭富製藥</t>
  </si>
  <si>
    <t>4123</t>
  </si>
  <si>
    <t>4130</t>
  </si>
  <si>
    <t>4137</t>
  </si>
  <si>
    <t>F-麗豐</t>
  </si>
  <si>
    <t>4138</t>
  </si>
  <si>
    <t>4141</t>
  </si>
  <si>
    <t>F - 龍燈</t>
  </si>
  <si>
    <t>4153</t>
  </si>
  <si>
    <t>4161</t>
  </si>
  <si>
    <t>4163</t>
  </si>
  <si>
    <t>4164</t>
  </si>
  <si>
    <t>承業醫</t>
  </si>
  <si>
    <t>4306</t>
  </si>
  <si>
    <t>炎洲</t>
  </si>
  <si>
    <t>4414</t>
  </si>
  <si>
    <t>如興</t>
  </si>
  <si>
    <t>4416</t>
  </si>
  <si>
    <t>4523</t>
  </si>
  <si>
    <t>4532</t>
  </si>
  <si>
    <t>瑞智精密</t>
  </si>
  <si>
    <t>4541</t>
  </si>
  <si>
    <t>4714</t>
  </si>
  <si>
    <t>4733</t>
  </si>
  <si>
    <t>上緯企業</t>
  </si>
  <si>
    <t>4735</t>
  </si>
  <si>
    <t>4736</t>
  </si>
  <si>
    <t>4739</t>
  </si>
  <si>
    <t>4745</t>
  </si>
  <si>
    <t>4746</t>
  </si>
  <si>
    <t>台耀</t>
  </si>
  <si>
    <t>4906</t>
  </si>
  <si>
    <t>正文</t>
  </si>
  <si>
    <t>4916</t>
  </si>
  <si>
    <t>事欣科</t>
  </si>
  <si>
    <t>4927</t>
  </si>
  <si>
    <t>4933</t>
  </si>
  <si>
    <t>4939</t>
  </si>
  <si>
    <t>4944</t>
  </si>
  <si>
    <t>4956</t>
  </si>
  <si>
    <t>光鋐</t>
  </si>
  <si>
    <t>4971</t>
  </si>
  <si>
    <t>4974</t>
  </si>
  <si>
    <t>4979</t>
  </si>
  <si>
    <t>4991</t>
  </si>
  <si>
    <t>4995</t>
  </si>
  <si>
    <t>5213</t>
  </si>
  <si>
    <t>5215</t>
  </si>
  <si>
    <t>F-科嘉</t>
  </si>
  <si>
    <t>5230</t>
  </si>
  <si>
    <t>5259</t>
  </si>
  <si>
    <t>清惠</t>
  </si>
  <si>
    <t>5284</t>
  </si>
  <si>
    <t>5285</t>
  </si>
  <si>
    <t>界霖</t>
  </si>
  <si>
    <t>5289</t>
  </si>
  <si>
    <t>宜鼎國際</t>
  </si>
  <si>
    <t>5309</t>
  </si>
  <si>
    <t>5388</t>
  </si>
  <si>
    <t>中磊電子</t>
  </si>
  <si>
    <t>5392</t>
  </si>
  <si>
    <t>5475</t>
  </si>
  <si>
    <t>5491</t>
  </si>
  <si>
    <t>5519</t>
  </si>
  <si>
    <t>隆大營建</t>
  </si>
  <si>
    <t>5522</t>
  </si>
  <si>
    <t>遠雄建設</t>
  </si>
  <si>
    <t>5529</t>
  </si>
  <si>
    <t>5534</t>
  </si>
  <si>
    <t>長虹</t>
  </si>
  <si>
    <t>5608</t>
  </si>
  <si>
    <t>四維航業</t>
  </si>
  <si>
    <t>5905</t>
  </si>
  <si>
    <t>6105</t>
  </si>
  <si>
    <t>6107</t>
  </si>
  <si>
    <t>6115</t>
  </si>
  <si>
    <t>鎰勝</t>
  </si>
  <si>
    <t>6127</t>
  </si>
  <si>
    <t>6131</t>
  </si>
  <si>
    <t>悠克電子</t>
  </si>
  <si>
    <t>6134</t>
  </si>
  <si>
    <t>6139</t>
  </si>
  <si>
    <t>亞翔工程</t>
  </si>
  <si>
    <t>6146</t>
  </si>
  <si>
    <t>6153</t>
  </si>
  <si>
    <t>嘉聯益</t>
  </si>
  <si>
    <t>6168</t>
  </si>
  <si>
    <t>宏齊科技</t>
  </si>
  <si>
    <t>6170</t>
  </si>
  <si>
    <t>6176</t>
  </si>
  <si>
    <t>瑞儀光電</t>
  </si>
  <si>
    <t>6177</t>
  </si>
  <si>
    <t>達麗</t>
  </si>
  <si>
    <t>6180</t>
  </si>
  <si>
    <t>6182</t>
  </si>
  <si>
    <t>6184</t>
  </si>
  <si>
    <t>大豐電</t>
  </si>
  <si>
    <t>6190</t>
  </si>
  <si>
    <t>6219</t>
  </si>
  <si>
    <t>6220</t>
  </si>
  <si>
    <t>6223</t>
  </si>
  <si>
    <t>6226</t>
  </si>
  <si>
    <t>光鼎電子</t>
  </si>
  <si>
    <t>6238</t>
  </si>
  <si>
    <t>6245</t>
  </si>
  <si>
    <t>6264</t>
  </si>
  <si>
    <t>6269</t>
  </si>
  <si>
    <t>台郡科技</t>
  </si>
  <si>
    <t>6271</t>
  </si>
  <si>
    <t>同欣電子</t>
  </si>
  <si>
    <t>6275</t>
  </si>
  <si>
    <t>6284</t>
  </si>
  <si>
    <t>6285</t>
  </si>
  <si>
    <t>啟?科技</t>
  </si>
  <si>
    <t>6287</t>
  </si>
  <si>
    <t>6290</t>
  </si>
  <si>
    <t>6414</t>
  </si>
  <si>
    <t>樺漢科技</t>
  </si>
  <si>
    <t>6509</t>
  </si>
  <si>
    <t>6603</t>
  </si>
  <si>
    <t>6702</t>
  </si>
  <si>
    <t>復興航空</t>
  </si>
  <si>
    <t>8027</t>
  </si>
  <si>
    <t>8038</t>
  </si>
  <si>
    <t>8042</t>
  </si>
  <si>
    <t>8050</t>
  </si>
  <si>
    <t>8074</t>
  </si>
  <si>
    <t>8110</t>
  </si>
  <si>
    <t>華東</t>
  </si>
  <si>
    <t>8112</t>
  </si>
  <si>
    <t>至上電子</t>
  </si>
  <si>
    <t>8114</t>
  </si>
  <si>
    <t>振樺電子</t>
  </si>
  <si>
    <t>8147</t>
  </si>
  <si>
    <t>8171</t>
  </si>
  <si>
    <t>8240</t>
  </si>
  <si>
    <t>8277</t>
  </si>
  <si>
    <t>8349</t>
  </si>
  <si>
    <t>?耀國際</t>
  </si>
  <si>
    <t>8401</t>
  </si>
  <si>
    <t>8403</t>
  </si>
  <si>
    <t>8406</t>
  </si>
  <si>
    <t>8411</t>
  </si>
  <si>
    <t>F-福貞</t>
  </si>
  <si>
    <t>8421</t>
  </si>
  <si>
    <t>8429</t>
  </si>
  <si>
    <t>F-金麗</t>
  </si>
  <si>
    <t>8431</t>
  </si>
  <si>
    <t>8436</t>
  </si>
  <si>
    <t>大江生醫</t>
  </si>
  <si>
    <t>8450</t>
  </si>
  <si>
    <t>8933</t>
  </si>
  <si>
    <t>8936</t>
  </si>
  <si>
    <t>8942</t>
  </si>
  <si>
    <t>8996</t>
  </si>
  <si>
    <t>高力</t>
  </si>
  <si>
    <t>9802</t>
  </si>
  <si>
    <t>F-鈺齊</t>
  </si>
  <si>
    <t>9934</t>
  </si>
  <si>
    <t>成霖企業</t>
  </si>
  <si>
    <t>9939</t>
  </si>
  <si>
    <t>宏全</t>
  </si>
  <si>
    <t>9941</t>
  </si>
  <si>
    <t>裕融企業</t>
  </si>
  <si>
    <t>新麗企業</t>
  </si>
  <si>
    <t>轉換股數</t>
  </si>
  <si>
    <t>CB代碼</t>
  </si>
  <si>
    <t>F-三汰</t>
  </si>
  <si>
    <t>大中</t>
  </si>
  <si>
    <t>邑錡</t>
  </si>
  <si>
    <t>夠麻吉</t>
  </si>
  <si>
    <t>高野</t>
  </si>
  <si>
    <t xml:space="preserve">銘鈺            </t>
  </si>
  <si>
    <t>科懋</t>
  </si>
  <si>
    <t>F-大拓</t>
  </si>
  <si>
    <t>長鴻</t>
  </si>
  <si>
    <t>01004T</t>
  </si>
  <si>
    <t>營收C</t>
  </si>
  <si>
    <t>營收</t>
    <phoneticPr fontId="2" type="noConversion"/>
  </si>
  <si>
    <t>毛利率</t>
    <phoneticPr fontId="2" type="noConversion"/>
  </si>
  <si>
    <t>單季EPS</t>
    <phoneticPr fontId="2" type="noConversion"/>
  </si>
  <si>
    <t>營收
成長率</t>
    <phoneticPr fontId="15" type="noConversion"/>
  </si>
  <si>
    <t>營收A</t>
  </si>
  <si>
    <t>營收B</t>
  </si>
  <si>
    <t>同期比較</t>
    <phoneticPr fontId="2" type="noConversion"/>
  </si>
  <si>
    <t>上期比較</t>
    <phoneticPr fontId="2" type="noConversion"/>
  </si>
  <si>
    <t>A</t>
    <phoneticPr fontId="15" type="noConversion"/>
  </si>
  <si>
    <t>B</t>
    <phoneticPr fontId="15" type="noConversion"/>
  </si>
  <si>
    <t>C</t>
    <phoneticPr fontId="15" type="noConversion"/>
  </si>
  <si>
    <t>1310_4.90%</t>
  </si>
  <si>
    <t>1338_2.66%</t>
  </si>
  <si>
    <t>1586_4.33%</t>
  </si>
  <si>
    <t>1737_9.15%</t>
  </si>
  <si>
    <t>2456_5.98%</t>
  </si>
  <si>
    <t>2491_2.51%</t>
  </si>
  <si>
    <t>2636_2.22%</t>
  </si>
  <si>
    <t>3131_4.85%</t>
  </si>
  <si>
    <t>3376_2.67%</t>
  </si>
  <si>
    <t>3558_2.29%</t>
  </si>
  <si>
    <t>3573_6.70%</t>
  </si>
  <si>
    <t>3596_4.16%</t>
  </si>
  <si>
    <t>3611_2.97%</t>
  </si>
  <si>
    <t>4123_3.61%</t>
  </si>
  <si>
    <t>4924_3.64%</t>
  </si>
  <si>
    <t>儒鴻</t>
  </si>
  <si>
    <t>億泰</t>
  </si>
  <si>
    <t>憶聲電子</t>
  </si>
  <si>
    <t>2732</t>
  </si>
  <si>
    <t>六角國際</t>
  </si>
  <si>
    <t>轉換價差</t>
  </si>
  <si>
    <t>董事會決議通過</t>
    <phoneticPr fontId="2" type="noConversion"/>
  </si>
  <si>
    <t>CB市價</t>
  </si>
  <si>
    <t>CB餘額%</t>
  </si>
  <si>
    <t>CB價轉股</t>
  </si>
  <si>
    <t>CB集保人數</t>
  </si>
  <si>
    <t>2022</t>
  </si>
  <si>
    <t>台驊國際</t>
  </si>
  <si>
    <t>3033</t>
  </si>
  <si>
    <t>3313</t>
  </si>
  <si>
    <t>3598</t>
  </si>
  <si>
    <t>4129</t>
  </si>
  <si>
    <t>聯合骨科</t>
  </si>
  <si>
    <t>4534</t>
  </si>
  <si>
    <t>慶騰精密</t>
  </si>
  <si>
    <t>4703</t>
  </si>
  <si>
    <t>揚華</t>
  </si>
  <si>
    <t>9944</t>
  </si>
  <si>
    <t>轉換格價</t>
  </si>
  <si>
    <t xml:space="preserve">F-英利          </t>
  </si>
  <si>
    <t>F-紅馬</t>
  </si>
  <si>
    <t>福邦證</t>
  </si>
  <si>
    <t>流通股數</t>
    <phoneticPr fontId="2" type="noConversion"/>
  </si>
  <si>
    <t>每週QA</t>
    <phoneticPr fontId="2" type="noConversion"/>
  </si>
  <si>
    <t>比較值</t>
    <phoneticPr fontId="2" type="noConversion"/>
  </si>
  <si>
    <t>營益率與本業比</t>
    <phoneticPr fontId="2" type="noConversion"/>
  </si>
  <si>
    <t>本業與業外EPS</t>
    <phoneticPr fontId="2" type="noConversion"/>
  </si>
  <si>
    <t>股本與單季EPS</t>
    <phoneticPr fontId="2" type="noConversion"/>
  </si>
  <si>
    <t>每日標準動作</t>
    <phoneticPr fontId="2" type="noConversion"/>
  </si>
  <si>
    <t>每週標準動作</t>
    <phoneticPr fontId="2" type="noConversion"/>
  </si>
  <si>
    <t>每月標準動作</t>
    <phoneticPr fontId="2" type="noConversion"/>
  </si>
  <si>
    <t>系統日</t>
    <phoneticPr fontId="2" type="noConversion"/>
  </si>
  <si>
    <t>集保1</t>
    <phoneticPr fontId="15" type="noConversion"/>
  </si>
  <si>
    <t>集保2</t>
    <phoneticPr fontId="15" type="noConversion"/>
  </si>
  <si>
    <t>集保3</t>
    <phoneticPr fontId="15" type="noConversion"/>
  </si>
  <si>
    <t>集保4</t>
    <phoneticPr fontId="15" type="noConversion"/>
  </si>
  <si>
    <t>集保5</t>
    <phoneticPr fontId="15" type="noConversion"/>
  </si>
  <si>
    <t>標準</t>
    <phoneticPr fontId="15" type="noConversion"/>
  </si>
  <si>
    <t>105/01/30</t>
  </si>
  <si>
    <t>公告本公司104年12月份自結合併財務報告之負債比率 、流動比率及速動比率</t>
  </si>
  <si>
    <t>代重要子公司億泰高科技(越南)責任有限公司 公告董事暨總經理異動</t>
  </si>
  <si>
    <t>本公司薪資報酬委員會委員新任</t>
  </si>
  <si>
    <t>展頌</t>
  </si>
  <si>
    <t>公告104年12月份自結財務報告之負債比率.流動比率及速動比率</t>
  </si>
  <si>
    <t>公告本公司104年12月底自結合併財務報表高流動資產、短期借款 及一年內到期之長期負債金額等財務資訊</t>
  </si>
  <si>
    <t>F-茂林</t>
  </si>
  <si>
    <t>澄清媒體報導</t>
  </si>
  <si>
    <t>補充公告本公司董事長楊文彬先生因病辭世，依本公司章 程規定，董事長職務由副董事長洪博彥先生代理。</t>
  </si>
  <si>
    <t>澄清105年01月30日工商時報B1報導</t>
  </si>
  <si>
    <t>昇達科技</t>
  </si>
  <si>
    <t>澄清105年1月30日工商時報B1版報導</t>
  </si>
  <si>
    <t>澄清今日媒體報導</t>
  </si>
  <si>
    <t>奇鈦科</t>
  </si>
  <si>
    <t>公告104年12月份自結財務報告之負債比率、流動比率及速動比率</t>
  </si>
  <si>
    <t>篩選結果</t>
  </si>
  <si>
    <r>
      <rPr>
        <b/>
        <sz val="14"/>
        <color rgb="FF66FF33"/>
        <rFont val="Adobe 繁黑體 Std B"/>
        <family val="2"/>
        <charset val="136"/>
      </rPr>
      <t>本業EPS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theme="9" tint="0.39997558519241921"/>
        <rFont val="Adobe 繁黑體 Std B"/>
        <family val="2"/>
        <charset val="136"/>
      </rPr>
      <t>業外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</si>
  <si>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業外EPS</t>
    <phoneticPr fontId="2" type="noConversion"/>
  </si>
  <si>
    <t>極營業額端值</t>
    <phoneticPr fontId="2" type="noConversion"/>
  </si>
  <si>
    <t>年EPS與成長率</t>
    <phoneticPr fontId="2" type="noConversion"/>
  </si>
  <si>
    <t>分類</t>
    <phoneticPr fontId="2" type="noConversion"/>
  </si>
  <si>
    <t>本業EPS</t>
    <phoneticPr fontId="2" type="noConversion"/>
  </si>
  <si>
    <t>營業額</t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</si>
  <si>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財務品質強度指標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</si>
  <si>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 xml:space="preserve">香港反          </t>
  </si>
  <si>
    <t xml:space="preserve">上證50          </t>
  </si>
  <si>
    <t xml:space="preserve">富邦R1          </t>
  </si>
  <si>
    <t xml:space="preserve">國泰R1          </t>
  </si>
  <si>
    <t xml:space="preserve">新光R1          </t>
  </si>
  <si>
    <t>PSR_市值營收比</t>
    <phoneticPr fontId="2" type="noConversion"/>
  </si>
  <si>
    <t>RPS_股價相對強度</t>
    <phoneticPr fontId="2" type="noConversion"/>
  </si>
  <si>
    <t>葛林公式排名</t>
    <phoneticPr fontId="2" type="noConversion"/>
  </si>
  <si>
    <t>1568</t>
  </si>
  <si>
    <t xml:space="preserve">查詢日期 : </t>
    <phoneticPr fontId="2" type="noConversion"/>
  </si>
  <si>
    <t>0 / 0</t>
  </si>
  <si>
    <t>1438Q3營業額0</t>
    <phoneticPr fontId="2" type="noConversion"/>
  </si>
  <si>
    <t>金融類股不適用</t>
    <phoneticPr fontId="2" type="noConversion"/>
  </si>
  <si>
    <t>2360會造成錯誤</t>
    <phoneticPr fontId="2" type="noConversion"/>
  </si>
  <si>
    <t>2359會造成錯誤</t>
    <phoneticPr fontId="2" type="noConversion"/>
  </si>
  <si>
    <t>4167資料不足</t>
    <phoneticPr fontId="2" type="noConversion"/>
  </si>
  <si>
    <t>4163資料不足</t>
    <phoneticPr fontId="2" type="noConversion"/>
  </si>
  <si>
    <t>4173資料不足</t>
    <phoneticPr fontId="2" type="noConversion"/>
  </si>
  <si>
    <t>4171資料不足</t>
    <phoneticPr fontId="2" type="noConversion"/>
  </si>
  <si>
    <t>4174資料不足</t>
    <phoneticPr fontId="2" type="noConversion"/>
  </si>
  <si>
    <t>4188資料不足</t>
    <phoneticPr fontId="2" type="noConversion"/>
  </si>
  <si>
    <t>更新收盤價</t>
    <phoneticPr fontId="2" type="noConversion"/>
  </si>
  <si>
    <t>更新公司債</t>
    <phoneticPr fontId="2" type="noConversion"/>
  </si>
  <si>
    <t>摘錄日期</t>
    <phoneticPr fontId="2" type="noConversion"/>
  </si>
  <si>
    <t>出處</t>
    <phoneticPr fontId="2" type="noConversion"/>
  </si>
  <si>
    <t>內容</t>
    <phoneticPr fontId="2" type="noConversion"/>
  </si>
  <si>
    <t>週集保</t>
    <phoneticPr fontId="2" type="noConversion"/>
  </si>
  <si>
    <t>營收搶新報</t>
    <phoneticPr fontId="2" type="noConversion"/>
  </si>
  <si>
    <t>公司債人數</t>
    <phoneticPr fontId="2" type="noConversion"/>
  </si>
  <si>
    <t>超眾(6230)</t>
  </si>
  <si>
    <t>超眾（6230）</t>
  </si>
  <si>
    <t>雙鴻(3324)</t>
  </si>
  <si>
    <t>雙鴻（3324）</t>
  </si>
  <si>
    <t>奇鋐(3017)</t>
  </si>
  <si>
    <t>奇鋐（3017）</t>
  </si>
  <si>
    <t>雙鴻(3324)</t>
    <phoneticPr fontId="2" type="noConversion"/>
  </si>
  <si>
    <t>奇鋐(3017)</t>
    <phoneticPr fontId="2" type="noConversion"/>
  </si>
  <si>
    <t>公司代號</t>
  </si>
  <si>
    <t>查詢錯誤記錄</t>
    <phoneticPr fontId="2" type="noConversion"/>
  </si>
  <si>
    <t>每月10號</t>
    <phoneticPr fontId="2" type="noConversion"/>
  </si>
  <si>
    <t>每日三點</t>
    <phoneticPr fontId="2" type="noConversion"/>
  </si>
  <si>
    <t>基本設定</t>
    <phoneticPr fontId="2" type="noConversion"/>
  </si>
  <si>
    <t>標準清單</t>
    <phoneticPr fontId="2" type="noConversion"/>
  </si>
  <si>
    <t>已讀代號</t>
    <phoneticPr fontId="2" type="noConversion"/>
  </si>
  <si>
    <t>依類別:</t>
  </si>
  <si>
    <t>依券商:</t>
  </si>
  <si>
    <t xml:space="preserve">愛之二　　　        </t>
  </si>
  <si>
    <t xml:space="preserve">AGV PRODUCTS CORP.                                </t>
  </si>
  <si>
    <t xml:space="preserve">愛之三　　　        </t>
  </si>
  <si>
    <t xml:space="preserve">泰山一　　　        </t>
  </si>
  <si>
    <t xml:space="preserve">TAISUN ENTERPRISE CO.,LTD.                        </t>
  </si>
  <si>
    <t xml:space="preserve">其祥一　　　        </t>
  </si>
  <si>
    <t xml:space="preserve">Kee Song Bio-Technology Holdings Limited          </t>
  </si>
  <si>
    <t xml:space="preserve">上曜二　　　        </t>
  </si>
  <si>
    <t xml:space="preserve">SUN YAD TECHNOLOGY CO.,LTD                        </t>
  </si>
  <si>
    <t xml:space="preserve">台翰一　　　        </t>
  </si>
  <si>
    <t xml:space="preserve">TAIHAN PRECISION TECHNOLOGY CO., LTD.             </t>
  </si>
  <si>
    <t xml:space="preserve">大魯一　　　        </t>
  </si>
  <si>
    <t xml:space="preserve">TAROKO TEXTILE CORP.                              </t>
  </si>
  <si>
    <t xml:space="preserve">大魯二　　　        </t>
  </si>
  <si>
    <t xml:space="preserve">名軒三　　　        </t>
  </si>
  <si>
    <t xml:space="preserve">ADVANCETEK ENTERPRISE CO.,LTD.                    </t>
  </si>
  <si>
    <t xml:space="preserve">得力一　　　        </t>
  </si>
  <si>
    <t xml:space="preserve">DE LICACY INDUSTRIAL CO., LTD.                    </t>
  </si>
  <si>
    <t xml:space="preserve">得力二　　　        </t>
  </si>
  <si>
    <t xml:space="preserve">聚隆二　　　        </t>
  </si>
  <si>
    <t xml:space="preserve">Acelon                                            </t>
  </si>
  <si>
    <t xml:space="preserve">聚隆三　　　        </t>
  </si>
  <si>
    <t xml:space="preserve">聚陽四　　　        </t>
  </si>
  <si>
    <t xml:space="preserve">Makalot Industrial Co., Ltd.                      </t>
  </si>
  <si>
    <t xml:space="preserve">正道一　　　        </t>
  </si>
  <si>
    <t xml:space="preserve">RIGHT WAY INDUSTRIAL CO.,LTD                      </t>
  </si>
  <si>
    <t xml:space="preserve">亞崴二　　　        </t>
  </si>
  <si>
    <t xml:space="preserve">Awea mechantronic co.,ltd                         </t>
  </si>
  <si>
    <t xml:space="preserve">捷邦一　　　        </t>
  </si>
  <si>
    <t xml:space="preserve">JaBon International Co.,Ltd.                      </t>
  </si>
  <si>
    <t xml:space="preserve">濱川五　　　        </t>
  </si>
  <si>
    <t xml:space="preserve">Bin Chuan Enterprise Co., Ltd.                    </t>
  </si>
  <si>
    <t xml:space="preserve">信錦二　　　        </t>
  </si>
  <si>
    <t xml:space="preserve">SYNCMOLD ENTERPRISE CORP.                         </t>
  </si>
  <si>
    <t xml:space="preserve">程泰一　　　        </t>
  </si>
  <si>
    <t xml:space="preserve">GOODWAY MACHINE CORP.                             </t>
  </si>
  <si>
    <t xml:space="preserve">和勤一　　　        </t>
  </si>
  <si>
    <t xml:space="preserve">CHINA FINEBLANKING TECHNOLOGY CO.,LTD.            </t>
  </si>
  <si>
    <t xml:space="preserve">永冠一　　　        </t>
  </si>
  <si>
    <t xml:space="preserve">Yeong Guan Energy Technology Group Co., Ltd.      </t>
  </si>
  <si>
    <t xml:space="preserve">永冠二　　　        </t>
  </si>
  <si>
    <t xml:space="preserve">祺驊一　　　        </t>
  </si>
  <si>
    <t xml:space="preserve">CHI HUA FITNESS CO.,LTD.                          </t>
  </si>
  <si>
    <t xml:space="preserve">川寶一　　　        </t>
  </si>
  <si>
    <t xml:space="preserve">Chime Ball Technology Co.,Ltd.                    </t>
  </si>
  <si>
    <t xml:space="preserve">中電二　　　        </t>
  </si>
  <si>
    <t xml:space="preserve">CHINA ELECTRIC MFG. CORPORATION                   </t>
  </si>
  <si>
    <t xml:space="preserve">艾美一　　　        </t>
  </si>
  <si>
    <t xml:space="preserve">Airmate (Cayman) International Co. Limited        </t>
  </si>
  <si>
    <t xml:space="preserve">葡萄一　　　        </t>
  </si>
  <si>
    <t xml:space="preserve">GRAPE KING BIO LTD                                </t>
  </si>
  <si>
    <t xml:space="preserve">和益一　　　        </t>
  </si>
  <si>
    <t xml:space="preserve">FORMOSAN UNION CHEMICAL CORP.                     </t>
  </si>
  <si>
    <t xml:space="preserve">興農一　　　        </t>
  </si>
  <si>
    <t xml:space="preserve">SINON CORPORATION                                 </t>
  </si>
  <si>
    <t xml:space="preserve">萬洲Ｅ１　　        </t>
  </si>
  <si>
    <t xml:space="preserve">ACHEM Technology Corporation                      </t>
  </si>
  <si>
    <t xml:space="preserve">萬洲一　　　        </t>
  </si>
  <si>
    <t xml:space="preserve">ACHEM Technology Corporation.                     </t>
  </si>
  <si>
    <t xml:space="preserve">萬洲二　　　        </t>
  </si>
  <si>
    <t xml:space="preserve">萬洲三　　　        </t>
  </si>
  <si>
    <t xml:space="preserve">花仙一              </t>
  </si>
  <si>
    <t xml:space="preserve">                                                  </t>
  </si>
  <si>
    <t xml:space="preserve">五鼎二　　　        </t>
  </si>
  <si>
    <t xml:space="preserve">Apex Biotechnology Corp.                          </t>
  </si>
  <si>
    <t xml:space="preserve">南光二　　　        </t>
  </si>
  <si>
    <t xml:space="preserve">NANG KUANG PHARMACECUTICAL CO., LTD               </t>
  </si>
  <si>
    <t xml:space="preserve">潤隆三　　　        </t>
  </si>
  <si>
    <t xml:space="preserve">RUN LONG CONSTRUCTION CO., LTD.                   </t>
  </si>
  <si>
    <t xml:space="preserve">富喬三　　　        </t>
  </si>
  <si>
    <t xml:space="preserve">FULLTECH FIBER GLASS CORP.                        </t>
  </si>
  <si>
    <t xml:space="preserve">富喬四　　　        </t>
  </si>
  <si>
    <t xml:space="preserve">榮成三　　　        </t>
  </si>
  <si>
    <t xml:space="preserve">Long Chen Paper Co.,Ltd.                          </t>
  </si>
  <si>
    <t xml:space="preserve">東鋼六　　　        </t>
  </si>
  <si>
    <t xml:space="preserve">Tung Ho Steel Enterprise Corp.                    </t>
  </si>
  <si>
    <t xml:space="preserve">新光四　　　        </t>
  </si>
  <si>
    <t xml:space="preserve">Hsin Kuang Steel co. LTD.,                        </t>
  </si>
  <si>
    <t xml:space="preserve">六暉一　　　        </t>
  </si>
  <si>
    <t xml:space="preserve">LU HAI HOLDING CORP.                              </t>
  </si>
  <si>
    <t xml:space="preserve">劍麟一　　　        </t>
  </si>
  <si>
    <t xml:space="preserve">IRON FORCE INDUSTRIAL CO.,                        </t>
  </si>
  <si>
    <t xml:space="preserve">為升一　　　        </t>
  </si>
  <si>
    <t xml:space="preserve">CUB ELECPARTS INC.                                </t>
  </si>
  <si>
    <t xml:space="preserve">友訊Ｅ１　　        </t>
  </si>
  <si>
    <t xml:space="preserve">D-LINK CORPORATION                                </t>
  </si>
  <si>
    <t xml:space="preserve">宏&amp;#30849;二　　　  </t>
  </si>
  <si>
    <t xml:space="preserve">ACER INCORPORATED                                 </t>
  </si>
  <si>
    <t xml:space="preserve">致茂二　　　        </t>
  </si>
  <si>
    <t xml:space="preserve">CHROMA ATE INC.                                   </t>
  </si>
  <si>
    <t xml:space="preserve">億光五　　　        </t>
  </si>
  <si>
    <t xml:space="preserve">Everlight Electronics Co., Ltd.                   </t>
  </si>
  <si>
    <t xml:space="preserve">億光六　　　        </t>
  </si>
  <si>
    <t xml:space="preserve">毅嘉二　　　        </t>
  </si>
  <si>
    <t xml:space="preserve">ICHIA TECHNOLOGIES, INC                           </t>
  </si>
  <si>
    <t xml:space="preserve">國碩Ｅ２　　        </t>
  </si>
  <si>
    <t xml:space="preserve">GIGASTORAGE CORPORATION                           </t>
  </si>
  <si>
    <t xml:space="preserve">國碩三　　　        </t>
  </si>
  <si>
    <t xml:space="preserve">鼎元八　　　        </t>
  </si>
  <si>
    <t xml:space="preserve">TYNTEK CORPORATION                                </t>
  </si>
  <si>
    <t xml:space="preserve">旺詮一　　　        </t>
  </si>
  <si>
    <t xml:space="preserve">RALEC ELECTRONIC CORPORATION                      </t>
  </si>
  <si>
    <t xml:space="preserve">美律一　　　        </t>
  </si>
  <si>
    <t xml:space="preserve">MERRY ELECTRONICS CO.,LTD.                        </t>
  </si>
  <si>
    <t xml:space="preserve">美齊二　　　        </t>
  </si>
  <si>
    <t xml:space="preserve">JEAN CO.,LTD                                      </t>
  </si>
  <si>
    <t xml:space="preserve">友旺二　　　        </t>
  </si>
  <si>
    <t xml:space="preserve">AboCom Systems,Inc.                               </t>
  </si>
  <si>
    <t xml:space="preserve">奇力四　　　        </t>
  </si>
  <si>
    <t xml:space="preserve">CHILISIN ELECTRONICS CORP                         </t>
  </si>
  <si>
    <t xml:space="preserve">飛宏一　　　        </t>
  </si>
  <si>
    <t xml:space="preserve">PHIHONG TECHNOLOGY CO., LTD.                      </t>
  </si>
  <si>
    <t xml:space="preserve">光群四　　　        </t>
  </si>
  <si>
    <t xml:space="preserve">K LASER TECHNOLOGY INC.                           </t>
  </si>
  <si>
    <t xml:space="preserve">光群五　　　        </t>
  </si>
  <si>
    <t xml:space="preserve">良得二　　　        </t>
  </si>
  <si>
    <t xml:space="preserve">TAIWAN LINE TEK ELECTRONIC CO.,LTD.               </t>
  </si>
  <si>
    <t xml:space="preserve">冠西二　　　        </t>
  </si>
  <si>
    <t xml:space="preserve">Cosmo Electronics Corporation                     </t>
  </si>
  <si>
    <t xml:space="preserve">大毅一　　　        </t>
  </si>
  <si>
    <t xml:space="preserve">TA-I TECHNOLOGY CO.,LTD                           </t>
  </si>
  <si>
    <t xml:space="preserve">強茂六　　　        </t>
  </si>
  <si>
    <t xml:space="preserve">PAN JIT INTERNATIONAL INC.                        </t>
  </si>
  <si>
    <t xml:space="preserve">強茂七　　　        </t>
  </si>
  <si>
    <t xml:space="preserve">一詮五　　　        </t>
  </si>
  <si>
    <t xml:space="preserve">I-CHIUN PRECISION INDUSTRY CO., LTD.              </t>
  </si>
  <si>
    <t xml:space="preserve">中工一　　　        </t>
  </si>
  <si>
    <t xml:space="preserve">BES Engineering Co.                               </t>
  </si>
  <si>
    <t xml:space="preserve">中工二　　　        </t>
  </si>
  <si>
    <t xml:space="preserve">皇普一　　　        </t>
  </si>
  <si>
    <t xml:space="preserve">CROWELL DEVELOPMENT CORP.                         </t>
  </si>
  <si>
    <t xml:space="preserve">達工二　　　        </t>
  </si>
  <si>
    <t xml:space="preserve">DA-CIN CONSTRUCTION CO.,LTD.                      </t>
  </si>
  <si>
    <t xml:space="preserve">達工三　　　        </t>
  </si>
  <si>
    <t xml:space="preserve">聯開五　　　        </t>
  </si>
  <si>
    <t xml:space="preserve">WE &amp; WIN Development Co., LTD                     </t>
  </si>
  <si>
    <t xml:space="preserve">基泰三　　　        </t>
  </si>
  <si>
    <t xml:space="preserve">Kee Tai Properties Co.,Ltd                        </t>
  </si>
  <si>
    <t xml:space="preserve">日勝四　　　        </t>
  </si>
  <si>
    <t xml:space="preserve">RADIUM LIFE TECH. CO.,LTD                         </t>
  </si>
  <si>
    <t xml:space="preserve">綠意二　　　        </t>
  </si>
  <si>
    <t xml:space="preserve">ReaLy Development &amp; Construction Corp.            </t>
  </si>
  <si>
    <t xml:space="preserve">益航一　　　        </t>
  </si>
  <si>
    <t xml:space="preserve">First Steamship Co., Ltd.                         </t>
  </si>
  <si>
    <t xml:space="preserve">益航二　　　        </t>
  </si>
  <si>
    <t xml:space="preserve">陽明四　　　        </t>
  </si>
  <si>
    <t xml:space="preserve">Yang Ming Marine Transport Corp.                  </t>
  </si>
  <si>
    <t xml:space="preserve">華航五　　　        </t>
  </si>
  <si>
    <t xml:space="preserve">China Airlines Ltd.                               </t>
  </si>
  <si>
    <t xml:space="preserve">中櫃一　　　        </t>
  </si>
  <si>
    <t xml:space="preserve">CHINA CONTAINER TERMINAL CORP                     </t>
  </si>
  <si>
    <t xml:space="preserve">中櫃二　　　        </t>
  </si>
  <si>
    <t xml:space="preserve">山隆三　　　        </t>
  </si>
  <si>
    <t xml:space="preserve">SHAN-LOONG TRANSPORTATION CO.,LTD                 </t>
  </si>
  <si>
    <t xml:space="preserve">台驊二　　　        </t>
  </si>
  <si>
    <t xml:space="preserve">T.H.I. Global Holdings Corp.                      </t>
  </si>
  <si>
    <t xml:space="preserve">台驊三　　　        </t>
  </si>
  <si>
    <t xml:space="preserve">T3EX Global Holdings Corp.                        </t>
  </si>
  <si>
    <t xml:space="preserve">慧洋一　　　        </t>
  </si>
  <si>
    <t xml:space="preserve">Wisdom Marine Lines Co., Limited.                 </t>
  </si>
  <si>
    <t xml:space="preserve">大車一　　　        </t>
  </si>
  <si>
    <t xml:space="preserve">TAIWAN TAXI CO.,LTD.                              </t>
  </si>
  <si>
    <t xml:space="preserve">正德一　　　        </t>
  </si>
  <si>
    <t xml:space="preserve">Franbo Lines Corp.                                </t>
  </si>
  <si>
    <t xml:space="preserve">正德二　　　        </t>
  </si>
  <si>
    <t xml:space="preserve">晶華一　　　        </t>
  </si>
  <si>
    <t xml:space="preserve">FORMOSA INTERNATIONAL HOTELS CORPORATION          </t>
  </si>
  <si>
    <t xml:space="preserve">富驛一　　　        </t>
  </si>
  <si>
    <t xml:space="preserve">FX HOTELS GROUP INC.                              </t>
  </si>
  <si>
    <t xml:space="preserve">雅茗一　　　        </t>
  </si>
  <si>
    <t xml:space="preserve">Yummy Town (Cayman) Holdings Corporation          </t>
  </si>
  <si>
    <t xml:space="preserve">六角一　　　        </t>
  </si>
  <si>
    <t xml:space="preserve">易飛一　　　        </t>
  </si>
  <si>
    <t xml:space="preserve">Ezfly International Travel Agent Co., Ltd.        </t>
  </si>
  <si>
    <t xml:space="preserve">台開一　　　        </t>
  </si>
  <si>
    <t xml:space="preserve">Taiwan Land Development Corporation               </t>
  </si>
  <si>
    <t xml:space="preserve">兆豐Ｅ２　　        </t>
  </si>
  <si>
    <t xml:space="preserve">Mega Financial Holding Company Ltd.               </t>
  </si>
  <si>
    <t xml:space="preserve">新金二　　　        </t>
  </si>
  <si>
    <t xml:space="preserve">Shin Kong Financial Holding Co.,Ltd.              </t>
  </si>
  <si>
    <t xml:space="preserve">新金三　　　        </t>
  </si>
  <si>
    <t xml:space="preserve">東凌二　　　        </t>
  </si>
  <si>
    <t xml:space="preserve">Cayman Tung Ling co., Limited                     </t>
  </si>
  <si>
    <t xml:space="preserve">東凌三　　　        </t>
  </si>
  <si>
    <t xml:space="preserve">華立二　　　        </t>
  </si>
  <si>
    <t xml:space="preserve">WAH LEE INDUSTRIAL CORP.                          </t>
  </si>
  <si>
    <t xml:space="preserve">同開一　　　        </t>
  </si>
  <si>
    <t xml:space="preserve">TUNG KAI TECHNOLOGY ENGINEERING CO.,LTD.          </t>
  </si>
  <si>
    <t xml:space="preserve">同開二　　　        </t>
  </si>
  <si>
    <t xml:space="preserve">信邦五　　　        </t>
  </si>
  <si>
    <t xml:space="preserve">SINBON ELECTRONICS CO.,LTD.                       </t>
  </si>
  <si>
    <t xml:space="preserve">零壹二　　　        </t>
  </si>
  <si>
    <t xml:space="preserve">Zero One Technology Co.,Ltd.                      </t>
  </si>
  <si>
    <t xml:space="preserve">宏傳二　　　        </t>
  </si>
  <si>
    <t xml:space="preserve">WELL COMMUNICATION CORP                           </t>
  </si>
  <si>
    <t xml:space="preserve">訊舟六　　　        </t>
  </si>
  <si>
    <t xml:space="preserve">EDIMAX TECHNOLOGY CO., LTD.                       </t>
  </si>
  <si>
    <t xml:space="preserve">益登一　　　        </t>
  </si>
  <si>
    <t xml:space="preserve">EDOM TECHNOLOGY CO., LTD.                         </t>
  </si>
  <si>
    <t xml:space="preserve">立萬三　　　        </t>
  </si>
  <si>
    <t xml:space="preserve">CARRY TECHNOLOGY CO., LTD.                        </t>
  </si>
  <si>
    <t xml:space="preserve">總太二　　　        </t>
  </si>
  <si>
    <t xml:space="preserve">ZongTai Real Estate Development Co., Ltd          </t>
  </si>
  <si>
    <t xml:space="preserve">華義一　　　        </t>
  </si>
  <si>
    <t xml:space="preserve">Wayi International Digital Entertainment Co.      </t>
  </si>
  <si>
    <t xml:space="preserve">昇銳一　　　        </t>
  </si>
  <si>
    <t xml:space="preserve">HI SHARP ELECTRONICS CO., LTD.                    </t>
  </si>
  <si>
    <t xml:space="preserve">正達一　　　        </t>
  </si>
  <si>
    <t xml:space="preserve">G-TECH Optoelectronics Corporation                </t>
  </si>
  <si>
    <t xml:space="preserve">正達二　　　        </t>
  </si>
  <si>
    <t xml:space="preserve">波若一　　　        </t>
  </si>
  <si>
    <t xml:space="preserve">Browave Corporation                               </t>
  </si>
  <si>
    <t xml:space="preserve">新洲一　　　        </t>
  </si>
  <si>
    <t xml:space="preserve">XIN CHIO GLOBAL CO., LTD.                         </t>
  </si>
  <si>
    <t xml:space="preserve">佰研一　　　        </t>
  </si>
  <si>
    <t xml:space="preserve">Sagittarius Life Science Corp.                    </t>
  </si>
  <si>
    <t xml:space="preserve">佰研二　　　        </t>
  </si>
  <si>
    <t xml:space="preserve">三顧二　　　        </t>
  </si>
  <si>
    <t xml:space="preserve">MetaTech (AP) Inc.                                </t>
  </si>
  <si>
    <t xml:space="preserve">光環一　　　        </t>
  </si>
  <si>
    <t xml:space="preserve">TrueLight Corporation                             </t>
  </si>
  <si>
    <t xml:space="preserve">光環二　　　        </t>
  </si>
  <si>
    <t xml:space="preserve">海灣二　　　        </t>
  </si>
  <si>
    <t xml:space="preserve">Haewan International Development Co.,Ltd          </t>
  </si>
  <si>
    <t xml:space="preserve">海灣三　　　        </t>
  </si>
  <si>
    <t xml:space="preserve">東碩一　　　        </t>
  </si>
  <si>
    <t xml:space="preserve">Good Way Technology Co., Ltd.                     </t>
  </si>
  <si>
    <t xml:space="preserve">點晶一　　　        </t>
  </si>
  <si>
    <t xml:space="preserve">SILICON TOUCH TECHNOLOGY INC.                     </t>
  </si>
  <si>
    <t xml:space="preserve">宜特三　　　        </t>
  </si>
  <si>
    <t xml:space="preserve">INTEGRATED SERVICE TECHNOLOGY INC.                </t>
  </si>
  <si>
    <t xml:space="preserve">帛漢四　　　        </t>
  </si>
  <si>
    <t xml:space="preserve">BOTHHAND ENTERPRISE INC.                          </t>
  </si>
  <si>
    <t xml:space="preserve">加百二　　　        </t>
  </si>
  <si>
    <t xml:space="preserve">Celxpert Energy Corporation                       </t>
  </si>
  <si>
    <t xml:space="preserve">旭品二　　　        </t>
  </si>
  <si>
    <t xml:space="preserve">Casing Macron Technology Co., Ltd.                </t>
  </si>
  <si>
    <t xml:space="preserve">泰碩一　　　        </t>
  </si>
  <si>
    <t xml:space="preserve">Taisol Electronics Co., Ltd.                      </t>
  </si>
  <si>
    <t xml:space="preserve">泰谷二　　　        </t>
  </si>
  <si>
    <t xml:space="preserve">TEKCORE CO., LTD                                  </t>
  </si>
  <si>
    <t xml:space="preserve">泰谷三　　　        </t>
  </si>
  <si>
    <t xml:space="preserve">新世五　　　        </t>
  </si>
  <si>
    <t xml:space="preserve">Genesis Photonics Inc.                            </t>
  </si>
  <si>
    <t xml:space="preserve">類比二　　　        </t>
  </si>
  <si>
    <t xml:space="preserve">Advanced Analog Technology Inc                    </t>
  </si>
  <si>
    <t xml:space="preserve">祥業二　　　        </t>
  </si>
  <si>
    <t xml:space="preserve">SAMYA TECHNOLOGY CO.,LTD                          </t>
  </si>
  <si>
    <t xml:space="preserve">崧騰一　　　        </t>
  </si>
  <si>
    <t xml:space="preserve">SOLTEAM ELECTRONICS CO.,LTD.                      </t>
  </si>
  <si>
    <t xml:space="preserve">誠研一　　　        </t>
  </si>
  <si>
    <t xml:space="preserve">HiTi Digital Inc.                                 </t>
  </si>
  <si>
    <t xml:space="preserve">昱晶一　　　        </t>
  </si>
  <si>
    <t xml:space="preserve">GINTECH ENERGY CORPORATION                        </t>
  </si>
  <si>
    <t xml:space="preserve">昱晶二　　　        </t>
  </si>
  <si>
    <t xml:space="preserve">凡甲二　　　        </t>
  </si>
  <si>
    <t xml:space="preserve">ALLTOP TECHNOLOGY CO.,LTD                         </t>
  </si>
  <si>
    <t xml:space="preserve">晶科二　　　        </t>
  </si>
  <si>
    <t xml:space="preserve">Favite, Inc.                                      </t>
  </si>
  <si>
    <t xml:space="preserve">敦泰一　　　        </t>
  </si>
  <si>
    <t xml:space="preserve">Orise Technology Co., Ltd.                        </t>
  </si>
  <si>
    <t xml:space="preserve">嘉威一　　　        </t>
  </si>
  <si>
    <t xml:space="preserve">Gamma Optical Co., LTD.                           </t>
  </si>
  <si>
    <t xml:space="preserve">其陽一　　　        </t>
  </si>
  <si>
    <t xml:space="preserve">AEWIN Technologies Co.,Ltd.                       </t>
  </si>
  <si>
    <t xml:space="preserve">新日一　　　        </t>
  </si>
  <si>
    <t xml:space="preserve">Neo Solar Power Corp.                             </t>
  </si>
  <si>
    <t xml:space="preserve">新日二　　　        </t>
  </si>
  <si>
    <t xml:space="preserve">友威一　　　        </t>
  </si>
  <si>
    <t xml:space="preserve">UVAT Technology Co., Ltd.                         </t>
  </si>
  <si>
    <t xml:space="preserve">磐儀一　　　        </t>
  </si>
  <si>
    <t xml:space="preserve">ARBOR Technology Corp.                            </t>
  </si>
  <si>
    <t xml:space="preserve">谷崧二　　　        </t>
  </si>
  <si>
    <t xml:space="preserve">Coxon Precise Industrial Co., Ltd                 </t>
  </si>
  <si>
    <t xml:space="preserve">東林一　　　        </t>
  </si>
  <si>
    <t xml:space="preserve">HEP TECH CO., LTD.                                </t>
  </si>
  <si>
    <t xml:space="preserve">鼎翰一　　　        </t>
  </si>
  <si>
    <t xml:space="preserve">TSC AUTO ID TECHNOLOGY CO., LTD.                  </t>
  </si>
  <si>
    <t xml:space="preserve">西勝一　　　        </t>
  </si>
  <si>
    <t xml:space="preserve">C-TECH UNITED CORP.                               </t>
  </si>
  <si>
    <t xml:space="preserve">晟楠一　　　        </t>
  </si>
  <si>
    <t xml:space="preserve">Chernan Metal Industrial Corp.                    </t>
  </si>
  <si>
    <t xml:space="preserve">樂陞三　　　        </t>
  </si>
  <si>
    <t xml:space="preserve">XPEC Entertainment Inc.                           </t>
  </si>
  <si>
    <t xml:space="preserve">樂陞四              </t>
  </si>
  <si>
    <t xml:space="preserve">樂陞五              </t>
  </si>
  <si>
    <t xml:space="preserve">鑫科一　　　        </t>
  </si>
  <si>
    <t xml:space="preserve">THINTECH MATERIALS TECHNOLOGY CO., LTD.           </t>
  </si>
  <si>
    <t xml:space="preserve">鑫科二　　　        </t>
  </si>
  <si>
    <t xml:space="preserve">貿聯二　　　        </t>
  </si>
  <si>
    <t xml:space="preserve">BizLink Holding Inc.                              </t>
  </si>
  <si>
    <t xml:space="preserve">家登一　　　        </t>
  </si>
  <si>
    <t xml:space="preserve">Gudeng Precision Industrial Co., LTD              </t>
  </si>
  <si>
    <t xml:space="preserve">碩禾一　　　        </t>
  </si>
  <si>
    <t xml:space="preserve">GIGASOLAR MATERIALS CORPORATION                   </t>
  </si>
  <si>
    <t xml:space="preserve">營邦一　　　        </t>
  </si>
  <si>
    <t xml:space="preserve">AIC Inc.                                          </t>
  </si>
  <si>
    <t xml:space="preserve">隆達一　　　        </t>
  </si>
  <si>
    <t xml:space="preserve">Lextar Electronics Corp.                          </t>
  </si>
  <si>
    <t xml:space="preserve">隆達二　　　        </t>
  </si>
  <si>
    <t xml:space="preserve">大聯一　　　        </t>
  </si>
  <si>
    <t xml:space="preserve">WPG HOLDINGS LIMITED                              </t>
  </si>
  <si>
    <t xml:space="preserve">漢磊一              </t>
  </si>
  <si>
    <t xml:space="preserve">佳醫五　　　        </t>
  </si>
  <si>
    <t xml:space="preserve">EXCELSIOR MEDICAL CO.,LTD                         </t>
  </si>
  <si>
    <t xml:space="preserve">加捷三　　　        </t>
  </si>
  <si>
    <t xml:space="preserve">Murad Chia Jei Biotechnology Co., Ltd.            </t>
  </si>
  <si>
    <t xml:space="preserve">聯上四　　　        </t>
  </si>
  <si>
    <t xml:space="preserve">WE&amp;WIN DIVERSIFICATION CO.,LTD.                   </t>
  </si>
  <si>
    <t xml:space="preserve">健喬五　　　        </t>
  </si>
  <si>
    <t xml:space="preserve">SYNMOSA BIOPHARMA CORPORATION                     </t>
  </si>
  <si>
    <t xml:space="preserve">旭富一　　　        </t>
  </si>
  <si>
    <t xml:space="preserve">SCI Pharmtech, Inc.                               </t>
  </si>
  <si>
    <t xml:space="preserve">晟德三　　　        </t>
  </si>
  <si>
    <t xml:space="preserve">Center Laboratories, Inc.                         </t>
  </si>
  <si>
    <t xml:space="preserve">健亞一　　　        </t>
  </si>
  <si>
    <t xml:space="preserve">Genovate Biotechnology Co., LTD.                  </t>
  </si>
  <si>
    <t xml:space="preserve">麗豐一　　　        </t>
  </si>
  <si>
    <t xml:space="preserve">CHLITINA HOLDING LIMITED                          </t>
  </si>
  <si>
    <t xml:space="preserve">曜亞二　　　        </t>
  </si>
  <si>
    <t xml:space="preserve">DYNAMIC MEDICAL TECHNOLOGIES INC.                 </t>
  </si>
  <si>
    <t xml:space="preserve">龍燈一　　　        </t>
  </si>
  <si>
    <t xml:space="preserve">Rotam Global AgroSciences Limited                 </t>
  </si>
  <si>
    <t xml:space="preserve">鈺緯一　　　        </t>
  </si>
  <si>
    <t xml:space="preserve">DIVA Laboratories, Ltd.                           </t>
  </si>
  <si>
    <t xml:space="preserve">鈺緯二　　　        </t>
  </si>
  <si>
    <t xml:space="preserve">聿新一　　　        </t>
  </si>
  <si>
    <t xml:space="preserve">BIOPTIK TECHNOLOGY, INC                           </t>
  </si>
  <si>
    <t xml:space="preserve">鐿鈦一　　　        </t>
  </si>
  <si>
    <t xml:space="preserve">INTAI TECHNOLOGY CORP.                            </t>
  </si>
  <si>
    <t xml:space="preserve">承業二　　　        </t>
  </si>
  <si>
    <t xml:space="preserve">CHC Healthcare Group                              </t>
  </si>
  <si>
    <t xml:space="preserve">炎洲六　　　        </t>
  </si>
  <si>
    <t xml:space="preserve">YEMCHIO.COM.LTD                                   </t>
  </si>
  <si>
    <t xml:space="preserve">炎洲七　　　        </t>
  </si>
  <si>
    <t xml:space="preserve">YEMCHIO COMPANY LTD.                              </t>
  </si>
  <si>
    <t xml:space="preserve">如興四　　　        </t>
  </si>
  <si>
    <t xml:space="preserve">ROO HSING CO., LTD                                </t>
  </si>
  <si>
    <t xml:space="preserve">三圓一　　　        </t>
  </si>
  <si>
    <t xml:space="preserve">SHANYUAN CO.,LTD                                  </t>
  </si>
  <si>
    <t xml:space="preserve">永彰一　　　        </t>
  </si>
  <si>
    <t xml:space="preserve">Taiwan Calsonic Co.,Ltd                           </t>
  </si>
  <si>
    <t xml:space="preserve">瑞智二　　　        </t>
  </si>
  <si>
    <t xml:space="preserve">RECHI PRECISION CO.,LTD.                          </t>
  </si>
  <si>
    <t xml:space="preserve">晟田一　　　        </t>
  </si>
  <si>
    <t xml:space="preserve">Magnate Technology Co.,Ltd                        </t>
  </si>
  <si>
    <t xml:space="preserve">晟田二　　　        </t>
  </si>
  <si>
    <t xml:space="preserve">揚華一　　　        </t>
  </si>
  <si>
    <t xml:space="preserve">YANG HWA TECHNOLOGY CORPORATION                   </t>
  </si>
  <si>
    <t xml:space="preserve">永捷三　　　        </t>
  </si>
  <si>
    <t xml:space="preserve">U-BEST POLYMER INDUSTRY CO.,LTD                   </t>
  </si>
  <si>
    <t xml:space="preserve">永捷四　　　        </t>
  </si>
  <si>
    <t xml:space="preserve">上緯一　　　        </t>
  </si>
  <si>
    <t xml:space="preserve">SWANCOR.IND.CO.,LTD                               </t>
  </si>
  <si>
    <t xml:space="preserve">上緯二　　　        </t>
  </si>
  <si>
    <t xml:space="preserve">豪展一　　　        </t>
  </si>
  <si>
    <t xml:space="preserve">Avita Corporation                                 </t>
  </si>
  <si>
    <t xml:space="preserve">泰博二　　　        </t>
  </si>
  <si>
    <t xml:space="preserve">Taidoc Technology Corporation                     </t>
  </si>
  <si>
    <t xml:space="preserve">康普一　　　        </t>
  </si>
  <si>
    <t xml:space="preserve">Coremax Corporation                               </t>
  </si>
  <si>
    <t xml:space="preserve">康普二　　　        </t>
  </si>
  <si>
    <t xml:space="preserve">合富一　　　        </t>
  </si>
  <si>
    <t xml:space="preserve">Cowealth Medical Holding Co., Ltd.                </t>
  </si>
  <si>
    <t xml:space="preserve">台耀二　　　        </t>
  </si>
  <si>
    <t xml:space="preserve">Formosa Laboratories, Inc.                        </t>
  </si>
  <si>
    <t xml:space="preserve">正文三　　　        </t>
  </si>
  <si>
    <t xml:space="preserve">GEMTEK TECHNOLOGY Co.,Ltd                         </t>
  </si>
  <si>
    <t xml:space="preserve">事欣一　　　        </t>
  </si>
  <si>
    <t xml:space="preserve">PARPRO CORPORATION                                </t>
  </si>
  <si>
    <t xml:space="preserve">泰鼎二　　　        </t>
  </si>
  <si>
    <t xml:space="preserve">Apex International Co., Ltd.                      </t>
  </si>
  <si>
    <t xml:space="preserve">友輝一　　　        </t>
  </si>
  <si>
    <t xml:space="preserve">UBRIGHT OPTRONICS CORPORATION                     </t>
  </si>
  <si>
    <t xml:space="preserve">亞電二　　　        </t>
  </si>
  <si>
    <t xml:space="preserve">Asia Electronic Material Co., Ltd.                </t>
  </si>
  <si>
    <t xml:space="preserve">兆遠一　　　        </t>
  </si>
  <si>
    <t xml:space="preserve">CRYSTALWISE TECHNOLOGY INC.                       </t>
  </si>
  <si>
    <t xml:space="preserve">光鋐一　　　        </t>
  </si>
  <si>
    <t xml:space="preserve">Epileds Technologies, Inc.                        </t>
  </si>
  <si>
    <t xml:space="preserve">亞泰二　　　        </t>
  </si>
  <si>
    <t xml:space="preserve">ASIA TECH IMAGE INC.                              </t>
  </si>
  <si>
    <t xml:space="preserve">華星一　　　        </t>
  </si>
  <si>
    <t xml:space="preserve">LuxNet Corporation                                </t>
  </si>
  <si>
    <t xml:space="preserve">環宇一　　　        </t>
  </si>
  <si>
    <t xml:space="preserve">GCS Holdings, Inc.                                </t>
  </si>
  <si>
    <t xml:space="preserve">環宇二　　　        </t>
  </si>
  <si>
    <t xml:space="preserve">晶達一　　　        </t>
  </si>
  <si>
    <t xml:space="preserve">亞昕三　　　        </t>
  </si>
  <si>
    <t xml:space="preserve">YeaShin International Development Co., Ltd.       </t>
  </si>
  <si>
    <t xml:space="preserve">亞昕四　　　        </t>
  </si>
  <si>
    <t xml:space="preserve">亞昕五　　　        </t>
  </si>
  <si>
    <t xml:space="preserve">亞昕六　　　        </t>
  </si>
  <si>
    <t xml:space="preserve">科嘉一　　　        </t>
  </si>
  <si>
    <t xml:space="preserve">KO JA (CAYMAN) CO., LTD.                          </t>
  </si>
  <si>
    <t xml:space="preserve">雷笛一　　　        </t>
  </si>
  <si>
    <t xml:space="preserve">LEDLINK OPTICS,INC                                </t>
  </si>
  <si>
    <t xml:space="preserve">雷笛二　　　        </t>
  </si>
  <si>
    <t xml:space="preserve">清惠一　　　        </t>
  </si>
  <si>
    <t xml:space="preserve">CANDMARK ELECTROPTICS CO., LTD.                   </t>
  </si>
  <si>
    <t xml:space="preserve">經寶一　　　        </t>
  </si>
  <si>
    <t xml:space="preserve">JPP HOLDING COMPANY LIMITED                       </t>
  </si>
  <si>
    <t xml:space="preserve">界霖一　　　        </t>
  </si>
  <si>
    <t xml:space="preserve">Jih Lin Technology Co., Ltd.                      </t>
  </si>
  <si>
    <t xml:space="preserve">宜鼎一　　　        </t>
  </si>
  <si>
    <t xml:space="preserve">Innodisk Corporation                              </t>
  </si>
  <si>
    <t xml:space="preserve">系統三　　　        </t>
  </si>
  <si>
    <t xml:space="preserve">SYSGRATION LTD.                                   </t>
  </si>
  <si>
    <t xml:space="preserve">中磊四　　　        </t>
  </si>
  <si>
    <t xml:space="preserve">SERCOMM CORP.                                     </t>
  </si>
  <si>
    <t xml:space="preserve">中磊五　　　        </t>
  </si>
  <si>
    <t xml:space="preserve">應華四　　　        </t>
  </si>
  <si>
    <t xml:space="preserve">AVY Precision Technology INC.                     </t>
  </si>
  <si>
    <t xml:space="preserve">德宏四　　　        </t>
  </si>
  <si>
    <t xml:space="preserve">GLOTECH INDUSTRIAL CORP                           </t>
  </si>
  <si>
    <t xml:space="preserve">德宏五　　　        </t>
  </si>
  <si>
    <t xml:space="preserve">德宏七　　　        </t>
  </si>
  <si>
    <t xml:space="preserve">德宏八　　　        </t>
  </si>
  <si>
    <t xml:space="preserve">德宏九　　　        </t>
  </si>
  <si>
    <t xml:space="preserve">連展三　　　        </t>
  </si>
  <si>
    <t xml:space="preserve">ADVANCED-CONNECTEK INC.                           </t>
  </si>
  <si>
    <t xml:space="preserve">隆大一　　　        </t>
  </si>
  <si>
    <t xml:space="preserve">LongDa Construction &amp; Development Corporation     </t>
  </si>
  <si>
    <t xml:space="preserve">隆大二　　　        </t>
  </si>
  <si>
    <t xml:space="preserve">遠雄六　　　        </t>
  </si>
  <si>
    <t xml:space="preserve">Farglory Land Development Co., Ltd                </t>
  </si>
  <si>
    <t xml:space="preserve">志嘉一　　　        </t>
  </si>
  <si>
    <t xml:space="preserve">Well Glory Development CO.,LTD.                   </t>
  </si>
  <si>
    <t xml:space="preserve">長虹三　　　        </t>
  </si>
  <si>
    <t xml:space="preserve">CHONG HONG CONSTRUCTION CO., LTD.                 </t>
  </si>
  <si>
    <t xml:space="preserve">四維四　　　        </t>
  </si>
  <si>
    <t xml:space="preserve">SHIH WEI NAVIGATION CO., LTD                      </t>
  </si>
  <si>
    <t xml:space="preserve">四維五　　　        </t>
  </si>
  <si>
    <t xml:space="preserve">南仁三　　　        </t>
  </si>
  <si>
    <t xml:space="preserve">NAN REN Hu LEISURE AMUSEMENT CO., LTD.            </t>
  </si>
  <si>
    <t xml:space="preserve">瑞傳三　　　        </t>
  </si>
  <si>
    <t xml:space="preserve">Portwell, Inc.                                    </t>
  </si>
  <si>
    <t xml:space="preserve">華美一　　　        </t>
  </si>
  <si>
    <t xml:space="preserve">SINO-AMERICAN ELECTRONICS CO., LTD                </t>
  </si>
  <si>
    <t xml:space="preserve">鎰勝三　　　        </t>
  </si>
  <si>
    <t xml:space="preserve">I-SHENG ELECTRIC WIRE &amp; CABLE CO., LTD.           </t>
  </si>
  <si>
    <t xml:space="preserve">九豪四　　　        </t>
  </si>
  <si>
    <t xml:space="preserve">LEATEC FINE CERAMICS CO., LTD.                    </t>
  </si>
  <si>
    <t xml:space="preserve">悠克二　　　        </t>
  </si>
  <si>
    <t xml:space="preserve">YOKO TECHNOLOGY CORP.                             </t>
  </si>
  <si>
    <t xml:space="preserve">萬旭一　　　        </t>
  </si>
  <si>
    <t xml:space="preserve">WanShih Electronic Co., Ltd.                      </t>
  </si>
  <si>
    <t xml:space="preserve">亞翔三　　　        </t>
  </si>
  <si>
    <t xml:space="preserve">L &amp; K ENGINEERING CO., LTD.                       </t>
  </si>
  <si>
    <t xml:space="preserve">耕興二　　　        </t>
  </si>
  <si>
    <t xml:space="preserve">SPORTON INTERNATIONAL INC.                        </t>
  </si>
  <si>
    <t xml:space="preserve">嘉聯四　　　        </t>
  </si>
  <si>
    <t xml:space="preserve">Career Technology (MFG.) Co., Ltd                 </t>
  </si>
  <si>
    <t xml:space="preserve">宏齊四　　　        </t>
  </si>
  <si>
    <t xml:space="preserve">HARVATEK CORPORATION                              </t>
  </si>
  <si>
    <t xml:space="preserve">瑞儀一　　　        </t>
  </si>
  <si>
    <t xml:space="preserve">RADIANT OPTO-ELECTRONICS CORP.                    </t>
  </si>
  <si>
    <t xml:space="preserve">達麗四　　　        </t>
  </si>
  <si>
    <t xml:space="preserve">DA-LI CONSTRUCTION CO., LTD.                      </t>
  </si>
  <si>
    <t xml:space="preserve">達麗五　　　        </t>
  </si>
  <si>
    <t xml:space="preserve">DA-LI DEVELOPMENT CO.,LTD.                        </t>
  </si>
  <si>
    <t xml:space="preserve">達麗六　　　        </t>
  </si>
  <si>
    <t xml:space="preserve">橘子一　　　        </t>
  </si>
  <si>
    <t xml:space="preserve">GAMANIA DIGITAL ENTERTAINMENT CO.,LTD.            </t>
  </si>
  <si>
    <t xml:space="preserve">合晶五　　　        </t>
  </si>
  <si>
    <t xml:space="preserve">WAFER WORKS CORPORATION                           </t>
  </si>
  <si>
    <t xml:space="preserve">大豐一　　　        </t>
  </si>
  <si>
    <t xml:space="preserve">Dafeng TV Ltd.                                    </t>
  </si>
  <si>
    <t xml:space="preserve">大豐二　　　        </t>
  </si>
  <si>
    <t xml:space="preserve">萬泰四　　　        </t>
  </si>
  <si>
    <t xml:space="preserve">WONDERFUL HI-TECH CO., LTD.                       </t>
  </si>
  <si>
    <t xml:space="preserve">富旺一　　　        </t>
  </si>
  <si>
    <t xml:space="preserve">FULL WANG INTERNATIONAL DEVELOPMENT CO.,LTD.      </t>
  </si>
  <si>
    <t xml:space="preserve">富旺三　　　        </t>
  </si>
  <si>
    <t xml:space="preserve">岳豐六　　　        </t>
  </si>
  <si>
    <t xml:space="preserve">YFC-BonEagle ELECTRIC CO.,LTD                     </t>
  </si>
  <si>
    <t xml:space="preserve">岳豐七　　　        </t>
  </si>
  <si>
    <t xml:space="preserve">旺矽三　　　        </t>
  </si>
  <si>
    <t xml:space="preserve">MPI CORPORATION                                   </t>
  </si>
  <si>
    <t xml:space="preserve">光鼎四　　　        </t>
  </si>
  <si>
    <t xml:space="preserve">Para Light Electronics Co., Ltd.                  </t>
  </si>
  <si>
    <t xml:space="preserve">勝麗三　　　        </t>
  </si>
  <si>
    <t xml:space="preserve">Kingpak Technology Inc.                           </t>
  </si>
  <si>
    <t xml:space="preserve">勝麗四　　　        </t>
  </si>
  <si>
    <t xml:space="preserve">立端二　　　        </t>
  </si>
  <si>
    <t xml:space="preserve">Lanner Electronics Inc.                           </t>
  </si>
  <si>
    <t xml:space="preserve">富裔一　　　        </t>
  </si>
  <si>
    <t xml:space="preserve">DSG TECHNOLOGY, INC.                              </t>
  </si>
  <si>
    <t xml:space="preserve">台郡三　　　        </t>
  </si>
  <si>
    <t xml:space="preserve">FLEXIUM INTERCONNECT INC                          </t>
  </si>
  <si>
    <t xml:space="preserve">同欣一　　　        </t>
  </si>
  <si>
    <t xml:space="preserve">TONG HSING ELECTRONIC INDUSTRIES ,LTD.            </t>
  </si>
  <si>
    <t xml:space="preserve">元山四　　　        </t>
  </si>
  <si>
    <t xml:space="preserve">YEN SUN TECHNOLOGY CORP                           </t>
  </si>
  <si>
    <t xml:space="preserve">佳邦二　　　        </t>
  </si>
  <si>
    <t xml:space="preserve">INPAQ TECHNOLOGY CO., LTD.                        </t>
  </si>
  <si>
    <t xml:space="preserve">啟&amp;#30849;二　　　  </t>
  </si>
  <si>
    <t xml:space="preserve">元隆四　　　        </t>
  </si>
  <si>
    <t xml:space="preserve">Advanced Microelectronic Products Inc.            </t>
  </si>
  <si>
    <t xml:space="preserve">良維五　　　        </t>
  </si>
  <si>
    <t xml:space="preserve">LONGWELL COMPANY                                  </t>
  </si>
  <si>
    <t xml:space="preserve">樺漢一　　　        </t>
  </si>
  <si>
    <t xml:space="preserve">ENNOCONN CORPORATION                              </t>
  </si>
  <si>
    <t xml:space="preserve">聚和四　　　        </t>
  </si>
  <si>
    <t xml:space="preserve">TAIWAN HOPAX CHEMS.MFG.CO.,LTD.                   </t>
  </si>
  <si>
    <t xml:space="preserve">富鑫二　　　        </t>
  </si>
  <si>
    <t xml:space="preserve">FU CHUN SHIN MACHINERY MANUFACTURE CO., LTD.      </t>
  </si>
  <si>
    <t xml:space="preserve">興航一　　　        </t>
  </si>
  <si>
    <t xml:space="preserve">TRANSASIA AIRWAYS CORPORATION                     </t>
  </si>
  <si>
    <t xml:space="preserve">鈦昇一　　　        </t>
  </si>
  <si>
    <t xml:space="preserve">E&amp;R ENGINEERING CORPORATION                       </t>
  </si>
  <si>
    <t xml:space="preserve">長園一　　　        </t>
  </si>
  <si>
    <t xml:space="preserve">CHANGS ASCENDING ENTERPRISE CO., LTD.             </t>
  </si>
  <si>
    <t xml:space="preserve">金電三　　　        </t>
  </si>
  <si>
    <t xml:space="preserve">TAIWAN CHINSAN ELECTRONIC INDUSTRIAL CO., LTD     </t>
  </si>
  <si>
    <t xml:space="preserve">金電四　　　        </t>
  </si>
  <si>
    <t xml:space="preserve">廣積四　　　        </t>
  </si>
  <si>
    <t xml:space="preserve">IBASE TECHNOLOGY INC.                             </t>
  </si>
  <si>
    <t xml:space="preserve">鉅橡五　　　        </t>
  </si>
  <si>
    <t xml:space="preserve">AURONA INDUSTRIES, INC                            </t>
  </si>
  <si>
    <t xml:space="preserve">華東一　　　        </t>
  </si>
  <si>
    <t xml:space="preserve">WALTON ADVANCED ENGINEERING, INC.                 </t>
  </si>
  <si>
    <t xml:space="preserve">振樺一　　　        </t>
  </si>
  <si>
    <t xml:space="preserve">POSIFLEX TECHNOLOGY, INC.                         </t>
  </si>
  <si>
    <t xml:space="preserve">正淩一　　　        </t>
  </si>
  <si>
    <t xml:space="preserve">NEXTRONICS ENGINEERING CORP.                      </t>
  </si>
  <si>
    <t xml:space="preserve">天宇二　　　        </t>
  </si>
  <si>
    <t xml:space="preserve">Formosa Electronic Industries Inc.                </t>
  </si>
  <si>
    <t xml:space="preserve">商丞三　　　        </t>
  </si>
  <si>
    <t xml:space="preserve">UNIFOSA CORP.                                     </t>
  </si>
  <si>
    <t xml:space="preserve">&amp;#24658;耀二　　　  </t>
  </si>
  <si>
    <t xml:space="preserve">QST INTERNATIONAL CORP.                           </t>
  </si>
  <si>
    <t xml:space="preserve">白紗一　　　        </t>
  </si>
  <si>
    <t xml:space="preserve">BAI SHA TECHNOLOGY CO., LTD.                      </t>
  </si>
  <si>
    <t xml:space="preserve">盛弘二　　　        </t>
  </si>
  <si>
    <t xml:space="preserve">SHAREHOPE MEDICINE CO., LTD.                      </t>
  </si>
  <si>
    <t xml:space="preserve">金可一　　　        </t>
  </si>
  <si>
    <t xml:space="preserve">Ginko International Co., Ltd.                     </t>
  </si>
  <si>
    <t xml:space="preserve">褔貞一　　　        </t>
  </si>
  <si>
    <t xml:space="preserve">KINGCAN HOLDINGS LIMITED                          </t>
  </si>
  <si>
    <t xml:space="preserve">旭源一　　　        </t>
  </si>
  <si>
    <t xml:space="preserve">XU YUAN PACKAGING TECHNOLOGY CO., LTD.            </t>
  </si>
  <si>
    <t xml:space="preserve">金麗一　　　        </t>
  </si>
  <si>
    <t xml:space="preserve">Jinli Group Holdings Limited                      </t>
  </si>
  <si>
    <t xml:space="preserve">匯鑽一　　　        </t>
  </si>
  <si>
    <t xml:space="preserve">Superior Plating Technology Co., Ltd.             </t>
  </si>
  <si>
    <t xml:space="preserve">大江一　　　        </t>
  </si>
  <si>
    <t xml:space="preserve">TCI CO.,Ltd                                       </t>
  </si>
  <si>
    <t xml:space="preserve">霹靂一　　　        </t>
  </si>
  <si>
    <t xml:space="preserve">Pili International Multimedia Co.,Ltd.            </t>
  </si>
  <si>
    <t xml:space="preserve">愛地二　　　        </t>
  </si>
  <si>
    <t xml:space="preserve">IDEAL BIKE CORPORATION                            </t>
  </si>
  <si>
    <t xml:space="preserve">愛地三　　　        </t>
  </si>
  <si>
    <t xml:space="preserve">國統四　　　        </t>
  </si>
  <si>
    <t xml:space="preserve">KUO TOONG INTERNATIONAL CO.,LTD.                  </t>
  </si>
  <si>
    <t xml:space="preserve">森鉅四　　　        </t>
  </si>
  <si>
    <t xml:space="preserve">Xxentria Technology Materials Co.,Ltd             </t>
  </si>
  <si>
    <t xml:space="preserve">高力三　　　        </t>
  </si>
  <si>
    <t xml:space="preserve">KAORI HEAT TREATMENT CO.,LTD                      </t>
  </si>
  <si>
    <t xml:space="preserve">鈺齊一　　　        </t>
  </si>
  <si>
    <t xml:space="preserve">Fulgent Sun International (Holding) Co., Ltd.     </t>
  </si>
  <si>
    <t xml:space="preserve">鈺齊二　　　        </t>
  </si>
  <si>
    <t xml:space="preserve">成霖二　　　        </t>
  </si>
  <si>
    <t xml:space="preserve">GLOBE UNION INDUSTRIAL CORP                       </t>
  </si>
  <si>
    <t xml:space="preserve">宏全一　　　        </t>
  </si>
  <si>
    <t xml:space="preserve">TAIWAN HON CHUAN ENTERPRISE CO.,LTD.              </t>
  </si>
  <si>
    <t xml:space="preserve">裕融一　　　        </t>
  </si>
  <si>
    <t xml:space="preserve">TAIWAN ACCEPTANCE CORPORATION                     </t>
  </si>
  <si>
    <t xml:space="preserve">新麗二　　　        </t>
  </si>
  <si>
    <t xml:space="preserve">SHINIH ENTERPRISE CO., LTD.                       </t>
  </si>
  <si>
    <t xml:space="preserve"> </t>
  </si>
  <si>
    <t>機構代碼</t>
    <phoneticPr fontId="2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</si>
  <si>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5" tint="0.59999389629810485"/>
        <rFont val="微軟正黑體"/>
        <family val="2"/>
        <charset val="136"/>
      </rPr>
      <t>淨利率</t>
    </r>
    <r>
      <rPr>
        <b/>
        <sz val="16"/>
        <color rgb="FFFFFF00"/>
        <rFont val="微軟正黑體"/>
        <family val="2"/>
        <charset val="136"/>
      </rPr>
      <t>/最新三個月營收</t>
    </r>
    <phoneticPr fontId="2" type="noConversion"/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</si>
  <si>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</si>
  <si>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</si>
  <si>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</si>
  <si>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</si>
  <si>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</si>
  <si>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</si>
  <si>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</si>
  <si>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</si>
  <si>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</si>
  <si>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</si>
  <si>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</si>
  <si>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</si>
  <si>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</si>
  <si>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</si>
  <si>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</si>
  <si>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</si>
  <si>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</si>
  <si>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</si>
  <si>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</si>
  <si>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</si>
  <si>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一蘭子</t>
    <phoneticPr fontId="2" type="noConversion"/>
  </si>
  <si>
    <t>預估本益比</t>
    <phoneticPr fontId="2" type="noConversion"/>
  </si>
  <si>
    <t>現金股利</t>
    <phoneticPr fontId="2" type="noConversion"/>
  </si>
  <si>
    <t>股票股利</t>
    <phoneticPr fontId="2" type="noConversion"/>
  </si>
  <si>
    <t>財報評分</t>
    <phoneticPr fontId="2" type="noConversion"/>
  </si>
  <si>
    <t>0800</t>
    <phoneticPr fontId="2" type="noConversion"/>
  </si>
  <si>
    <t>1650</t>
    <phoneticPr fontId="2" type="noConversion"/>
  </si>
  <si>
    <t>1520</t>
    <phoneticPr fontId="2" type="noConversion"/>
  </si>
  <si>
    <t>0820</t>
    <phoneticPr fontId="2" type="noConversion"/>
  </si>
  <si>
    <t>0550</t>
    <phoneticPr fontId="2" type="noConversion"/>
  </si>
  <si>
    <t>8440</t>
    <phoneticPr fontId="2" type="noConversion"/>
  </si>
  <si>
    <t>0190</t>
    <phoneticPr fontId="2" type="noConversion"/>
  </si>
  <si>
    <t>8890</t>
    <phoneticPr fontId="2" type="noConversion"/>
  </si>
  <si>
    <t>8910</t>
    <phoneticPr fontId="2" type="noConversion"/>
  </si>
  <si>
    <t>1470</t>
    <phoneticPr fontId="2" type="noConversion"/>
  </si>
  <si>
    <t>1380</t>
    <phoneticPr fontId="2" type="noConversion"/>
  </si>
  <si>
    <t>0180</t>
    <phoneticPr fontId="2" type="noConversion"/>
  </si>
  <si>
    <t>8900</t>
    <phoneticPr fontId="2" type="noConversion"/>
  </si>
  <si>
    <t>0790</t>
    <phoneticPr fontId="2" type="noConversion"/>
  </si>
  <si>
    <t>1590</t>
    <phoneticPr fontId="2" type="noConversion"/>
  </si>
  <si>
    <t>1440</t>
    <phoneticPr fontId="2" type="noConversion"/>
  </si>
  <si>
    <t>0910</t>
    <phoneticPr fontId="2" type="noConversion"/>
  </si>
  <si>
    <t>1480</t>
    <phoneticPr fontId="2" type="noConversion"/>
  </si>
  <si>
    <t>0840</t>
    <phoneticPr fontId="2" type="noConversion"/>
  </si>
  <si>
    <t>8960</t>
    <phoneticPr fontId="2" type="noConversion"/>
  </si>
  <si>
    <t>0160</t>
    <phoneticPr fontId="2" type="noConversion"/>
  </si>
  <si>
    <t>1570</t>
    <phoneticPr fontId="2" type="noConversion"/>
  </si>
  <si>
    <t>0850</t>
    <phoneticPr fontId="2" type="noConversion"/>
  </si>
  <si>
    <t>1560</t>
    <phoneticPr fontId="2" type="noConversion"/>
  </si>
  <si>
    <t>1360</t>
    <phoneticPr fontId="2" type="noConversion"/>
  </si>
  <si>
    <t>1530</t>
    <phoneticPr fontId="2" type="noConversion"/>
  </si>
  <si>
    <t>1660</t>
    <phoneticPr fontId="2" type="noConversion"/>
  </si>
  <si>
    <t>外資代碼</t>
    <phoneticPr fontId="2" type="noConversion"/>
  </si>
  <si>
    <t>全數清單</t>
    <phoneticPr fontId="15" type="noConversion"/>
  </si>
  <si>
    <t>6010</t>
    <phoneticPr fontId="2" type="noConversion"/>
  </si>
  <si>
    <t>5050</t>
    <phoneticPr fontId="2" type="noConversion"/>
  </si>
  <si>
    <t>6530</t>
    <phoneticPr fontId="2" type="noConversion"/>
  </si>
  <si>
    <t>5260</t>
    <phoneticPr fontId="2" type="noConversion"/>
  </si>
  <si>
    <t>6160</t>
    <phoneticPr fontId="2" type="noConversion"/>
  </si>
  <si>
    <t>9800</t>
    <phoneticPr fontId="2" type="noConversion"/>
  </si>
  <si>
    <t>5920</t>
    <phoneticPr fontId="2" type="noConversion"/>
  </si>
  <si>
    <t>1160</t>
    <phoneticPr fontId="2" type="noConversion"/>
  </si>
  <si>
    <t>6110</t>
    <phoneticPr fontId="2" type="noConversion"/>
  </si>
  <si>
    <t>8150</t>
    <phoneticPr fontId="2" type="noConversion"/>
  </si>
  <si>
    <t>1090</t>
    <phoneticPr fontId="2" type="noConversion"/>
  </si>
  <si>
    <t>9A00</t>
    <phoneticPr fontId="2" type="noConversion"/>
  </si>
  <si>
    <t>8840</t>
    <phoneticPr fontId="2" type="noConversion"/>
  </si>
  <si>
    <t>7000</t>
    <phoneticPr fontId="2" type="noConversion"/>
  </si>
  <si>
    <t>1020</t>
    <phoneticPr fontId="2" type="noConversion"/>
  </si>
  <si>
    <t>1260</t>
    <phoneticPr fontId="2" type="noConversion"/>
  </si>
  <si>
    <t>2180</t>
    <phoneticPr fontId="2" type="noConversion"/>
  </si>
  <si>
    <t>7030</t>
    <phoneticPr fontId="2" type="noConversion"/>
  </si>
  <si>
    <t>8880</t>
    <phoneticPr fontId="2" type="noConversion"/>
  </si>
  <si>
    <t>7790</t>
    <phoneticPr fontId="2" type="noConversion"/>
  </si>
  <si>
    <t>8450</t>
    <phoneticPr fontId="2" type="noConversion"/>
  </si>
  <si>
    <t>5380</t>
    <phoneticPr fontId="2" type="noConversion"/>
  </si>
  <si>
    <t>5850</t>
    <phoneticPr fontId="2" type="noConversion"/>
  </si>
  <si>
    <t>9200</t>
    <phoneticPr fontId="2" type="noConversion"/>
  </si>
  <si>
    <t>9600</t>
    <phoneticPr fontId="2" type="noConversion"/>
  </si>
  <si>
    <t>5110</t>
    <phoneticPr fontId="2" type="noConversion"/>
  </si>
  <si>
    <t>9300</t>
    <phoneticPr fontId="2" type="noConversion"/>
  </si>
  <si>
    <t>8560</t>
    <phoneticPr fontId="2" type="noConversion"/>
  </si>
  <si>
    <t>9100</t>
    <phoneticPr fontId="2" type="noConversion"/>
  </si>
  <si>
    <t>6480</t>
    <phoneticPr fontId="2" type="noConversion"/>
  </si>
  <si>
    <t>1040</t>
    <phoneticPr fontId="2" type="noConversion"/>
  </si>
  <si>
    <t>6910</t>
    <phoneticPr fontId="2" type="noConversion"/>
  </si>
  <si>
    <t>營收預估</t>
    <phoneticPr fontId="2" type="noConversion"/>
  </si>
  <si>
    <t>季比較</t>
    <phoneticPr fontId="2" type="noConversion"/>
  </si>
  <si>
    <t>營收比較</t>
    <phoneticPr fontId="2" type="noConversion"/>
  </si>
  <si>
    <t>後半月</t>
    <phoneticPr fontId="2" type="noConversion"/>
  </si>
  <si>
    <t>前天</t>
    <phoneticPr fontId="2" type="noConversion"/>
  </si>
  <si>
    <t>昨天</t>
    <phoneticPr fontId="2" type="noConversion"/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</si>
  <si>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</si>
  <si>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</si>
  <si>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</si>
  <si>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</si>
  <si>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</si>
  <si>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</si>
  <si>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</si>
  <si>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105/01</t>
  </si>
  <si>
    <t>104/12</t>
  </si>
  <si>
    <t>104/11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</si>
  <si>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</si>
  <si>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</si>
  <si>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</si>
  <si>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</si>
  <si>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</si>
  <si>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</si>
  <si>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</si>
  <si>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</si>
  <si>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</si>
  <si>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</si>
  <si>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</si>
  <si>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</si>
  <si>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</si>
  <si>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</si>
  <si>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</si>
  <si>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</si>
  <si>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</si>
  <si>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</si>
  <si>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</si>
  <si>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</si>
  <si>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</si>
  <si>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</si>
  <si>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</si>
  <si>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</si>
  <si>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</si>
  <si>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</si>
  <si>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</si>
  <si>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</si>
  <si>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</si>
  <si>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</si>
  <si>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</si>
  <si>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</si>
  <si>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</si>
  <si>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</si>
  <si>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</si>
  <si>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</si>
  <si>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</si>
  <si>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</si>
  <si>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</si>
  <si>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</si>
  <si>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</si>
  <si>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</si>
  <si>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</si>
  <si>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</si>
  <si>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說明：自2013年起上市櫃公司因IFRSs會計準則規範，每月公告的營收必須是合併營收，不再公告非合併營收。2012年(含)前，合併營收是採自願公告。</t>
  </si>
  <si>
    <t>可轉換公司債資訊</t>
  </si>
  <si>
    <t>當天</t>
    <phoneticPr fontId="2" type="noConversion"/>
  </si>
  <si>
    <t>明天???</t>
    <phoneticPr fontId="2" type="noConversion"/>
  </si>
  <si>
    <t>前半月</t>
    <phoneticPr fontId="2" type="noConversion"/>
  </si>
  <si>
    <t>宏益</t>
  </si>
  <si>
    <t>中砂</t>
  </si>
  <si>
    <t>達能</t>
  </si>
  <si>
    <t>明基材料</t>
  </si>
  <si>
    <t>德律科技</t>
  </si>
  <si>
    <t>京城銀行</t>
  </si>
  <si>
    <t>華票</t>
  </si>
  <si>
    <t>東鹼</t>
  </si>
  <si>
    <t>懷特</t>
  </si>
  <si>
    <t>京元電</t>
  </si>
  <si>
    <t>景碩科技</t>
  </si>
  <si>
    <t>達方電子</t>
  </si>
  <si>
    <t>圓展</t>
  </si>
  <si>
    <t>華上光電</t>
  </si>
  <si>
    <t>台虹科技</t>
  </si>
  <si>
    <t>長華電材</t>
  </si>
  <si>
    <t>新天地</t>
  </si>
  <si>
    <t>台灣百和</t>
  </si>
  <si>
    <t>日期</t>
  </si>
  <si>
    <t>買進(張)</t>
  </si>
  <si>
    <t>賣出(張)</t>
  </si>
  <si>
    <t>買賣超(張)</t>
  </si>
  <si>
    <t>新加坡商</t>
  </si>
  <si>
    <t>瑞士信貸</t>
  </si>
  <si>
    <t>摩根大通</t>
  </si>
  <si>
    <t>台灣摩根</t>
  </si>
  <si>
    <t>東方匯理</t>
  </si>
  <si>
    <t>港商法國</t>
  </si>
  <si>
    <t>港商德意</t>
  </si>
  <si>
    <t>(牛牛牛</t>
  </si>
  <si>
    <t>大展證券</t>
  </si>
  <si>
    <t>大眾證券</t>
  </si>
  <si>
    <t>大慶證券</t>
  </si>
  <si>
    <t>中國信託</t>
  </si>
  <si>
    <t>元大證券</t>
  </si>
  <si>
    <t>日盛證券</t>
  </si>
  <si>
    <t>台中銀對</t>
  </si>
  <si>
    <t>台新證券</t>
  </si>
  <si>
    <t>台灣工銀</t>
  </si>
  <si>
    <t>9A00</t>
  </si>
  <si>
    <t>永豐金證</t>
  </si>
  <si>
    <t>玉山證券</t>
  </si>
  <si>
    <t>兆豐證券</t>
  </si>
  <si>
    <t>合庫證券</t>
  </si>
  <si>
    <t>宏遠證券</t>
  </si>
  <si>
    <t>致和證券</t>
  </si>
  <si>
    <t>國泰證券</t>
  </si>
  <si>
    <t>國票證券</t>
  </si>
  <si>
    <t>康和證券</t>
  </si>
  <si>
    <t>第一金對</t>
  </si>
  <si>
    <t>凱基證券</t>
  </si>
  <si>
    <t>富邦證券</t>
  </si>
  <si>
    <t>華南永昌</t>
  </si>
  <si>
    <t>新光證券</t>
  </si>
  <si>
    <t>群益金鼎</t>
  </si>
  <si>
    <t>福邦證券</t>
  </si>
  <si>
    <t>德信證券</t>
  </si>
  <si>
    <t>美商高盛</t>
  </si>
  <si>
    <t>花旗環球</t>
  </si>
  <si>
    <t>港商野村</t>
  </si>
  <si>
    <t>http://jsjustweb.jihsun.com.tw/z/zc/zco/zco0/zco0.djhtm?a=1215&amp;b=1650</t>
  </si>
  <si>
    <t>http://jsjustweb.jihsun.com.tw/z/zc/zco/zco0/zco0.djhtm?a=1323&amp;b=1650</t>
  </si>
  <si>
    <t>http://jsjustweb.jihsun.com.tw/z/zc/zco/zco0/zco0.djhtm?a=1340&amp;b=1650</t>
  </si>
  <si>
    <t>http://jsjustweb.jihsun.com.tw/z/zc/zco/zco0/zco0.djhtm?a=1708&amp;b=1650</t>
  </si>
  <si>
    <t>http://jsjustweb.jihsun.com.tw/z/zc/zco/zco0/zco0.djhtm?a=1715&amp;b=1650</t>
  </si>
  <si>
    <t>http://jsjustweb.jihsun.com.tw/z/zc/zco/zco0/zco0.djhtm?a=1720&amp;b=1650</t>
  </si>
  <si>
    <t>http://jsjustweb.jihsun.com.tw/z/zc/zco/zco0/zco0.djhtm?a=1762&amp;b=1650</t>
  </si>
  <si>
    <t>http://jsjustweb.jihsun.com.tw/z/zc/zco/zco0/zco0.djhtm?a=2012&amp;b=1650</t>
  </si>
  <si>
    <t>http://jsjustweb.jihsun.com.tw/z/zc/zco/zco0/zco0.djhtm?a=2015&amp;b=1650</t>
  </si>
  <si>
    <t>http://jsjustweb.jihsun.com.tw/z/zc/zco/zco0/zco0.djhtm?a=2062&amp;b=1650</t>
  </si>
  <si>
    <t>http://jsjustweb.jihsun.com.tw/z/zc/zco/zco0/zco0.djhtm?a=2351&amp;b=1650</t>
  </si>
  <si>
    <t>http://jsjustweb.jihsun.com.tw/z/zc/zco/zco0/zco0.djhtm?a=2397&amp;b=1650</t>
  </si>
  <si>
    <t>http://jsjustweb.jihsun.com.tw/z/zc/zco/zco0/zco0.djhtm?a=2428&amp;b=1650</t>
  </si>
  <si>
    <t>http://jsjustweb.jihsun.com.tw/z/zc/zco/zco0/zco0.djhtm?a=2456&amp;b=1650</t>
  </si>
  <si>
    <t>http://jsjustweb.jihsun.com.tw/z/zc/zco/zco0/zco0.djhtm?a=2497&amp;b=1650</t>
  </si>
  <si>
    <t>http://jsjustweb.jihsun.com.tw/z/zc/zco/zco0/zco0.djhtm?a=2608&amp;b=1650</t>
  </si>
  <si>
    <t>http://jsjustweb.jihsun.com.tw/z/zc/zco/zco0/zco0.djhtm?a=3010&amp;b=1650</t>
  </si>
  <si>
    <t>http://jsjustweb.jihsun.com.tw/z/zc/zco/zco0/zco0.djhtm?a=3028&amp;b=1650</t>
  </si>
  <si>
    <t>http://jsjustweb.jihsun.com.tw/z/zc/zco/zco0/zco0.djhtm?a=3607&amp;b=1650</t>
  </si>
  <si>
    <t>http://jsjustweb.jihsun.com.tw/z/zc/zco/zco0/zco0.djhtm?a=3617&amp;b=1650</t>
  </si>
  <si>
    <t>http://jsjustweb.jihsun.com.tw/z/zc/zco/zco0/zco0.djhtm?a=3653&amp;b=1650</t>
  </si>
  <si>
    <t>http://jsjustweb.jihsun.com.tw/z/zc/zco/zco0/zco0.djhtm?a=3661&amp;b=1650</t>
  </si>
  <si>
    <t>http://jsjustweb.jihsun.com.tw/z/zc/zco/zco0/zco0.djhtm?a=4144&amp;b=1650</t>
  </si>
  <si>
    <t>http://jsjustweb.jihsun.com.tw/z/zc/zco/zco0/zco0.djhtm?a=4934&amp;b=1650</t>
  </si>
  <si>
    <t>http://jsjustweb.jihsun.com.tw/z/zc/zco/zco0/zco0.djhtm?a=5469&amp;b=1650</t>
  </si>
  <si>
    <t>http://jsjustweb.jihsun.com.tw/z/zc/zco/zco0/zco0.djhtm?a=6139&amp;b=1650</t>
  </si>
  <si>
    <t>http://jsjustweb.jihsun.com.tw/z/zc/zco/zco0/zco0.djhtm?a=6412&amp;b=1650</t>
  </si>
  <si>
    <t>http://jsjustweb.jihsun.com.tw/z/zc/zco/zco0/zco0.djhtm?a=6442&amp;b=1650</t>
  </si>
  <si>
    <t>http://jsjustweb.jihsun.com.tw/z/zc/zco/zco0/zco0.djhtm?a=8081&amp;b=1650</t>
  </si>
  <si>
    <t>http://jsjustweb.jihsun.com.tw/z/zc/zco/zco0/zco0.djhtm?a=8101&amp;b=1650</t>
  </si>
  <si>
    <t>http://jsjustweb.jihsun.com.tw/z/zc/zco/zco0/zco0.djhtm?a=8210&amp;b=1650</t>
  </si>
  <si>
    <t>http://jsjustweb.jihsun.com.tw/z/zc/zco/zco0/zco0.djhtm?a=8427&amp;b=1650</t>
  </si>
  <si>
    <t>http://jsjustweb.jihsun.com.tw/z/zc/zco/zco0/zco0.djhtm?a=9905&amp;b=1650</t>
  </si>
  <si>
    <t>http://jsjustweb.jihsun.com.tw/z/zc/zco/zco0/zco0.djhtm?a=9927&amp;b=1650</t>
  </si>
  <si>
    <t>http://jsjustweb.jihsun.com.tw/z/zc/zco/zco0/zco0.djhtm?a=9937&amp;b=1650</t>
  </si>
  <si>
    <t>http://jsjustweb.jihsun.com.tw/z/zc/zco/zco0/zco0.djhtm?a=1785&amp;b=1650</t>
  </si>
  <si>
    <t>http://jsjustweb.jihsun.com.tw/z/zc/zco/zco0/zco0.djhtm?a=2926&amp;b=1650</t>
  </si>
  <si>
    <t>http://jsjustweb.jihsun.com.tw/z/zc/zco/zco0/zco0.djhtm?a=3324&amp;b=1650</t>
  </si>
  <si>
    <t>http://jsjustweb.jihsun.com.tw/z/zc/zco/zco0/zco0.djhtm?a=3374&amp;b=1650</t>
  </si>
  <si>
    <t>http://jsjustweb.jihsun.com.tw/z/zc/zco/zco0/zco0.djhtm?a=3558&amp;b=1650</t>
  </si>
  <si>
    <t>http://jsjustweb.jihsun.com.tw/z/zc/zco/zco0/zco0.djhtm?a=3587&amp;b=1650</t>
  </si>
  <si>
    <t>http://jsjustweb.jihsun.com.tw/z/zc/zco/zco0/zco0.djhtm?a=4114&amp;b=1650</t>
  </si>
  <si>
    <t>http://jsjustweb.jihsun.com.tw/z/zc/zco/zco0/zco0.djhtm?a=4126&amp;b=1650</t>
  </si>
  <si>
    <t>http://jsjustweb.jihsun.com.tw/z/zc/zco/zco0/zco0.djhtm?a=4736&amp;b=1650</t>
  </si>
  <si>
    <t>http://jsjustweb.jihsun.com.tw/z/zc/zco/zco0/zco0.djhtm?a=4909&amp;b=1650</t>
  </si>
  <si>
    <t>http://jsjustweb.jihsun.com.tw/z/zc/zco/zco0/zco0.djhtm?a=5287&amp;b=1650</t>
  </si>
  <si>
    <t>http://jsjustweb.jihsun.com.tw/z/zc/zco/zco0/zco0.djhtm?a=5536&amp;b=1650</t>
  </si>
  <si>
    <t>http://jsjustweb.jihsun.com.tw/z/zc/zco/zco0/zco0.djhtm?a=6231&amp;b=1650</t>
  </si>
  <si>
    <t>http://jsjustweb.jihsun.com.tw/z/zc/zco/zco0/zco0.djhtm?a=6803&amp;b=1650</t>
  </si>
  <si>
    <t>http://jsjustweb.jihsun.com.tw/z/zc/zco/zco0/zco0.djhtm?a=8050&amp;b=1650</t>
  </si>
  <si>
    <t>http://jsjustweb.jihsun.com.tw/z/zc/zco/zco0/zco0.djhtm?a=8091&amp;b=1650</t>
  </si>
  <si>
    <t>http://jsjustweb.jihsun.com.tw/z/zc/zco/zco0/zco0.djhtm?a=8403&amp;b=1650</t>
  </si>
  <si>
    <t>http://jsjustweb.jihsun.com.tw/z/zc/zco/zco0/zco0.djhtm?a=8436&amp;b=1650</t>
  </si>
  <si>
    <t>美林對興</t>
  </si>
  <si>
    <t>元富對興</t>
  </si>
  <si>
    <t>亞東對興</t>
  </si>
  <si>
    <t>統一對興</t>
  </si>
  <si>
    <t>臺銀對興</t>
  </si>
  <si>
    <t>匯豐(台灣)商業銀行對興勤(2428)之進出明細圖</t>
  </si>
  <si>
    <t>匯豐(台灣)商業銀行對興勤(2428)之進出明細表</t>
  </si>
  <si>
    <t>宏洲纖維</t>
  </si>
  <si>
    <t>華新</t>
  </si>
  <si>
    <t>矽品</t>
  </si>
  <si>
    <t>超豐電子</t>
  </si>
  <si>
    <t>聯傑國際</t>
  </si>
  <si>
    <t>創意電子</t>
  </si>
  <si>
    <t>華亞科</t>
  </si>
  <si>
    <t>新唐科技</t>
  </si>
  <si>
    <t>立積</t>
  </si>
  <si>
    <t>力成</t>
  </si>
  <si>
    <t>矽格</t>
  </si>
  <si>
    <t>研華</t>
  </si>
  <si>
    <t>力銘</t>
  </si>
  <si>
    <t>全國電</t>
  </si>
  <si>
    <t>橋椿</t>
  </si>
  <si>
    <t>-</t>
  </si>
  <si>
    <t>股東會日期</t>
  </si>
  <si>
    <t>104/06/09</t>
  </si>
  <si>
    <t>餘額%</t>
    <phoneticPr fontId="2" type="noConversion"/>
  </si>
  <si>
    <t>到期天數</t>
    <phoneticPr fontId="2" type="noConversion"/>
  </si>
  <si>
    <t>CB價格</t>
    <phoneticPr fontId="2" type="noConversion"/>
  </si>
  <si>
    <t>轉換價格</t>
  </si>
  <si>
    <t>轉換價格</t>
    <phoneticPr fontId="2" type="noConversion"/>
  </si>
  <si>
    <t>現股市價</t>
    <phoneticPr fontId="2" type="noConversion"/>
  </si>
  <si>
    <t>轉換股數</t>
    <phoneticPr fontId="2" type="noConversion"/>
  </si>
  <si>
    <t>CB合理價值</t>
    <phoneticPr fontId="2" type="noConversion"/>
  </si>
  <si>
    <t>CB價差</t>
    <phoneticPr fontId="2" type="noConversion"/>
  </si>
  <si>
    <t>轉換價差</t>
    <phoneticPr fontId="2" type="noConversion"/>
  </si>
  <si>
    <t>利差</t>
    <phoneticPr fontId="2" type="noConversion"/>
  </si>
  <si>
    <t>集保人數</t>
    <phoneticPr fontId="2" type="noConversion"/>
  </si>
  <si>
    <t>最高價</t>
  </si>
  <si>
    <t>最低價</t>
  </si>
  <si>
    <t>收盤價</t>
  </si>
  <si>
    <t>漲跌幅</t>
  </si>
  <si>
    <t>成交量</t>
  </si>
  <si>
    <t>發行面額</t>
  </si>
  <si>
    <t>發行總額(千元)</t>
  </si>
  <si>
    <t>票面利率</t>
  </si>
  <si>
    <t>發行溢價</t>
  </si>
  <si>
    <t>發行日</t>
  </si>
  <si>
    <t>到期日</t>
  </si>
  <si>
    <t>上市日</t>
  </si>
  <si>
    <t>下市日</t>
  </si>
  <si>
    <t>可否轉換</t>
  </si>
  <si>
    <t>Y</t>
  </si>
  <si>
    <t>轉換開始日</t>
  </si>
  <si>
    <t>轉換終止日</t>
  </si>
  <si>
    <t>轉換標的</t>
  </si>
  <si>
    <t>轉換價格日</t>
  </si>
  <si>
    <t>配股基準日</t>
  </si>
  <si>
    <t>付息日</t>
  </si>
  <si>
    <t>付息次數</t>
  </si>
  <si>
    <t>是否有擔保</t>
  </si>
  <si>
    <t>轉換比例</t>
  </si>
  <si>
    <t>104/07/27</t>
  </si>
  <si>
    <t>107/06/09</t>
  </si>
  <si>
    <t>104/07/10</t>
  </si>
  <si>
    <t xml:space="preserve">科嘉一 (52151)  基本資料  </t>
  </si>
  <si>
    <t>最近交易日:11/17</t>
  </si>
  <si>
    <t>每周日</t>
    <phoneticPr fontId="2" type="noConversion"/>
  </si>
  <si>
    <t>每季標準動作</t>
    <phoneticPr fontId="2" type="noConversion"/>
  </si>
  <si>
    <t>APP圖表存檔</t>
    <phoneticPr fontId="2" type="noConversion"/>
  </si>
  <si>
    <t>每季財報</t>
    <phoneticPr fontId="2" type="noConversion"/>
  </si>
  <si>
    <t>財報分數存檔</t>
    <phoneticPr fontId="2" type="noConversion"/>
  </si>
  <si>
    <t>執行葛林公式</t>
    <phoneticPr fontId="2" type="noConversion"/>
  </si>
  <si>
    <t>每日重訊</t>
    <phoneticPr fontId="2" type="noConversion"/>
  </si>
  <si>
    <t>不定期</t>
    <phoneticPr fontId="2" type="noConversion"/>
  </si>
  <si>
    <t>捷迅</t>
  </si>
  <si>
    <t>週選20</t>
    <phoneticPr fontId="2" type="noConversion"/>
  </si>
  <si>
    <t>績效追蹤檢討</t>
    <phoneticPr fontId="2" type="noConversion"/>
  </si>
  <si>
    <t>3152</t>
  </si>
  <si>
    <t>105/02</t>
  </si>
  <si>
    <t>105/06/29</t>
  </si>
  <si>
    <t>股票代號</t>
  </si>
  <si>
    <t>股票名稱</t>
  </si>
  <si>
    <t>董事會通過日期</t>
  </si>
  <si>
    <t>現金股息合計</t>
  </si>
  <si>
    <t>股票股利合計</t>
  </si>
  <si>
    <t>現金股利及股票股利合計</t>
  </si>
  <si>
    <t>最近(或前一日)收盤價</t>
  </si>
  <si>
    <t>0009</t>
  </si>
  <si>
    <t>- 元大證</t>
  </si>
  <si>
    <t>105/01/28</t>
  </si>
  <si>
    <t>1236</t>
  </si>
  <si>
    <t>宏亞食品</t>
  </si>
  <si>
    <t>105/02/24</t>
  </si>
  <si>
    <t>105/06/22</t>
  </si>
  <si>
    <t>1259</t>
  </si>
  <si>
    <t>105/06/07</t>
  </si>
  <si>
    <t>1323</t>
  </si>
  <si>
    <t>永裕</t>
  </si>
  <si>
    <t>105/06/06</t>
  </si>
  <si>
    <t>1413</t>
  </si>
  <si>
    <t>1452</t>
  </si>
  <si>
    <t>105/02/26</t>
  </si>
  <si>
    <t>105/06/17</t>
  </si>
  <si>
    <t>1473</t>
  </si>
  <si>
    <t>台南企業</t>
  </si>
  <si>
    <t>105/02/19</t>
  </si>
  <si>
    <t>105/03/31</t>
  </si>
  <si>
    <t>1558</t>
  </si>
  <si>
    <t>伸興</t>
  </si>
  <si>
    <t>105/03/03</t>
  </si>
  <si>
    <t>105/06/15</t>
  </si>
  <si>
    <t>1560</t>
  </si>
  <si>
    <t>105/05/19</t>
  </si>
  <si>
    <t>1590</t>
  </si>
  <si>
    <t>F-亞德</t>
  </si>
  <si>
    <t>105/02/25</t>
  </si>
  <si>
    <t>105/05/18</t>
  </si>
  <si>
    <t>1605</t>
  </si>
  <si>
    <t>105/05/25</t>
  </si>
  <si>
    <t>105/03/04</t>
  </si>
  <si>
    <t>1708</t>
  </si>
  <si>
    <t>105/03/01</t>
  </si>
  <si>
    <t>105/05/24</t>
  </si>
  <si>
    <t>1721</t>
  </si>
  <si>
    <t>三晃</t>
  </si>
  <si>
    <t>105/02/15</t>
  </si>
  <si>
    <t>105/06/28</t>
  </si>
  <si>
    <t>1731</t>
  </si>
  <si>
    <t>美吾華</t>
  </si>
  <si>
    <t>105/05/31</t>
  </si>
  <si>
    <t>1773</t>
  </si>
  <si>
    <t>勝一化工</t>
  </si>
  <si>
    <t>105/03/02</t>
  </si>
  <si>
    <t>1776</t>
  </si>
  <si>
    <t>展宇科技</t>
  </si>
  <si>
    <t>105/05/27</t>
  </si>
  <si>
    <t>1799</t>
  </si>
  <si>
    <t>105/06/23</t>
  </si>
  <si>
    <t>1813</t>
  </si>
  <si>
    <t>105/02/23</t>
  </si>
  <si>
    <t>2038</t>
  </si>
  <si>
    <t>海光企業</t>
  </si>
  <si>
    <t>2062</t>
  </si>
  <si>
    <t>105/02/22</t>
  </si>
  <si>
    <t>105/04/26</t>
  </si>
  <si>
    <t>2325</t>
  </si>
  <si>
    <t>105/05/16</t>
  </si>
  <si>
    <t>2330</t>
  </si>
  <si>
    <t>台積電</t>
  </si>
  <si>
    <t>105/02/02</t>
  </si>
  <si>
    <t>2395</t>
  </si>
  <si>
    <t>2405</t>
  </si>
  <si>
    <t>浩鑫</t>
  </si>
  <si>
    <t>105/02/04</t>
  </si>
  <si>
    <t>105/03/07</t>
  </si>
  <si>
    <t>105/06/14</t>
  </si>
  <si>
    <t>2441</t>
  </si>
  <si>
    <t>2449</t>
  </si>
  <si>
    <t>105/06/08</t>
  </si>
  <si>
    <t>2465</t>
  </si>
  <si>
    <t>麗臺科技</t>
  </si>
  <si>
    <t>105/06/03</t>
  </si>
  <si>
    <t>2480</t>
  </si>
  <si>
    <t>敦陽科技</t>
  </si>
  <si>
    <t>2722</t>
  </si>
  <si>
    <t>夏都</t>
  </si>
  <si>
    <t>105/05/23</t>
  </si>
  <si>
    <t>2733</t>
  </si>
  <si>
    <t>維格餅家</t>
  </si>
  <si>
    <t>2741</t>
  </si>
  <si>
    <t>老四川</t>
  </si>
  <si>
    <t>105/04/18</t>
  </si>
  <si>
    <t>2809</t>
  </si>
  <si>
    <t>2820</t>
  </si>
  <si>
    <t>105/06/02</t>
  </si>
  <si>
    <t>2873</t>
  </si>
  <si>
    <t>大中票券</t>
  </si>
  <si>
    <t>105/05/10</t>
  </si>
  <si>
    <t>2876</t>
  </si>
  <si>
    <t>宏泰人壽</t>
  </si>
  <si>
    <t>105/06/16</t>
  </si>
  <si>
    <t>2923</t>
  </si>
  <si>
    <t>F-鼎固</t>
  </si>
  <si>
    <t>105/06/24</t>
  </si>
  <si>
    <t>3014</t>
  </si>
  <si>
    <t>聯陽</t>
  </si>
  <si>
    <t>105/06/20</t>
  </si>
  <si>
    <t>3030</t>
  </si>
  <si>
    <t>3040</t>
  </si>
  <si>
    <t>遠見</t>
  </si>
  <si>
    <t>3057</t>
  </si>
  <si>
    <t>喬鼎資訊</t>
  </si>
  <si>
    <t>3081</t>
  </si>
  <si>
    <t>聯亞光電</t>
  </si>
  <si>
    <t>3088</t>
  </si>
  <si>
    <t>105/02/18</t>
  </si>
  <si>
    <t>3094</t>
  </si>
  <si>
    <t>3141</t>
  </si>
  <si>
    <t>3144</t>
  </si>
  <si>
    <t>105/02/16</t>
  </si>
  <si>
    <t>105/05/11</t>
  </si>
  <si>
    <t>璟德電子</t>
  </si>
  <si>
    <t>3162</t>
  </si>
  <si>
    <t>精確實業</t>
  </si>
  <si>
    <t>3189</t>
  </si>
  <si>
    <t>105/02/01</t>
  </si>
  <si>
    <t>3211</t>
  </si>
  <si>
    <t>順達科</t>
  </si>
  <si>
    <t>105/06/13</t>
  </si>
  <si>
    <t>3228</t>
  </si>
  <si>
    <t>105/06/27</t>
  </si>
  <si>
    <t>3349</t>
  </si>
  <si>
    <t>寶德科技</t>
  </si>
  <si>
    <t>105/04/06</t>
  </si>
  <si>
    <t>3373</t>
  </si>
  <si>
    <t>3374</t>
  </si>
  <si>
    <t>105/02/03</t>
  </si>
  <si>
    <t>3443</t>
  </si>
  <si>
    <t>105/05/26</t>
  </si>
  <si>
    <t>3455</t>
  </si>
  <si>
    <t>3474</t>
  </si>
  <si>
    <t>3509</t>
  </si>
  <si>
    <t>聯禾</t>
  </si>
  <si>
    <t>105/01/27</t>
  </si>
  <si>
    <t>105/04/20</t>
  </si>
  <si>
    <t>3510</t>
  </si>
  <si>
    <t>易鼎</t>
  </si>
  <si>
    <t>105/05/13</t>
  </si>
  <si>
    <t>3511</t>
  </si>
  <si>
    <t>矽瑪科技</t>
  </si>
  <si>
    <t>3515</t>
  </si>
  <si>
    <t>華擎</t>
  </si>
  <si>
    <t>3528</t>
  </si>
  <si>
    <t>安馳科技</t>
  </si>
  <si>
    <t>3529</t>
  </si>
  <si>
    <t>3548</t>
  </si>
  <si>
    <t>105/06/21</t>
  </si>
  <si>
    <t>3563</t>
  </si>
  <si>
    <t>3573</t>
  </si>
  <si>
    <t>穎台</t>
  </si>
  <si>
    <t>3583</t>
  </si>
  <si>
    <t>辛耘</t>
  </si>
  <si>
    <t>3593</t>
  </si>
  <si>
    <t>3627</t>
  </si>
  <si>
    <t>華信光電</t>
  </si>
  <si>
    <t>3658</t>
  </si>
  <si>
    <t>3661</t>
  </si>
  <si>
    <t>F- 世芯</t>
  </si>
  <si>
    <t>3666</t>
  </si>
  <si>
    <t>3669</t>
  </si>
  <si>
    <t>3673</t>
  </si>
  <si>
    <t>F-TPK</t>
  </si>
  <si>
    <t>3686</t>
  </si>
  <si>
    <t>105/05/12</t>
  </si>
  <si>
    <t>4108</t>
  </si>
  <si>
    <t>4116</t>
  </si>
  <si>
    <t>4121</t>
  </si>
  <si>
    <t>優盛醫學</t>
  </si>
  <si>
    <t>4152</t>
  </si>
  <si>
    <t>4169</t>
  </si>
  <si>
    <t>泰宗</t>
  </si>
  <si>
    <t>4188</t>
  </si>
  <si>
    <t>安克生醫</t>
  </si>
  <si>
    <t>4194</t>
  </si>
  <si>
    <t>禾生技</t>
  </si>
  <si>
    <t>4197</t>
  </si>
  <si>
    <t>暐世</t>
  </si>
  <si>
    <t>105/01/29</t>
  </si>
  <si>
    <t>4438</t>
  </si>
  <si>
    <t>廣越</t>
  </si>
  <si>
    <t>4554</t>
  </si>
  <si>
    <t>橙的</t>
  </si>
  <si>
    <t>105/02/05</t>
  </si>
  <si>
    <t>105/03/21</t>
  </si>
  <si>
    <t>4737</t>
  </si>
  <si>
    <t>華廣</t>
  </si>
  <si>
    <t>4757</t>
  </si>
  <si>
    <t>中華全球</t>
  </si>
  <si>
    <t>4804</t>
  </si>
  <si>
    <t>4904</t>
  </si>
  <si>
    <t>遠傳</t>
  </si>
  <si>
    <t>105/02/17</t>
  </si>
  <si>
    <t>4919</t>
  </si>
  <si>
    <t>4921</t>
  </si>
  <si>
    <t>宏陽</t>
  </si>
  <si>
    <t>4968</t>
  </si>
  <si>
    <t>4972</t>
  </si>
  <si>
    <t>湯石照明</t>
  </si>
  <si>
    <t>5007</t>
  </si>
  <si>
    <t>三星科技</t>
  </si>
  <si>
    <t>105/06/01</t>
  </si>
  <si>
    <t>5205</t>
  </si>
  <si>
    <t>漢康科技</t>
  </si>
  <si>
    <t>---</t>
  </si>
  <si>
    <t>5211</t>
  </si>
  <si>
    <t>5212</t>
  </si>
  <si>
    <t>凌網科技</t>
  </si>
  <si>
    <t>5225</t>
  </si>
  <si>
    <t>F-東科</t>
  </si>
  <si>
    <t>5266</t>
  </si>
  <si>
    <t>105/03/30</t>
  </si>
  <si>
    <t>5278</t>
  </si>
  <si>
    <t>5287</t>
  </si>
  <si>
    <t>5310</t>
  </si>
  <si>
    <t>天剛資訊</t>
  </si>
  <si>
    <t>5315</t>
  </si>
  <si>
    <t>光聯科技</t>
  </si>
  <si>
    <t>5347</t>
  </si>
  <si>
    <t>5536</t>
  </si>
  <si>
    <t>5604</t>
  </si>
  <si>
    <t>中連貨運</t>
  </si>
  <si>
    <t>5701</t>
  </si>
  <si>
    <t>5863</t>
  </si>
  <si>
    <t>瑞興銀行</t>
  </si>
  <si>
    <t>5864</t>
  </si>
  <si>
    <t>105/05/05</t>
  </si>
  <si>
    <t>5878</t>
  </si>
  <si>
    <t>5904</t>
  </si>
  <si>
    <t>5906</t>
  </si>
  <si>
    <t>F-台南</t>
  </si>
  <si>
    <t>6015</t>
  </si>
  <si>
    <t>6026</t>
  </si>
  <si>
    <t>105/01/20</t>
  </si>
  <si>
    <t>6124</t>
  </si>
  <si>
    <t>業強科技</t>
  </si>
  <si>
    <t>6129</t>
  </si>
  <si>
    <t>普誠科技</t>
  </si>
  <si>
    <t>6155</t>
  </si>
  <si>
    <t>鈞寶</t>
  </si>
  <si>
    <t>6156</t>
  </si>
  <si>
    <t>松上電子</t>
  </si>
  <si>
    <t>6173</t>
  </si>
  <si>
    <t>信昌電陶</t>
  </si>
  <si>
    <t>6183</t>
  </si>
  <si>
    <t>關貿</t>
  </si>
  <si>
    <t>6191</t>
  </si>
  <si>
    <t>精成科技</t>
  </si>
  <si>
    <t>6196</t>
  </si>
  <si>
    <t>帆宣科技</t>
  </si>
  <si>
    <t>6199</t>
  </si>
  <si>
    <t>天品聯合</t>
  </si>
  <si>
    <t>105/04/01</t>
  </si>
  <si>
    <t>6201</t>
  </si>
  <si>
    <t>亞弘電</t>
  </si>
  <si>
    <t>6202</t>
  </si>
  <si>
    <t>盛群</t>
  </si>
  <si>
    <t>6244</t>
  </si>
  <si>
    <t>6251</t>
  </si>
  <si>
    <t>定穎電子</t>
  </si>
  <si>
    <t>6257</t>
  </si>
  <si>
    <t>6266</t>
  </si>
  <si>
    <t>泰詠電子</t>
  </si>
  <si>
    <t>6276</t>
  </si>
  <si>
    <t>6281</t>
  </si>
  <si>
    <t>6282</t>
  </si>
  <si>
    <t>康舒</t>
  </si>
  <si>
    <t>6289</t>
  </si>
  <si>
    <t>105/04/11</t>
  </si>
  <si>
    <t>6291</t>
  </si>
  <si>
    <t>6409</t>
  </si>
  <si>
    <t>旭隼</t>
  </si>
  <si>
    <t>105/05/20</t>
  </si>
  <si>
    <t>6416</t>
  </si>
  <si>
    <t>瑞祺電通</t>
  </si>
  <si>
    <t>6417</t>
  </si>
  <si>
    <t>6428</t>
  </si>
  <si>
    <t>台灣淘米</t>
  </si>
  <si>
    <t>6456</t>
  </si>
  <si>
    <t>F-GIS</t>
  </si>
  <si>
    <t>6461</t>
  </si>
  <si>
    <t>益得</t>
  </si>
  <si>
    <t>6470</t>
  </si>
  <si>
    <t>6482</t>
  </si>
  <si>
    <t>弘煜科技</t>
  </si>
  <si>
    <t>6485</t>
  </si>
  <si>
    <t>6491</t>
  </si>
  <si>
    <t>晶碩</t>
  </si>
  <si>
    <t>6494</t>
  </si>
  <si>
    <t>九齊科技</t>
  </si>
  <si>
    <t>6499</t>
  </si>
  <si>
    <t>益安</t>
  </si>
  <si>
    <t>6512</t>
  </si>
  <si>
    <t>啟發電子</t>
  </si>
  <si>
    <t>6523</t>
  </si>
  <si>
    <t>達爾膚</t>
  </si>
  <si>
    <t>6534</t>
  </si>
  <si>
    <t>正瀚生技</t>
  </si>
  <si>
    <t>6548</t>
  </si>
  <si>
    <t>長華科</t>
  </si>
  <si>
    <t>6552</t>
  </si>
  <si>
    <t>易華電</t>
  </si>
  <si>
    <t>7421</t>
  </si>
  <si>
    <t>易宏</t>
  </si>
  <si>
    <t>8039</t>
  </si>
  <si>
    <t>8070</t>
  </si>
  <si>
    <t>8083</t>
  </si>
  <si>
    <t>8163</t>
  </si>
  <si>
    <t>8176</t>
  </si>
  <si>
    <t>8183</t>
  </si>
  <si>
    <t>台灣精星</t>
  </si>
  <si>
    <t>8201</t>
  </si>
  <si>
    <t>無敵</t>
  </si>
  <si>
    <t>8215</t>
  </si>
  <si>
    <t>8222</t>
  </si>
  <si>
    <t>寶一科技</t>
  </si>
  <si>
    <t>8264</t>
  </si>
  <si>
    <t>台視訊</t>
  </si>
  <si>
    <t>8279</t>
  </si>
  <si>
    <t>生展生技</t>
  </si>
  <si>
    <t>8341</t>
  </si>
  <si>
    <t>日友</t>
  </si>
  <si>
    <t>8404</t>
  </si>
  <si>
    <t>F-百和</t>
  </si>
  <si>
    <t>8435</t>
  </si>
  <si>
    <t>105/03/05</t>
  </si>
  <si>
    <t>8454</t>
  </si>
  <si>
    <t>富邦媒</t>
  </si>
  <si>
    <t>8462</t>
  </si>
  <si>
    <t>柏文</t>
  </si>
  <si>
    <t>8477</t>
  </si>
  <si>
    <t>創業家</t>
  </si>
  <si>
    <t>105/04/29</t>
  </si>
  <si>
    <t>8928</t>
  </si>
  <si>
    <t>8940</t>
  </si>
  <si>
    <t>8960</t>
  </si>
  <si>
    <t>紅樹林</t>
  </si>
  <si>
    <t>9919</t>
  </si>
  <si>
    <t>康那香</t>
  </si>
  <si>
    <t>9938</t>
  </si>
  <si>
    <t>9940</t>
  </si>
  <si>
    <t>信義房屋</t>
  </si>
  <si>
    <t>9985</t>
  </si>
  <si>
    <t>觀天下</t>
  </si>
  <si>
    <t>項目</t>
    <phoneticPr fontId="2" type="noConversion"/>
  </si>
  <si>
    <t>105/03/08</t>
  </si>
  <si>
    <t>志豐電子</t>
  </si>
  <si>
    <t>6239</t>
  </si>
  <si>
    <t>6457</t>
  </si>
  <si>
    <t>紘康科技</t>
  </si>
  <si>
    <t>6521</t>
  </si>
  <si>
    <t>金樺</t>
  </si>
  <si>
    <t>6560</t>
  </si>
  <si>
    <t>欣普羅</t>
  </si>
  <si>
    <t>6569</t>
  </si>
  <si>
    <t>醫揚</t>
  </si>
  <si>
    <t>8420</t>
  </si>
  <si>
    <t>8908</t>
  </si>
  <si>
    <t>上櫃</t>
  </si>
  <si>
    <t>新昕纖維</t>
  </si>
  <si>
    <t>興采實業</t>
  </si>
  <si>
    <t>新麥企業</t>
  </si>
  <si>
    <t>霖</t>
  </si>
  <si>
    <t>江興鍛壓</t>
  </si>
  <si>
    <t>朋程科技</t>
  </si>
  <si>
    <t>皇田工業</t>
  </si>
  <si>
    <t>大恭化學</t>
  </si>
  <si>
    <t>精華光學</t>
  </si>
  <si>
    <t>永日化工</t>
  </si>
  <si>
    <t>百略醫學</t>
  </si>
  <si>
    <t>中天生技</t>
  </si>
  <si>
    <t>中裕新藥</t>
  </si>
  <si>
    <t>瑞基海洋</t>
  </si>
  <si>
    <t>安成藥業</t>
  </si>
  <si>
    <t>永昕生物</t>
  </si>
  <si>
    <t>合一生技</t>
  </si>
  <si>
    <t>強新工業</t>
  </si>
  <si>
    <t>有益鋼鐵</t>
  </si>
  <si>
    <t>普格科技</t>
  </si>
  <si>
    <t>亞信電子</t>
  </si>
  <si>
    <t>鑫創科技</t>
  </si>
  <si>
    <t>威剛科技</t>
  </si>
  <si>
    <t>欣銓科技</t>
  </si>
  <si>
    <t>尼克森微</t>
  </si>
  <si>
    <t>德微科技</t>
  </si>
  <si>
    <t>信驊科技</t>
  </si>
  <si>
    <t>中美矽晶</t>
  </si>
  <si>
    <t>茂達電子</t>
  </si>
  <si>
    <t>凌泰科技</t>
  </si>
  <si>
    <t>旺玖科技</t>
  </si>
  <si>
    <t>環球晶圓</t>
  </si>
  <si>
    <t>九暘電子</t>
  </si>
  <si>
    <t>宏捷科技</t>
  </si>
  <si>
    <t>茂訊電腦</t>
  </si>
  <si>
    <t>廣寰</t>
  </si>
  <si>
    <t>協益電子</t>
  </si>
  <si>
    <t>青雲國際</t>
  </si>
  <si>
    <t>東友科技</t>
  </si>
  <si>
    <t>上奇科技</t>
  </si>
  <si>
    <t>群聯電子</t>
  </si>
  <si>
    <t>益通光能</t>
  </si>
  <si>
    <t>達威光電</t>
  </si>
  <si>
    <t>晶采光電</t>
  </si>
  <si>
    <t>台灣嘉碩</t>
  </si>
  <si>
    <t>豪勉科技</t>
  </si>
  <si>
    <t>普萊德科</t>
  </si>
  <si>
    <t>凱碩科技</t>
  </si>
  <si>
    <t>僑威科技</t>
  </si>
  <si>
    <t>先豐通訊</t>
  </si>
  <si>
    <t>霖宏科技</t>
  </si>
  <si>
    <t>華韡電子</t>
  </si>
  <si>
    <t>信音企業</t>
  </si>
  <si>
    <t>幃翔精密</t>
  </si>
  <si>
    <t>艾華電子</t>
  </si>
  <si>
    <t>日揚科技</t>
  </si>
  <si>
    <t>中國探針</t>
  </si>
  <si>
    <t>今展科技</t>
  </si>
  <si>
    <t>蜜望實企</t>
  </si>
  <si>
    <t>翔名科技</t>
  </si>
  <si>
    <t>博大科技</t>
  </si>
  <si>
    <t>越峰電子</t>
  </si>
  <si>
    <t>金居開發</t>
  </si>
  <si>
    <t>倍微科技</t>
  </si>
  <si>
    <t>光菱電子</t>
  </si>
  <si>
    <t>凱衛資訊</t>
  </si>
  <si>
    <t>中菲電腦</t>
  </si>
  <si>
    <t>大同世界</t>
  </si>
  <si>
    <t>西柏科技</t>
  </si>
  <si>
    <t>駿熠電子</t>
  </si>
  <si>
    <t>金利精密</t>
  </si>
  <si>
    <t>晉倫科技</t>
  </si>
  <si>
    <t>萬潤科技</t>
  </si>
  <si>
    <t>永信建設</t>
  </si>
  <si>
    <t>雙喜營造</t>
  </si>
  <si>
    <t>力泰建設</t>
  </si>
  <si>
    <t>臺聯貨櫃</t>
  </si>
  <si>
    <t>瓦城泰統</t>
  </si>
  <si>
    <t>知本老爺</t>
  </si>
  <si>
    <t>元大期貨</t>
  </si>
  <si>
    <t>裕國冷凍</t>
  </si>
  <si>
    <t>大田精密</t>
  </si>
  <si>
    <t>鈊象電子</t>
  </si>
  <si>
    <t>宇峻奧汀</t>
  </si>
  <si>
    <t>6424</t>
  </si>
  <si>
    <t>美環能</t>
  </si>
  <si>
    <t>105/06/30</t>
  </si>
  <si>
    <t>6441</t>
  </si>
  <si>
    <t>廣錠</t>
  </si>
  <si>
    <t>105/03/09</t>
  </si>
  <si>
    <t>6549</t>
  </si>
  <si>
    <t>景凱</t>
  </si>
  <si>
    <t>8427</t>
  </si>
  <si>
    <t>F-基勝</t>
  </si>
  <si>
    <t>8923</t>
  </si>
  <si>
    <t>時報文化</t>
  </si>
  <si>
    <t>1337</t>
  </si>
  <si>
    <t>F-再生</t>
  </si>
  <si>
    <t>1701</t>
  </si>
  <si>
    <t>中化</t>
  </si>
  <si>
    <t>1762</t>
  </si>
  <si>
    <t>中化合成</t>
  </si>
  <si>
    <t>1814</t>
  </si>
  <si>
    <t>東光訊</t>
  </si>
  <si>
    <t>2063</t>
  </si>
  <si>
    <t>2220</t>
  </si>
  <si>
    <t>南都汽車</t>
  </si>
  <si>
    <t>2348</t>
  </si>
  <si>
    <t>海悅</t>
  </si>
  <si>
    <t>2352</t>
  </si>
  <si>
    <t>佳世達</t>
  </si>
  <si>
    <t>2373</t>
  </si>
  <si>
    <t>震旦行</t>
  </si>
  <si>
    <t>2433</t>
  </si>
  <si>
    <t>互盛電</t>
  </si>
  <si>
    <t>2548</t>
  </si>
  <si>
    <t>華固建設</t>
  </si>
  <si>
    <t>2642</t>
  </si>
  <si>
    <t>宅配通</t>
  </si>
  <si>
    <t>2704</t>
  </si>
  <si>
    <t>國賓</t>
  </si>
  <si>
    <t>2712</t>
  </si>
  <si>
    <t>遠雄來</t>
  </si>
  <si>
    <t>2812</t>
  </si>
  <si>
    <t>台中銀行</t>
  </si>
  <si>
    <t>2849</t>
  </si>
  <si>
    <t>安泰銀行</t>
  </si>
  <si>
    <t>2910</t>
  </si>
  <si>
    <t>統領</t>
  </si>
  <si>
    <t>3202</t>
  </si>
  <si>
    <t>樺晟電子</t>
  </si>
  <si>
    <t>105/05/22</t>
  </si>
  <si>
    <t>3206</t>
  </si>
  <si>
    <t>3291</t>
  </si>
  <si>
    <t>3303</t>
  </si>
  <si>
    <t>3372</t>
  </si>
  <si>
    <t>3416</t>
  </si>
  <si>
    <t>融程電訊</t>
  </si>
  <si>
    <t>3489</t>
  </si>
  <si>
    <t>3644</t>
  </si>
  <si>
    <t>凌嘉科</t>
  </si>
  <si>
    <t>3684</t>
  </si>
  <si>
    <t>4001</t>
  </si>
  <si>
    <t>櫃買測</t>
  </si>
  <si>
    <t>4131</t>
  </si>
  <si>
    <t>晶宇生技</t>
  </si>
  <si>
    <t>4168</t>
  </si>
  <si>
    <t>4173</t>
  </si>
  <si>
    <t>4186</t>
  </si>
  <si>
    <t>尖端醫</t>
  </si>
  <si>
    <t>4187</t>
  </si>
  <si>
    <t>得榮</t>
  </si>
  <si>
    <t>4543</t>
  </si>
  <si>
    <t>萬在</t>
  </si>
  <si>
    <t>4553</t>
  </si>
  <si>
    <t>盛復</t>
  </si>
  <si>
    <t>4722</t>
  </si>
  <si>
    <t>國精化學</t>
  </si>
  <si>
    <t>4966</t>
  </si>
  <si>
    <t>5234</t>
  </si>
  <si>
    <t>達興</t>
  </si>
  <si>
    <t>5258</t>
  </si>
  <si>
    <t>虹堡</t>
  </si>
  <si>
    <t>5263</t>
  </si>
  <si>
    <t>智崴資訊</t>
  </si>
  <si>
    <t>5514</t>
  </si>
  <si>
    <t>三豐建設</t>
  </si>
  <si>
    <t>6233</t>
  </si>
  <si>
    <t>6455</t>
  </si>
  <si>
    <t>兆鑫</t>
  </si>
  <si>
    <t>8424</t>
  </si>
  <si>
    <t>權息資訊  5%</t>
    <phoneticPr fontId="2" type="noConversion"/>
  </si>
  <si>
    <t>光環（3234）</t>
  </si>
  <si>
    <t>3234光環</t>
  </si>
  <si>
    <t xml:space="preserve">△3.4 </t>
  </si>
  <si>
    <t xml:space="preserve">光環(3234) </t>
  </si>
  <si>
    <t>光環(3234) 年度營收走勢圖</t>
  </si>
  <si>
    <t>光環(3234)月營收明細</t>
  </si>
  <si>
    <t>光環(3234)</t>
  </si>
  <si>
    <t>↗  13%</t>
  </si>
  <si>
    <t xml:space="preserve">光環(3234)_104.3Q    市價：101元   本業PE  = </t>
    <phoneticPr fontId="2" type="noConversion"/>
  </si>
  <si>
    <t>500,000,000_43人</t>
  </si>
  <si>
    <t>500,000,000_14人</t>
  </si>
  <si>
    <t>105_2</t>
    <phoneticPr fontId="2" type="noConversion"/>
  </si>
  <si>
    <t>中華食品</t>
  </si>
  <si>
    <t>世坤塑膠</t>
  </si>
  <si>
    <t>光明絲織</t>
  </si>
  <si>
    <t>健信科技</t>
  </si>
  <si>
    <t>福裕事業</t>
  </si>
  <si>
    <t>協易機械</t>
  </si>
  <si>
    <t>永純化工</t>
  </si>
  <si>
    <t>大立高</t>
  </si>
  <si>
    <t>(又又)邦</t>
  </si>
  <si>
    <t>合世生醫</t>
  </si>
  <si>
    <t>杏昌生技</t>
  </si>
  <si>
    <t>進階生物</t>
  </si>
  <si>
    <t>台灣東洋</t>
  </si>
  <si>
    <t>濟生藥廠</t>
  </si>
  <si>
    <t>杏國新藥</t>
  </si>
  <si>
    <t>強生製藥</t>
  </si>
  <si>
    <t>科懋生技</t>
  </si>
  <si>
    <t>唐榮公司</t>
  </si>
  <si>
    <t>(重鳥)鵬</t>
  </si>
  <si>
    <t>世紀民生</t>
  </si>
  <si>
    <t>鈺創科技</t>
  </si>
  <si>
    <t>合邦電子</t>
  </si>
  <si>
    <t>創惟科技</t>
  </si>
  <si>
    <t>協禧電機</t>
  </si>
  <si>
    <t>曜越科技</t>
  </si>
  <si>
    <t>泓格科技</t>
  </si>
  <si>
    <t>錦明實</t>
  </si>
  <si>
    <t>聯一光學</t>
  </si>
  <si>
    <t>先益電子</t>
  </si>
  <si>
    <t>均豪精密</t>
  </si>
  <si>
    <t>久正光電</t>
  </si>
  <si>
    <t>巨擘科技</t>
  </si>
  <si>
    <t>聯光通信</t>
  </si>
  <si>
    <t>前鼎光電</t>
  </si>
  <si>
    <t>系通科技</t>
  </si>
  <si>
    <t>亞元科技</t>
  </si>
  <si>
    <t>榮群電訊</t>
  </si>
  <si>
    <t>佳穎精密</t>
  </si>
  <si>
    <t>建舜電子</t>
  </si>
  <si>
    <t>振維電子</t>
  </si>
  <si>
    <t>友銓電子</t>
  </si>
  <si>
    <t>同協電子</t>
  </si>
  <si>
    <t>博智電子</t>
  </si>
  <si>
    <t>尚茂電子</t>
  </si>
  <si>
    <t>佳營</t>
  </si>
  <si>
    <t>志旭國際</t>
  </si>
  <si>
    <t>巨虹電子</t>
  </si>
  <si>
    <t>擎亞科技</t>
  </si>
  <si>
    <t>弘塑科技</t>
  </si>
  <si>
    <t>三聯科技</t>
  </si>
  <si>
    <t>大園汽電</t>
  </si>
  <si>
    <t>圓方創新</t>
  </si>
  <si>
    <t>亞都麗緻</t>
  </si>
  <si>
    <t>日盛金控</t>
  </si>
  <si>
    <t>滿心企業</t>
  </si>
  <si>
    <t>全家便利</t>
  </si>
  <si>
    <t>精剛精密</t>
  </si>
  <si>
    <t>智基科技</t>
  </si>
  <si>
    <t>沈氏藝印</t>
  </si>
  <si>
    <t>得利影視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</si>
</sst>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_(* #,##0_);_(* \(#,##0\);_(* &quot;-&quot;??_);_(@_)"/>
    <numFmt numFmtId="183" formatCode="yyyymmdd"/>
    <numFmt numFmtId="184" formatCode="0.00_);[Red]\(0.00\)"/>
    <numFmt numFmtId="185" formatCode="#,##0.00_);[Red]\(#,##0.00\)"/>
    <numFmt numFmtId="186" formatCode="#,##0.00_ "/>
    <numFmt numFmtId="187" formatCode="yyyy/mm/dd"/>
    <numFmt numFmtId="188" formatCode="m&quot;月&quot;d&quot;日&quot;"/>
  </numFmts>
  <fonts count="7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b/>
      <sz val="12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b/>
      <sz val="14"/>
      <name val="新細明體"/>
      <family val="1"/>
      <charset val="136"/>
      <scheme val="minor"/>
    </font>
    <font>
      <b/>
      <u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12"/>
      <name val="Times New Roman"/>
      <family val="1"/>
    </font>
    <font>
      <sz val="10"/>
      <name val="Arial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990066"/>
      <name val="新細明體"/>
      <family val="1"/>
      <charset val="136"/>
      <scheme val="minor"/>
    </font>
    <font>
      <b/>
      <sz val="14"/>
      <color theme="1"/>
      <name val="微軟正黑體"/>
      <family val="2"/>
      <charset val="136"/>
    </font>
    <font>
      <b/>
      <sz val="13"/>
      <color theme="1"/>
      <name val="微軟正黑體"/>
      <family val="2"/>
      <charset val="136"/>
    </font>
    <font>
      <sz val="13"/>
      <color theme="1"/>
      <name val="微軟正黑體"/>
      <family val="2"/>
      <charset val="136"/>
    </font>
    <font>
      <sz val="12"/>
      <color rgb="FF009900"/>
      <name val="新細明體"/>
      <family val="1"/>
      <charset val="136"/>
      <scheme val="minor"/>
    </font>
    <font>
      <b/>
      <sz val="14"/>
      <color theme="9" tint="0.39997558519241921"/>
      <name val="Adobe 繁黑體 Std B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  <scheme val="minor"/>
    </font>
    <font>
      <b/>
      <sz val="12"/>
      <name val="新細明體"/>
      <family val="2"/>
      <charset val="136"/>
      <scheme val="minor"/>
    </font>
    <font>
      <sz val="12"/>
      <name val="細明體"/>
      <family val="3"/>
      <charset val="136"/>
    </font>
    <font>
      <b/>
      <sz val="16"/>
      <color theme="5" tint="0.59999389629810485"/>
      <name val="微軟正黑體"/>
      <family val="2"/>
      <charset val="136"/>
    </font>
    <font>
      <sz val="10"/>
      <color rgb="FF000000"/>
      <name val="繚s簡?穢繳?矇"/>
      <family val="3"/>
      <charset val="136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  <font>
      <b/>
      <sz val="15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indexed="81"/>
      <name val="細明體"/>
      <family val="3"/>
      <charset val="136"/>
    </font>
    <font>
      <sz val="14"/>
      <color indexed="81"/>
      <name val="細明體"/>
      <family val="3"/>
      <charset val="136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</borders>
  <cellStyleXfs count="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/>
    <xf numFmtId="0" fontId="16" fillId="0" borderId="0" applyNumberFormat="0" applyFill="0" applyBorder="0" applyAlignment="0" applyProtection="0"/>
    <xf numFmtId="0" fontId="54" fillId="0" borderId="0" applyNumberFormat="0" applyFont="0" applyFill="0" applyBorder="0" applyAlignment="0" applyProtection="0"/>
  </cellStyleXfs>
  <cellXfs count="53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3" fillId="0" borderId="0" xfId="0" applyFont="1">
      <alignment vertical="center"/>
    </xf>
    <xf numFmtId="176" fontId="13" fillId="0" borderId="0" xfId="1" applyFont="1">
      <alignment vertical="center"/>
    </xf>
    <xf numFmtId="0" fontId="13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4" fillId="0" borderId="0" xfId="4"/>
    <xf numFmtId="0" fontId="18" fillId="0" borderId="0" xfId="4" applyFont="1"/>
    <xf numFmtId="0" fontId="18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0" fillId="2" borderId="0" xfId="0" applyFont="1" applyFill="1" applyAlignment="1">
      <alignment horizontal="left" vertical="center"/>
    </xf>
    <xf numFmtId="0" fontId="21" fillId="2" borderId="0" xfId="0" applyFont="1" applyFill="1" applyAlignment="1" applyProtection="1">
      <alignment horizontal="left" vertical="center"/>
      <protection locked="0"/>
    </xf>
    <xf numFmtId="0" fontId="20" fillId="2" borderId="0" xfId="0" applyFont="1" applyFill="1">
      <alignment vertical="center"/>
    </xf>
    <xf numFmtId="0" fontId="20" fillId="13" borderId="0" xfId="0" applyFont="1" applyFill="1">
      <alignment vertical="center"/>
    </xf>
    <xf numFmtId="0" fontId="22" fillId="13" borderId="0" xfId="0" applyFont="1" applyFill="1" applyAlignment="1" applyProtection="1">
      <alignment horizontal="center" vertical="center"/>
      <protection locked="0"/>
    </xf>
    <xf numFmtId="0" fontId="23" fillId="13" borderId="0" xfId="0" applyFont="1" applyFill="1" applyAlignment="1" applyProtection="1">
      <alignment horizontal="center" vertical="center"/>
      <protection locked="0"/>
    </xf>
    <xf numFmtId="0" fontId="24" fillId="13" borderId="0" xfId="0" applyFont="1" applyFill="1" applyAlignment="1" applyProtection="1">
      <alignment horizontal="center" vertical="center"/>
      <protection locked="0"/>
    </xf>
    <xf numFmtId="0" fontId="0" fillId="13" borderId="6" xfId="0" applyFill="1" applyBorder="1">
      <alignment vertical="center"/>
    </xf>
    <xf numFmtId="0" fontId="0" fillId="13" borderId="0" xfId="0" applyFill="1" applyBorder="1">
      <alignment vertical="center"/>
    </xf>
    <xf numFmtId="0" fontId="0" fillId="13" borderId="7" xfId="0" applyFill="1" applyBorder="1">
      <alignment vertical="center"/>
    </xf>
    <xf numFmtId="0" fontId="0" fillId="13" borderId="0" xfId="0" applyFill="1">
      <alignment vertical="center"/>
    </xf>
    <xf numFmtId="0" fontId="0" fillId="1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26" fillId="9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13" fillId="9" borderId="0" xfId="0" applyFont="1" applyFill="1" applyAlignment="1">
      <alignment horizontal="center" wrapText="1"/>
    </xf>
    <xf numFmtId="176" fontId="13" fillId="9" borderId="0" xfId="1" applyFont="1" applyFill="1" applyAlignment="1">
      <alignment horizontal="center" wrapText="1"/>
    </xf>
    <xf numFmtId="176" fontId="18" fillId="0" borderId="0" xfId="1" applyFont="1" applyAlignment="1">
      <alignment horizontal="center"/>
    </xf>
    <xf numFmtId="182" fontId="18" fillId="0" borderId="0" xfId="1" applyNumberFormat="1" applyFont="1" applyAlignment="1">
      <alignment horizontal="center"/>
    </xf>
    <xf numFmtId="176" fontId="29" fillId="0" borderId="9" xfId="1" applyFont="1" applyBorder="1" applyAlignment="1">
      <alignment horizontal="center" vertical="center" wrapText="1"/>
    </xf>
    <xf numFmtId="182" fontId="29" fillId="0" borderId="9" xfId="1" applyNumberFormat="1" applyFont="1" applyBorder="1" applyAlignment="1">
      <alignment horizontal="center" vertical="center" wrapText="1"/>
    </xf>
    <xf numFmtId="178" fontId="13" fillId="0" borderId="0" xfId="2" applyNumberFormat="1" applyFont="1" applyAlignment="1">
      <alignment horizontal="center" vertical="center"/>
    </xf>
    <xf numFmtId="0" fontId="31" fillId="0" borderId="0" xfId="0" applyFont="1">
      <alignment vertical="center"/>
    </xf>
    <xf numFmtId="176" fontId="4" fillId="18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179" fontId="27" fillId="0" borderId="9" xfId="4" applyNumberFormat="1" applyFont="1" applyBorder="1" applyAlignment="1">
      <alignment horizontal="center" vertical="center"/>
    </xf>
    <xf numFmtId="179" fontId="18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6" fontId="4" fillId="18" borderId="26" xfId="1" applyFont="1" applyFill="1" applyBorder="1" applyAlignment="1">
      <alignment horizontal="center" vertical="center"/>
    </xf>
    <xf numFmtId="0" fontId="0" fillId="13" borderId="14" xfId="0" applyFill="1" applyBorder="1">
      <alignment vertical="center"/>
    </xf>
    <xf numFmtId="0" fontId="0" fillId="13" borderId="15" xfId="0" applyFill="1" applyBorder="1">
      <alignment vertical="center"/>
    </xf>
    <xf numFmtId="0" fontId="0" fillId="13" borderId="16" xfId="0" applyFill="1" applyBorder="1">
      <alignment vertical="center"/>
    </xf>
    <xf numFmtId="0" fontId="32" fillId="13" borderId="6" xfId="0" applyFont="1" applyFill="1" applyBorder="1">
      <alignment vertical="center"/>
    </xf>
    <xf numFmtId="0" fontId="32" fillId="13" borderId="0" xfId="0" applyFont="1" applyFill="1" applyBorder="1">
      <alignment vertical="center"/>
    </xf>
    <xf numFmtId="0" fontId="32" fillId="13" borderId="7" xfId="0" applyFont="1" applyFill="1" applyBorder="1">
      <alignment vertical="center"/>
    </xf>
    <xf numFmtId="0" fontId="32" fillId="13" borderId="14" xfId="0" applyFont="1" applyFill="1" applyBorder="1">
      <alignment vertical="center"/>
    </xf>
    <xf numFmtId="0" fontId="32" fillId="13" borderId="15" xfId="0" applyFont="1" applyFill="1" applyBorder="1">
      <alignment vertical="center"/>
    </xf>
    <xf numFmtId="0" fontId="32" fillId="13" borderId="16" xfId="0" applyFont="1" applyFill="1" applyBorder="1">
      <alignment vertical="center"/>
    </xf>
    <xf numFmtId="0" fontId="32" fillId="13" borderId="1" xfId="0" applyFont="1" applyFill="1" applyBorder="1">
      <alignment vertical="center"/>
    </xf>
    <xf numFmtId="0" fontId="32" fillId="13" borderId="2" xfId="0" applyFont="1" applyFill="1" applyBorder="1">
      <alignment vertical="center"/>
    </xf>
    <xf numFmtId="0" fontId="32" fillId="13" borderId="3" xfId="0" applyFont="1" applyFill="1" applyBorder="1">
      <alignment vertical="center"/>
    </xf>
    <xf numFmtId="9" fontId="32" fillId="13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2" borderId="9" xfId="0" applyFill="1" applyBorder="1">
      <alignment vertical="center"/>
    </xf>
    <xf numFmtId="0" fontId="0" fillId="16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0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2" fontId="0" fillId="9" borderId="9" xfId="1" applyNumberFormat="1" applyFont="1" applyFill="1" applyBorder="1">
      <alignment vertical="center"/>
    </xf>
    <xf numFmtId="182" fontId="0" fillId="12" borderId="9" xfId="1" applyNumberFormat="1" applyFont="1" applyFill="1" applyBorder="1">
      <alignment vertical="center"/>
    </xf>
    <xf numFmtId="9" fontId="0" fillId="16" borderId="9" xfId="2" applyFont="1" applyFill="1" applyBorder="1">
      <alignment vertical="center"/>
    </xf>
    <xf numFmtId="176" fontId="0" fillId="17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2" borderId="9" xfId="1" applyFont="1" applyFill="1" applyBorder="1">
      <alignment vertical="center"/>
    </xf>
    <xf numFmtId="0" fontId="0" fillId="19" borderId="9" xfId="0" applyFill="1" applyBorder="1">
      <alignment vertical="center"/>
    </xf>
    <xf numFmtId="0" fontId="0" fillId="21" borderId="9" xfId="0" applyFill="1" applyBorder="1">
      <alignment vertical="center"/>
    </xf>
    <xf numFmtId="0" fontId="19" fillId="14" borderId="6" xfId="0" applyFont="1" applyFill="1" applyBorder="1" applyAlignment="1">
      <alignment vertical="center"/>
    </xf>
    <xf numFmtId="0" fontId="19" fillId="14" borderId="0" xfId="0" applyFont="1" applyFill="1" applyBorder="1" applyAlignment="1">
      <alignment vertical="center"/>
    </xf>
    <xf numFmtId="0" fontId="19" fillId="15" borderId="6" xfId="0" applyFont="1" applyFill="1" applyBorder="1" applyAlignment="1">
      <alignment vertical="center"/>
    </xf>
    <xf numFmtId="0" fontId="19" fillId="15" borderId="0" xfId="0" applyFont="1" applyFill="1" applyBorder="1" applyAlignment="1">
      <alignment vertical="center"/>
    </xf>
    <xf numFmtId="0" fontId="19" fillId="9" borderId="6" xfId="0" applyFont="1" applyFill="1" applyBorder="1" applyAlignment="1">
      <alignment vertical="center"/>
    </xf>
    <xf numFmtId="0" fontId="19" fillId="9" borderId="0" xfId="0" applyFont="1" applyFill="1" applyBorder="1" applyAlignment="1">
      <alignment vertical="center"/>
    </xf>
    <xf numFmtId="0" fontId="34" fillId="13" borderId="0" xfId="0" applyFont="1" applyFill="1" applyBorder="1" applyAlignment="1">
      <alignment horizontal="center" vertical="center"/>
    </xf>
    <xf numFmtId="0" fontId="33" fillId="13" borderId="0" xfId="0" applyFont="1" applyFill="1" applyBorder="1" applyAlignment="1">
      <alignment vertical="center"/>
    </xf>
    <xf numFmtId="176" fontId="33" fillId="13" borderId="0" xfId="1" applyFont="1" applyFill="1" applyBorder="1" applyAlignment="1">
      <alignment vertical="center"/>
    </xf>
    <xf numFmtId="182" fontId="33" fillId="13" borderId="7" xfId="1" applyNumberFormat="1" applyFont="1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13" borderId="6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2" borderId="22" xfId="3" applyFont="1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0" fontId="12" fillId="2" borderId="23" xfId="3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/>
    </xf>
    <xf numFmtId="0" fontId="43" fillId="0" borderId="0" xfId="4" applyFont="1"/>
    <xf numFmtId="3" fontId="30" fillId="2" borderId="0" xfId="0" applyNumberFormat="1" applyFont="1" applyFill="1">
      <alignment vertical="center"/>
    </xf>
    <xf numFmtId="14" fontId="3" fillId="0" borderId="0" xfId="0" applyNumberFormat="1" applyFont="1" applyAlignment="1">
      <alignment horizontal="center" vertical="center"/>
    </xf>
    <xf numFmtId="179" fontId="18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2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2" fontId="0" fillId="0" borderId="0" xfId="1" applyNumberFormat="1" applyFont="1" applyFill="1">
      <alignment vertical="center"/>
    </xf>
    <xf numFmtId="182" fontId="18" fillId="0" borderId="0" xfId="1" applyNumberFormat="1" applyFont="1" applyAlignment="1">
      <alignment horizontal="right"/>
    </xf>
    <xf numFmtId="9" fontId="0" fillId="0" borderId="0" xfId="2" applyFont="1" applyFill="1" applyAlignment="1">
      <alignment vertical="center"/>
    </xf>
    <xf numFmtId="9" fontId="18" fillId="0" borderId="0" xfId="2" applyFont="1" applyAlignment="1"/>
    <xf numFmtId="182" fontId="3" fillId="0" borderId="9" xfId="1" applyNumberFormat="1" applyFont="1" applyFill="1" applyBorder="1" applyAlignment="1">
      <alignment horizontal="center" vertical="center"/>
    </xf>
    <xf numFmtId="182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0" fillId="0" borderId="0" xfId="2" applyFont="1">
      <alignment vertical="center"/>
    </xf>
    <xf numFmtId="178" fontId="9" fillId="5" borderId="2" xfId="1" applyNumberFormat="1" applyFont="1" applyFill="1" applyBorder="1" applyAlignment="1">
      <alignment vertical="center"/>
    </xf>
    <xf numFmtId="178" fontId="4" fillId="18" borderId="20" xfId="1" applyNumberFormat="1" applyFont="1" applyFill="1" applyBorder="1" applyAlignment="1">
      <alignment horizontal="center" vertical="center"/>
    </xf>
    <xf numFmtId="178" fontId="13" fillId="0" borderId="0" xfId="1" applyNumberFormat="1" applyFont="1">
      <alignment vertical="center"/>
    </xf>
    <xf numFmtId="9" fontId="0" fillId="0" borderId="0" xfId="2" applyNumberFormat="1" applyFont="1">
      <alignment vertical="center"/>
    </xf>
    <xf numFmtId="0" fontId="43" fillId="0" borderId="0" xfId="4" applyFont="1" applyAlignment="1">
      <alignment horizontal="center"/>
    </xf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13" fillId="0" borderId="0" xfId="4" applyFont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48" fillId="2" borderId="6" xfId="0" applyFont="1" applyFill="1" applyBorder="1">
      <alignment vertical="center"/>
    </xf>
    <xf numFmtId="0" fontId="48" fillId="2" borderId="0" xfId="0" applyFont="1" applyFill="1" applyBorder="1">
      <alignment vertical="center"/>
    </xf>
    <xf numFmtId="0" fontId="48" fillId="2" borderId="7" xfId="0" applyFont="1" applyFill="1" applyBorder="1">
      <alignment vertical="center"/>
    </xf>
    <xf numFmtId="0" fontId="48" fillId="2" borderId="6" xfId="0" applyFont="1" applyFill="1" applyBorder="1" applyAlignment="1">
      <alignment vertical="center"/>
    </xf>
    <xf numFmtId="0" fontId="48" fillId="2" borderId="0" xfId="0" applyFont="1" applyFill="1" applyBorder="1" applyAlignment="1">
      <alignment vertical="center"/>
    </xf>
    <xf numFmtId="0" fontId="48" fillId="2" borderId="7" xfId="0" applyFont="1" applyFill="1" applyBorder="1" applyAlignment="1">
      <alignment vertical="center"/>
    </xf>
    <xf numFmtId="9" fontId="48" fillId="2" borderId="6" xfId="2" applyFont="1" applyFill="1" applyBorder="1">
      <alignment vertical="center"/>
    </xf>
    <xf numFmtId="9" fontId="48" fillId="2" borderId="0" xfId="2" applyFont="1" applyFill="1" applyBorder="1">
      <alignment vertical="center"/>
    </xf>
    <xf numFmtId="178" fontId="48" fillId="2" borderId="6" xfId="0" applyNumberFormat="1" applyFont="1" applyFill="1" applyBorder="1">
      <alignment vertical="center"/>
    </xf>
    <xf numFmtId="178" fontId="48" fillId="2" borderId="0" xfId="0" applyNumberFormat="1" applyFont="1" applyFill="1" applyBorder="1">
      <alignment vertical="center"/>
    </xf>
    <xf numFmtId="178" fontId="48" fillId="2" borderId="6" xfId="2" applyNumberFormat="1" applyFont="1" applyFill="1" applyBorder="1">
      <alignment vertical="center"/>
    </xf>
    <xf numFmtId="178" fontId="48" fillId="2" borderId="0" xfId="2" applyNumberFormat="1" applyFont="1" applyFill="1" applyBorder="1">
      <alignment vertical="center"/>
    </xf>
    <xf numFmtId="180" fontId="48" fillId="2" borderId="6" xfId="2" applyNumberFormat="1" applyFont="1" applyFill="1" applyBorder="1">
      <alignment vertical="center"/>
    </xf>
    <xf numFmtId="180" fontId="48" fillId="2" borderId="0" xfId="2" applyNumberFormat="1" applyFont="1" applyFill="1" applyBorder="1">
      <alignment vertical="center"/>
    </xf>
    <xf numFmtId="9" fontId="48" fillId="2" borderId="6" xfId="2" applyFont="1" applyFill="1" applyBorder="1" applyAlignment="1">
      <alignment vertical="center"/>
    </xf>
    <xf numFmtId="9" fontId="48" fillId="2" borderId="0" xfId="2" applyFont="1" applyFill="1" applyBorder="1" applyAlignment="1">
      <alignment vertical="center"/>
    </xf>
    <xf numFmtId="181" fontId="48" fillId="2" borderId="6" xfId="0" applyNumberFormat="1" applyFont="1" applyFill="1" applyBorder="1">
      <alignment vertical="center"/>
    </xf>
    <xf numFmtId="181" fontId="48" fillId="2" borderId="0" xfId="0" applyNumberFormat="1" applyFont="1" applyFill="1" applyBorder="1">
      <alignment vertical="center"/>
    </xf>
    <xf numFmtId="179" fontId="48" fillId="2" borderId="6" xfId="2" applyNumberFormat="1" applyFont="1" applyFill="1" applyBorder="1">
      <alignment vertical="center"/>
    </xf>
    <xf numFmtId="179" fontId="48" fillId="2" borderId="0" xfId="2" applyNumberFormat="1" applyFont="1" applyFill="1" applyBorder="1">
      <alignment vertical="center"/>
    </xf>
    <xf numFmtId="0" fontId="9" fillId="5" borderId="5" xfId="0" applyFont="1" applyFill="1" applyBorder="1" applyAlignment="1">
      <alignment vertical="center"/>
    </xf>
    <xf numFmtId="0" fontId="9" fillId="5" borderId="2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25" xfId="0" applyFont="1" applyFill="1" applyBorder="1" applyAlignment="1">
      <alignment vertical="center"/>
    </xf>
    <xf numFmtId="179" fontId="4" fillId="7" borderId="20" xfId="0" applyNumberFormat="1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vertical="center"/>
    </xf>
    <xf numFmtId="0" fontId="4" fillId="22" borderId="30" xfId="0" applyFont="1" applyFill="1" applyBorder="1" applyAlignment="1">
      <alignment horizontal="center" vertical="center"/>
    </xf>
    <xf numFmtId="0" fontId="4" fillId="22" borderId="31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wrapText="1"/>
    </xf>
    <xf numFmtId="0" fontId="13" fillId="19" borderId="0" xfId="0" applyFont="1" applyFill="1" applyAlignment="1">
      <alignment horizontal="center" wrapText="1"/>
    </xf>
    <xf numFmtId="0" fontId="13" fillId="23" borderId="0" xfId="0" applyFont="1" applyFill="1" applyAlignment="1">
      <alignment horizontal="center"/>
    </xf>
    <xf numFmtId="9" fontId="13" fillId="19" borderId="0" xfId="2" applyNumberFormat="1" applyFont="1" applyFill="1" applyAlignment="1">
      <alignment horizontal="center" wrapText="1"/>
    </xf>
    <xf numFmtId="9" fontId="13" fillId="21" borderId="0" xfId="2" applyFont="1" applyFill="1" applyAlignment="1">
      <alignment horizontal="center" wrapText="1"/>
    </xf>
    <xf numFmtId="0" fontId="13" fillId="21" borderId="0" xfId="0" applyFont="1" applyFill="1" applyAlignment="1">
      <alignment horizontal="center" wrapText="1"/>
    </xf>
    <xf numFmtId="0" fontId="13" fillId="0" borderId="0" xfId="0" applyFont="1" applyAlignment="1">
      <alignment horizontal="center"/>
    </xf>
    <xf numFmtId="0" fontId="4" fillId="17" borderId="0" xfId="0" applyFont="1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176" fontId="13" fillId="17" borderId="0" xfId="1" applyFont="1" applyFill="1" applyAlignment="1">
      <alignment horizontal="center"/>
    </xf>
    <xf numFmtId="176" fontId="0" fillId="0" borderId="0" xfId="1" applyFont="1">
      <alignment vertical="center"/>
    </xf>
    <xf numFmtId="0" fontId="5" fillId="0" borderId="0" xfId="3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>
      <alignment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>
      <alignment vertical="center"/>
    </xf>
    <xf numFmtId="0" fontId="3" fillId="9" borderId="35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1" fillId="0" borderId="0" xfId="0" applyNumberFormat="1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0" fillId="25" borderId="27" xfId="0" applyFill="1" applyBorder="1" applyAlignment="1">
      <alignment horizontal="center" vertical="center"/>
    </xf>
    <xf numFmtId="0" fontId="0" fillId="25" borderId="9" xfId="0" applyFill="1" applyBorder="1">
      <alignment vertical="center"/>
    </xf>
    <xf numFmtId="0" fontId="0" fillId="25" borderId="28" xfId="0" applyFill="1" applyBorder="1">
      <alignment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>
      <alignment vertical="center"/>
    </xf>
    <xf numFmtId="14" fontId="3" fillId="24" borderId="10" xfId="0" applyNumberFormat="1" applyFont="1" applyFill="1" applyBorder="1" applyAlignment="1">
      <alignment horizontal="center" vertical="center"/>
    </xf>
    <xf numFmtId="184" fontId="51" fillId="24" borderId="8" xfId="0" applyNumberFormat="1" applyFont="1" applyFill="1" applyBorder="1" applyAlignment="1">
      <alignment horizontal="center" vertical="center"/>
    </xf>
    <xf numFmtId="0" fontId="0" fillId="17" borderId="39" xfId="0" applyFill="1" applyBorder="1">
      <alignment vertical="center"/>
    </xf>
    <xf numFmtId="176" fontId="52" fillId="0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center"/>
    </xf>
    <xf numFmtId="14" fontId="0" fillId="2" borderId="0" xfId="0" applyNumberFormat="1" applyFill="1" applyAlignment="1">
      <alignment vertical="center"/>
    </xf>
    <xf numFmtId="0" fontId="0" fillId="2" borderId="0" xfId="0" applyNumberFormat="1" applyFill="1" applyAlignment="1">
      <alignment horizontal="center" vertical="center"/>
    </xf>
    <xf numFmtId="0" fontId="0" fillId="23" borderId="9" xfId="0" applyFill="1" applyBorder="1">
      <alignment vertical="center"/>
    </xf>
    <xf numFmtId="0" fontId="0" fillId="23" borderId="40" xfId="0" applyFill="1" applyBorder="1" applyAlignment="1">
      <alignment horizontal="center" vertical="center"/>
    </xf>
    <xf numFmtId="0" fontId="0" fillId="23" borderId="42" xfId="0" applyFill="1" applyBorder="1">
      <alignment vertical="center"/>
    </xf>
    <xf numFmtId="0" fontId="0" fillId="23" borderId="27" xfId="0" applyFill="1" applyBorder="1" applyAlignment="1">
      <alignment horizontal="center" vertical="center"/>
    </xf>
    <xf numFmtId="0" fontId="0" fillId="23" borderId="28" xfId="0" applyFill="1" applyBorder="1">
      <alignment vertical="center"/>
    </xf>
    <xf numFmtId="0" fontId="0" fillId="9" borderId="27" xfId="0" applyFill="1" applyBorder="1" applyAlignment="1">
      <alignment horizontal="center" vertical="center"/>
    </xf>
    <xf numFmtId="0" fontId="0" fillId="9" borderId="28" xfId="0" applyFill="1" applyBorder="1">
      <alignment vertical="center"/>
    </xf>
    <xf numFmtId="185" fontId="0" fillId="25" borderId="9" xfId="0" applyNumberFormat="1" applyFill="1" applyBorder="1">
      <alignment vertical="center"/>
    </xf>
    <xf numFmtId="185" fontId="0" fillId="16" borderId="9" xfId="0" applyNumberFormat="1" applyFill="1" applyBorder="1">
      <alignment vertical="center"/>
    </xf>
    <xf numFmtId="185" fontId="0" fillId="16" borderId="9" xfId="2" applyNumberFormat="1" applyFont="1" applyFill="1" applyBorder="1">
      <alignment vertical="center"/>
    </xf>
    <xf numFmtId="185" fontId="0" fillId="17" borderId="9" xfId="0" applyNumberFormat="1" applyFill="1" applyBorder="1" applyAlignment="1">
      <alignment horizontal="right" vertical="center"/>
    </xf>
    <xf numFmtId="185" fontId="0" fillId="17" borderId="9" xfId="0" applyNumberFormat="1" applyFill="1" applyBorder="1">
      <alignment vertical="center"/>
    </xf>
    <xf numFmtId="185" fontId="0" fillId="9" borderId="9" xfId="0" applyNumberFormat="1" applyFill="1" applyBorder="1">
      <alignment vertical="center"/>
    </xf>
    <xf numFmtId="185" fontId="0" fillId="23" borderId="9" xfId="0" applyNumberFormat="1" applyFill="1" applyBorder="1">
      <alignment vertical="center"/>
    </xf>
    <xf numFmtId="185" fontId="0" fillId="23" borderId="41" xfId="0" applyNumberFormat="1" applyFill="1" applyBorder="1">
      <alignment vertical="center"/>
    </xf>
    <xf numFmtId="186" fontId="0" fillId="25" borderId="9" xfId="0" applyNumberFormat="1" applyFill="1" applyBorder="1" applyAlignment="1">
      <alignment horizontal="right" vertical="center"/>
    </xf>
    <xf numFmtId="0" fontId="0" fillId="0" borderId="0" xfId="0" applyNumberFormat="1" applyFont="1" applyFill="1" applyBorder="1" applyAlignment="1"/>
    <xf numFmtId="10" fontId="0" fillId="0" borderId="0" xfId="0" applyNumberFormat="1" applyFont="1" applyFill="1" applyBorder="1" applyAlignment="1"/>
    <xf numFmtId="0" fontId="55" fillId="2" borderId="22" xfId="3" applyFont="1" applyFill="1" applyBorder="1" applyAlignment="1">
      <alignment horizontal="center" vertical="center" wrapText="1"/>
    </xf>
    <xf numFmtId="0" fontId="56" fillId="2" borderId="24" xfId="3" applyFont="1" applyFill="1" applyBorder="1" applyAlignment="1">
      <alignment horizontal="center" vertical="center" wrapText="1"/>
    </xf>
    <xf numFmtId="0" fontId="55" fillId="2" borderId="23" xfId="3" applyFont="1" applyFill="1" applyBorder="1" applyAlignment="1">
      <alignment horizontal="center" vertical="center" wrapText="1"/>
    </xf>
    <xf numFmtId="9" fontId="5" fillId="0" borderId="0" xfId="3" applyNumberFormat="1">
      <alignment vertical="center"/>
    </xf>
    <xf numFmtId="9" fontId="29" fillId="0" borderId="9" xfId="2" applyFont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9" fontId="18" fillId="0" borderId="0" xfId="2" applyFont="1" applyAlignment="1">
      <alignment horizontal="right"/>
    </xf>
    <xf numFmtId="10" fontId="53" fillId="0" borderId="43" xfId="6" applyNumberFormat="1" applyFont="1" applyFill="1" applyBorder="1" applyAlignment="1">
      <alignment horizontal="right" vertical="center"/>
    </xf>
    <xf numFmtId="0" fontId="53" fillId="0" borderId="43" xfId="6" applyNumberFormat="1" applyFont="1" applyFill="1" applyBorder="1" applyAlignment="1">
      <alignment horizontal="center" vertical="center" wrapText="1"/>
    </xf>
    <xf numFmtId="187" fontId="53" fillId="0" borderId="43" xfId="6" applyNumberFormat="1" applyFont="1" applyFill="1" applyBorder="1" applyAlignment="1">
      <alignment horizontal="center" vertical="center"/>
    </xf>
    <xf numFmtId="38" fontId="53" fillId="0" borderId="43" xfId="6" applyNumberFormat="1" applyFont="1" applyFill="1" applyBorder="1" applyAlignment="1">
      <alignment horizontal="right" vertical="center"/>
    </xf>
    <xf numFmtId="185" fontId="4" fillId="0" borderId="0" xfId="0" applyNumberFormat="1" applyFont="1" applyAlignment="1">
      <alignment horizontal="center" vertical="center"/>
    </xf>
    <xf numFmtId="185" fontId="0" fillId="0" borderId="0" xfId="0" applyNumberFormat="1">
      <alignment vertical="center"/>
    </xf>
    <xf numFmtId="182" fontId="0" fillId="0" borderId="0" xfId="1" applyNumberFormat="1" applyFont="1">
      <alignment vertical="center"/>
    </xf>
    <xf numFmtId="0" fontId="58" fillId="26" borderId="44" xfId="0" applyFont="1" applyFill="1" applyBorder="1" applyAlignment="1">
      <alignment horizontal="center" vertical="center"/>
    </xf>
    <xf numFmtId="0" fontId="60" fillId="24" borderId="48" xfId="0" applyFont="1" applyFill="1" applyBorder="1" applyAlignment="1">
      <alignment horizontal="left" vertical="center"/>
    </xf>
    <xf numFmtId="21" fontId="0" fillId="0" borderId="0" xfId="0" applyNumberFormat="1" applyFont="1" applyFill="1">
      <alignment vertical="center"/>
    </xf>
    <xf numFmtId="177" fontId="48" fillId="2" borderId="0" xfId="1" applyNumberFormat="1" applyFont="1" applyFill="1" applyBorder="1" applyAlignment="1">
      <alignment horizontal="center" vertical="center"/>
    </xf>
    <xf numFmtId="178" fontId="48" fillId="2" borderId="0" xfId="2" applyNumberFormat="1" applyFont="1" applyFill="1" applyBorder="1" applyAlignment="1">
      <alignment vertical="center"/>
    </xf>
    <xf numFmtId="179" fontId="48" fillId="2" borderId="0" xfId="2" applyNumberFormat="1" applyFont="1" applyFill="1" applyBorder="1" applyAlignment="1">
      <alignment horizontal="center" vertical="center"/>
    </xf>
    <xf numFmtId="177" fontId="48" fillId="2" borderId="7" xfId="1" applyNumberFormat="1" applyFont="1" applyFill="1" applyBorder="1" applyAlignment="1">
      <alignment horizontal="center" vertical="center"/>
    </xf>
    <xf numFmtId="179" fontId="48" fillId="2" borderId="7" xfId="2" applyNumberFormat="1" applyFont="1" applyFill="1" applyBorder="1" applyAlignment="1">
      <alignment vertical="center"/>
    </xf>
    <xf numFmtId="0" fontId="48" fillId="2" borderId="15" xfId="0" applyFont="1" applyFill="1" applyBorder="1" applyAlignment="1">
      <alignment vertical="center"/>
    </xf>
    <xf numFmtId="0" fontId="48" fillId="2" borderId="16" xfId="0" applyFont="1" applyFill="1" applyBorder="1" applyAlignment="1">
      <alignment vertical="center"/>
    </xf>
    <xf numFmtId="0" fontId="55" fillId="2" borderId="24" xfId="0" applyFont="1" applyFill="1" applyBorder="1" applyAlignment="1">
      <alignment horizontal="center" vertical="center" wrapText="1"/>
    </xf>
    <xf numFmtId="44" fontId="0" fillId="2" borderId="0" xfId="0" applyNumberFormat="1" applyFill="1">
      <alignment vertical="center"/>
    </xf>
    <xf numFmtId="9" fontId="0" fillId="2" borderId="0" xfId="2" applyFon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9" fontId="48" fillId="2" borderId="0" xfId="2" applyFont="1" applyFill="1" applyBorder="1" applyAlignment="1">
      <alignment horizontal="center" vertical="center"/>
    </xf>
    <xf numFmtId="9" fontId="48" fillId="2" borderId="7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9" fontId="48" fillId="2" borderId="15" xfId="2" applyFont="1" applyFill="1" applyBorder="1">
      <alignment vertical="center"/>
    </xf>
    <xf numFmtId="176" fontId="35" fillId="2" borderId="0" xfId="1" applyFont="1" applyFill="1" applyBorder="1">
      <alignment vertical="center"/>
    </xf>
    <xf numFmtId="0" fontId="35" fillId="2" borderId="0" xfId="0" applyFont="1" applyFill="1" applyBorder="1">
      <alignment vertical="center"/>
    </xf>
    <xf numFmtId="182" fontId="35" fillId="2" borderId="0" xfId="1" applyNumberFormat="1" applyFont="1" applyFill="1" applyBorder="1">
      <alignment vertical="center"/>
    </xf>
    <xf numFmtId="9" fontId="35" fillId="2" borderId="0" xfId="2" applyFont="1" applyFill="1" applyBorder="1">
      <alignment vertical="center"/>
    </xf>
    <xf numFmtId="0" fontId="35" fillId="2" borderId="0" xfId="0" applyFont="1" applyFill="1">
      <alignment vertical="center"/>
    </xf>
    <xf numFmtId="0" fontId="35" fillId="2" borderId="0" xfId="0" applyFont="1" applyFill="1" applyBorder="1" applyAlignment="1">
      <alignment vertical="center" wrapText="1"/>
    </xf>
    <xf numFmtId="9" fontId="48" fillId="2" borderId="14" xfId="2" applyFont="1" applyFill="1" applyBorder="1">
      <alignment vertical="center"/>
    </xf>
    <xf numFmtId="0" fontId="48" fillId="2" borderId="14" xfId="0" applyFont="1" applyFill="1" applyBorder="1">
      <alignment vertical="center"/>
    </xf>
    <xf numFmtId="0" fontId="48" fillId="2" borderId="15" xfId="0" applyFont="1" applyFill="1" applyBorder="1">
      <alignment vertical="center"/>
    </xf>
    <xf numFmtId="0" fontId="48" fillId="2" borderId="16" xfId="0" applyFont="1" applyFill="1" applyBorder="1">
      <alignment vertical="center"/>
    </xf>
    <xf numFmtId="0" fontId="43" fillId="0" borderId="0" xfId="4" applyFont="1" applyAlignment="1">
      <alignment horizontal="center"/>
    </xf>
    <xf numFmtId="0" fontId="65" fillId="2" borderId="0" xfId="0" applyFont="1" applyFill="1" applyBorder="1">
      <alignment vertical="center"/>
    </xf>
    <xf numFmtId="0" fontId="3" fillId="0" borderId="16" xfId="0" applyFont="1" applyFill="1" applyBorder="1" applyAlignment="1">
      <alignment horizontal="left" vertical="center"/>
    </xf>
    <xf numFmtId="0" fontId="52" fillId="2" borderId="0" xfId="0" applyFont="1" applyFill="1" applyBorder="1">
      <alignment vertical="center"/>
    </xf>
    <xf numFmtId="0" fontId="66" fillId="2" borderId="0" xfId="0" applyFont="1" applyFill="1" applyBorder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8" fillId="2" borderId="0" xfId="0" applyFont="1" applyFill="1">
      <alignment vertical="center"/>
    </xf>
    <xf numFmtId="176" fontId="47" fillId="2" borderId="0" xfId="1" applyFont="1" applyFill="1" applyBorder="1">
      <alignment vertical="center"/>
    </xf>
    <xf numFmtId="0" fontId="47" fillId="2" borderId="0" xfId="0" applyFont="1" applyFill="1" applyBorder="1">
      <alignment vertical="center"/>
    </xf>
    <xf numFmtId="176" fontId="48" fillId="2" borderId="0" xfId="0" applyNumberFormat="1" applyFont="1" applyFill="1" applyBorder="1">
      <alignment vertical="center"/>
    </xf>
    <xf numFmtId="3" fontId="48" fillId="2" borderId="0" xfId="0" applyNumberFormat="1" applyFont="1" applyFill="1">
      <alignment vertical="center"/>
    </xf>
    <xf numFmtId="4" fontId="0" fillId="2" borderId="0" xfId="0" applyNumberFormat="1" applyFill="1">
      <alignment vertical="center"/>
    </xf>
    <xf numFmtId="0" fontId="60" fillId="9" borderId="49" xfId="0" applyFont="1" applyFill="1" applyBorder="1">
      <alignment vertical="center"/>
    </xf>
    <xf numFmtId="182" fontId="60" fillId="9" borderId="51" xfId="1" applyNumberFormat="1" applyFont="1" applyFill="1" applyBorder="1">
      <alignment vertical="center"/>
    </xf>
    <xf numFmtId="0" fontId="60" fillId="9" borderId="48" xfId="0" applyFont="1" applyFill="1" applyBorder="1">
      <alignment vertical="center"/>
    </xf>
    <xf numFmtId="0" fontId="61" fillId="2" borderId="53" xfId="0" applyFont="1" applyFill="1" applyBorder="1">
      <alignment vertical="center"/>
    </xf>
    <xf numFmtId="0" fontId="49" fillId="2" borderId="4" xfId="0" applyNumberFormat="1" applyFont="1" applyFill="1" applyBorder="1" applyAlignment="1">
      <alignment horizontal="right"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25" xfId="0" applyFill="1" applyBorder="1">
      <alignment vertical="center"/>
    </xf>
    <xf numFmtId="14" fontId="59" fillId="2" borderId="25" xfId="0" applyNumberFormat="1" applyFont="1" applyFill="1" applyBorder="1" applyAlignment="1">
      <alignment horizontal="left" vertical="center"/>
    </xf>
    <xf numFmtId="14" fontId="59" fillId="2" borderId="4" xfId="0" applyNumberFormat="1" applyFont="1" applyFill="1" applyBorder="1" applyAlignment="1">
      <alignment horizontal="right" vertical="center"/>
    </xf>
    <xf numFmtId="0" fontId="60" fillId="0" borderId="0" xfId="0" applyFont="1" applyFill="1" applyBorder="1">
      <alignment vertical="center"/>
    </xf>
    <xf numFmtId="182" fontId="60" fillId="0" borderId="0" xfId="1" applyNumberFormat="1" applyFont="1" applyFill="1" applyBorder="1">
      <alignment vertical="center"/>
    </xf>
    <xf numFmtId="182" fontId="60" fillId="9" borderId="52" xfId="1" applyNumberFormat="1" applyFont="1" applyFill="1" applyBorder="1">
      <alignment vertical="center"/>
    </xf>
    <xf numFmtId="3" fontId="60" fillId="9" borderId="37" xfId="0" applyNumberFormat="1" applyFont="1" applyFill="1" applyBorder="1" applyAlignment="1">
      <alignment horizontal="center" vertical="center"/>
    </xf>
    <xf numFmtId="10" fontId="60" fillId="9" borderId="28" xfId="0" applyNumberFormat="1" applyFont="1" applyFill="1" applyBorder="1" applyAlignment="1">
      <alignment horizontal="center" vertical="center"/>
    </xf>
    <xf numFmtId="181" fontId="60" fillId="9" borderId="51" xfId="0" applyNumberFormat="1" applyFont="1" applyFill="1" applyBorder="1">
      <alignment vertical="center"/>
    </xf>
    <xf numFmtId="0" fontId="60" fillId="9" borderId="28" xfId="0" applyFont="1" applyFill="1" applyBorder="1" applyAlignment="1">
      <alignment horizontal="center" vertical="center"/>
    </xf>
    <xf numFmtId="10" fontId="60" fillId="9" borderId="49" xfId="0" applyNumberFormat="1" applyFont="1" applyFill="1" applyBorder="1">
      <alignment vertical="center"/>
    </xf>
    <xf numFmtId="0" fontId="60" fillId="9" borderId="50" xfId="0" applyFont="1" applyFill="1" applyBorder="1">
      <alignment vertical="center"/>
    </xf>
    <xf numFmtId="176" fontId="60" fillId="9" borderId="54" xfId="1" applyFont="1" applyFill="1" applyBorder="1">
      <alignment vertical="center"/>
    </xf>
    <xf numFmtId="9" fontId="60" fillId="9" borderId="33" xfId="2" applyFont="1" applyFill="1" applyBorder="1" applyAlignment="1">
      <alignment horizontal="center" vertical="center"/>
    </xf>
    <xf numFmtId="0" fontId="60" fillId="27" borderId="49" xfId="0" applyFont="1" applyFill="1" applyBorder="1">
      <alignment vertical="center"/>
    </xf>
    <xf numFmtId="0" fontId="60" fillId="27" borderId="48" xfId="0" applyFont="1" applyFill="1" applyBorder="1" applyAlignment="1">
      <alignment horizontal="left" vertical="center"/>
    </xf>
    <xf numFmtId="0" fontId="59" fillId="27" borderId="30" xfId="0" applyFont="1" applyFill="1" applyBorder="1" applyAlignment="1">
      <alignment vertical="center"/>
    </xf>
    <xf numFmtId="49" fontId="60" fillId="27" borderId="10" xfId="1" applyNumberFormat="1" applyFont="1" applyFill="1" applyBorder="1" applyAlignment="1">
      <alignment horizontal="center" vertical="center"/>
    </xf>
    <xf numFmtId="49" fontId="60" fillId="27" borderId="17" xfId="1" applyNumberFormat="1" applyFont="1" applyFill="1" applyBorder="1" applyAlignment="1">
      <alignment horizontal="center" vertical="center"/>
    </xf>
    <xf numFmtId="0" fontId="60" fillId="27" borderId="49" xfId="0" applyFont="1" applyFill="1" applyBorder="1" applyAlignment="1">
      <alignment horizontal="left" vertical="center"/>
    </xf>
    <xf numFmtId="9" fontId="60" fillId="27" borderId="27" xfId="2" applyFont="1" applyFill="1" applyBorder="1" applyAlignment="1">
      <alignment vertical="center"/>
    </xf>
    <xf numFmtId="9" fontId="60" fillId="27" borderId="28" xfId="2" applyFont="1" applyFill="1" applyBorder="1" applyAlignment="1">
      <alignment horizontal="right" vertical="center"/>
    </xf>
    <xf numFmtId="182" fontId="60" fillId="27" borderId="27" xfId="1" applyNumberFormat="1" applyFont="1" applyFill="1" applyBorder="1" applyAlignment="1">
      <alignment horizontal="left" vertical="center"/>
    </xf>
    <xf numFmtId="182" fontId="60" fillId="27" borderId="28" xfId="1" applyNumberFormat="1" applyFont="1" applyFill="1" applyBorder="1" applyAlignment="1">
      <alignment horizontal="center" vertical="center"/>
    </xf>
    <xf numFmtId="176" fontId="60" fillId="27" borderId="27" xfId="1" applyFont="1" applyFill="1" applyBorder="1" applyAlignment="1">
      <alignment horizontal="center" vertical="center"/>
    </xf>
    <xf numFmtId="176" fontId="60" fillId="27" borderId="28" xfId="1" applyFont="1" applyFill="1" applyBorder="1" applyAlignment="1">
      <alignment horizontal="center" vertical="center"/>
    </xf>
    <xf numFmtId="0" fontId="60" fillId="27" borderId="50" xfId="0" applyFont="1" applyFill="1" applyBorder="1" applyAlignment="1">
      <alignment horizontal="left" vertical="center"/>
    </xf>
    <xf numFmtId="176" fontId="60" fillId="27" borderId="32" xfId="1" applyFont="1" applyFill="1" applyBorder="1" applyAlignment="1">
      <alignment horizontal="center" vertical="center"/>
    </xf>
    <xf numFmtId="176" fontId="60" fillId="27" borderId="33" xfId="1" applyFont="1" applyFill="1" applyBorder="1" applyAlignment="1">
      <alignment vertical="center"/>
    </xf>
    <xf numFmtId="176" fontId="60" fillId="27" borderId="27" xfId="1" applyFont="1" applyFill="1" applyBorder="1">
      <alignment vertical="center"/>
    </xf>
    <xf numFmtId="176" fontId="60" fillId="27" borderId="28" xfId="1" applyFont="1" applyFill="1" applyBorder="1">
      <alignment vertical="center"/>
    </xf>
    <xf numFmtId="9" fontId="60" fillId="27" borderId="27" xfId="2" applyFont="1" applyFill="1" applyBorder="1" applyAlignment="1">
      <alignment horizontal="right" vertical="center"/>
    </xf>
    <xf numFmtId="3" fontId="64" fillId="27" borderId="27" xfId="0" applyNumberFormat="1" applyFont="1" applyFill="1" applyBorder="1" applyAlignment="1">
      <alignment horizontal="center" vertical="center"/>
    </xf>
    <xf numFmtId="0" fontId="61" fillId="27" borderId="29" xfId="0" applyFont="1" applyFill="1" applyBorder="1">
      <alignment vertical="center"/>
    </xf>
    <xf numFmtId="0" fontId="61" fillId="27" borderId="11" xfId="0" applyFont="1" applyFill="1" applyBorder="1">
      <alignment vertical="center"/>
    </xf>
    <xf numFmtId="0" fontId="61" fillId="27" borderId="20" xfId="0" applyFont="1" applyFill="1" applyBorder="1">
      <alignment vertical="center"/>
    </xf>
    <xf numFmtId="0" fontId="60" fillId="18" borderId="48" xfId="0" applyFont="1" applyFill="1" applyBorder="1">
      <alignment vertical="center"/>
    </xf>
    <xf numFmtId="0" fontId="60" fillId="18" borderId="49" xfId="0" applyFont="1" applyFill="1" applyBorder="1">
      <alignment vertical="center"/>
    </xf>
    <xf numFmtId="0" fontId="60" fillId="18" borderId="31" xfId="0" applyFont="1" applyFill="1" applyBorder="1">
      <alignment vertical="center"/>
    </xf>
    <xf numFmtId="9" fontId="60" fillId="24" borderId="55" xfId="2" applyFont="1" applyFill="1" applyBorder="1" applyAlignment="1">
      <alignment horizontal="left" vertical="center"/>
    </xf>
    <xf numFmtId="186" fontId="60" fillId="24" borderId="17" xfId="0" applyNumberFormat="1" applyFont="1" applyFill="1" applyBorder="1" applyAlignment="1">
      <alignment horizontal="left" vertical="center"/>
    </xf>
    <xf numFmtId="176" fontId="60" fillId="24" borderId="29" xfId="1" applyNumberFormat="1" applyFont="1" applyFill="1" applyBorder="1" applyAlignment="1">
      <alignment horizontal="center" vertical="center"/>
    </xf>
    <xf numFmtId="182" fontId="60" fillId="24" borderId="26" xfId="1" applyNumberFormat="1" applyFont="1" applyFill="1" applyBorder="1" applyAlignment="1">
      <alignment horizontal="center" vertical="center"/>
    </xf>
    <xf numFmtId="182" fontId="60" fillId="24" borderId="20" xfId="1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vertical="center"/>
    </xf>
    <xf numFmtId="0" fontId="50" fillId="2" borderId="2" xfId="0" applyFont="1" applyFill="1" applyBorder="1" applyAlignment="1">
      <alignment vertical="center"/>
    </xf>
    <xf numFmtId="0" fontId="50" fillId="2" borderId="3" xfId="0" applyFont="1" applyFill="1" applyBorder="1" applyAlignment="1">
      <alignment vertical="center"/>
    </xf>
    <xf numFmtId="0" fontId="47" fillId="2" borderId="1" xfId="0" applyFont="1" applyFill="1" applyBorder="1" applyAlignment="1">
      <alignment horizontal="center" vertical="center"/>
    </xf>
    <xf numFmtId="0" fontId="47" fillId="2" borderId="2" xfId="0" applyFont="1" applyFill="1" applyBorder="1" applyAlignment="1">
      <alignment horizontal="center" vertical="center"/>
    </xf>
    <xf numFmtId="0" fontId="20" fillId="2" borderId="5" xfId="0" applyFont="1" applyFill="1" applyBorder="1" applyAlignment="1">
      <alignment horizontal="right" vertical="center"/>
    </xf>
    <xf numFmtId="0" fontId="43" fillId="0" borderId="0" xfId="4" applyFont="1" applyAlignment="1">
      <alignment horizontal="center"/>
    </xf>
    <xf numFmtId="0" fontId="3" fillId="24" borderId="27" xfId="0" applyFont="1" applyFill="1" applyBorder="1" applyAlignment="1">
      <alignment horizontal="center" vertical="center"/>
    </xf>
    <xf numFmtId="0" fontId="3" fillId="24" borderId="9" xfId="0" applyFont="1" applyFill="1" applyBorder="1" applyAlignment="1">
      <alignment horizontal="center" vertical="center"/>
    </xf>
    <xf numFmtId="0" fontId="3" fillId="24" borderId="28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0" fontId="60" fillId="9" borderId="51" xfId="2" applyNumberFormat="1" applyFont="1" applyFill="1" applyBorder="1">
      <alignment vertical="center"/>
    </xf>
    <xf numFmtId="10" fontId="48" fillId="2" borderId="0" xfId="2" applyNumberFormat="1" applyFont="1" applyFill="1" applyBorder="1">
      <alignment vertical="center"/>
    </xf>
    <xf numFmtId="188" fontId="0" fillId="0" borderId="0" xfId="0" applyNumberFormat="1" applyFont="1" applyFill="1">
      <alignment vertical="center"/>
    </xf>
    <xf numFmtId="0" fontId="9" fillId="0" borderId="0" xfId="4" applyFont="1" applyAlignment="1">
      <alignment horizontal="center"/>
    </xf>
    <xf numFmtId="0" fontId="9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9" fontId="0" fillId="19" borderId="9" xfId="2" applyFont="1" applyFill="1" applyBorder="1">
      <alignment vertical="center"/>
    </xf>
    <xf numFmtId="9" fontId="0" fillId="12" borderId="9" xfId="2" applyFont="1" applyFill="1" applyBorder="1">
      <alignment vertical="center"/>
    </xf>
    <xf numFmtId="0" fontId="0" fillId="2" borderId="9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9" xfId="0" applyBorder="1">
      <alignment vertical="center"/>
    </xf>
    <xf numFmtId="0" fontId="0" fillId="2" borderId="9" xfId="0" applyFill="1" applyBorder="1" applyAlignment="1">
      <alignment horizontal="center" vertical="center"/>
    </xf>
    <xf numFmtId="180" fontId="0" fillId="0" borderId="9" xfId="0" applyNumberFormat="1" applyFill="1" applyBorder="1" applyAlignment="1">
      <alignment horizontal="center" vertical="center"/>
    </xf>
    <xf numFmtId="180" fontId="0" fillId="2" borderId="9" xfId="0" applyNumberForma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80" fontId="0" fillId="0" borderId="9" xfId="0" applyNumberFormat="1" applyBorder="1" applyAlignment="1">
      <alignment horizontal="center" vertical="center"/>
    </xf>
    <xf numFmtId="4" fontId="0" fillId="0" borderId="0" xfId="0" applyNumberFormat="1">
      <alignment vertical="center"/>
    </xf>
    <xf numFmtId="176" fontId="60" fillId="18" borderId="21" xfId="1" applyFont="1" applyFill="1" applyBorder="1">
      <alignment vertical="center"/>
    </xf>
    <xf numFmtId="182" fontId="60" fillId="18" borderId="56" xfId="1" applyNumberFormat="1" applyFont="1" applyFill="1" applyBorder="1">
      <alignment vertical="center"/>
    </xf>
    <xf numFmtId="182" fontId="60" fillId="18" borderId="15" xfId="1" applyNumberFormat="1" applyFont="1" applyFill="1" applyBorder="1">
      <alignment vertical="center"/>
    </xf>
    <xf numFmtId="2" fontId="60" fillId="24" borderId="48" xfId="1" applyNumberFormat="1" applyFont="1" applyFill="1" applyBorder="1" applyAlignment="1">
      <alignment horizontal="center" vertical="center"/>
    </xf>
    <xf numFmtId="2" fontId="60" fillId="24" borderId="49" xfId="1" applyNumberFormat="1" applyFont="1" applyFill="1" applyBorder="1" applyAlignment="1">
      <alignment horizontal="center" vertical="center"/>
    </xf>
    <xf numFmtId="2" fontId="60" fillId="24" borderId="31" xfId="1" applyNumberFormat="1" applyFont="1" applyFill="1" applyBorder="1" applyAlignment="1">
      <alignment horizontal="center" vertical="center"/>
    </xf>
    <xf numFmtId="0" fontId="3" fillId="2" borderId="25" xfId="0" applyNumberFormat="1" applyFont="1" applyFill="1" applyBorder="1" applyAlignment="1">
      <alignment horizontal="center" vertical="center"/>
    </xf>
    <xf numFmtId="4" fontId="0" fillId="0" borderId="0" xfId="0" applyNumberFormat="1" applyFont="1" applyFill="1">
      <alignment vertical="center"/>
    </xf>
    <xf numFmtId="3" fontId="64" fillId="27" borderId="28" xfId="0" applyNumberFormat="1" applyFont="1" applyFill="1" applyBorder="1" applyAlignment="1">
      <alignment horizontal="center" vertical="center"/>
    </xf>
    <xf numFmtId="0" fontId="67" fillId="0" borderId="43" xfId="6" applyNumberFormat="1" applyFont="1" applyFill="1" applyBorder="1" applyAlignment="1">
      <alignment horizontal="center" wrapText="1"/>
    </xf>
    <xf numFmtId="0" fontId="53" fillId="0" borderId="43" xfId="6" applyNumberFormat="1" applyFont="1" applyFill="1" applyBorder="1" applyAlignment="1">
      <alignment horizontal="center" wrapText="1"/>
    </xf>
    <xf numFmtId="14" fontId="53" fillId="0" borderId="43" xfId="6" applyNumberFormat="1" applyFont="1" applyFill="1" applyBorder="1" applyAlignment="1">
      <alignment horizontal="center" wrapText="1"/>
    </xf>
    <xf numFmtId="10" fontId="53" fillId="0" borderId="43" xfId="6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0" fontId="0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/>
    <xf numFmtId="0" fontId="43" fillId="18" borderId="9" xfId="4" applyFont="1" applyFill="1" applyBorder="1"/>
    <xf numFmtId="0" fontId="43" fillId="27" borderId="9" xfId="4" applyFont="1" applyFill="1" applyBorder="1"/>
    <xf numFmtId="0" fontId="43" fillId="27" borderId="28" xfId="4" applyFont="1" applyFill="1" applyBorder="1"/>
    <xf numFmtId="0" fontId="43" fillId="27" borderId="12" xfId="4" applyFont="1" applyFill="1" applyBorder="1"/>
    <xf numFmtId="0" fontId="43" fillId="27" borderId="20" xfId="4" applyFont="1" applyFill="1" applyBorder="1"/>
    <xf numFmtId="0" fontId="43" fillId="27" borderId="39" xfId="4" applyFont="1" applyFill="1" applyBorder="1"/>
    <xf numFmtId="0" fontId="43" fillId="27" borderId="37" xfId="4" applyFont="1" applyFill="1" applyBorder="1"/>
    <xf numFmtId="0" fontId="43" fillId="18" borderId="39" xfId="4" applyFont="1" applyFill="1" applyBorder="1"/>
    <xf numFmtId="0" fontId="43" fillId="18" borderId="37" xfId="4" applyFont="1" applyFill="1" applyBorder="1"/>
    <xf numFmtId="0" fontId="43" fillId="18" borderId="28" xfId="4" applyFont="1" applyFill="1" applyBorder="1"/>
    <xf numFmtId="0" fontId="43" fillId="18" borderId="12" xfId="4" applyFont="1" applyFill="1" applyBorder="1"/>
    <xf numFmtId="0" fontId="43" fillId="18" borderId="20" xfId="4" applyFont="1" applyFill="1" applyBorder="1"/>
    <xf numFmtId="0" fontId="43" fillId="17" borderId="39" xfId="4" applyFont="1" applyFill="1" applyBorder="1"/>
    <xf numFmtId="0" fontId="43" fillId="17" borderId="37" xfId="4" applyFont="1" applyFill="1" applyBorder="1"/>
    <xf numFmtId="0" fontId="43" fillId="17" borderId="9" xfId="4" applyFont="1" applyFill="1" applyBorder="1"/>
    <xf numFmtId="0" fontId="43" fillId="17" borderId="28" xfId="4" applyFont="1" applyFill="1" applyBorder="1"/>
    <xf numFmtId="0" fontId="43" fillId="17" borderId="12" xfId="4" applyFont="1" applyFill="1" applyBorder="1"/>
    <xf numFmtId="0" fontId="43" fillId="17" borderId="20" xfId="4" applyFont="1" applyFill="1" applyBorder="1"/>
    <xf numFmtId="0" fontId="43" fillId="21" borderId="39" xfId="4" applyFont="1" applyFill="1" applyBorder="1"/>
    <xf numFmtId="0" fontId="43" fillId="21" borderId="37" xfId="4" applyFont="1" applyFill="1" applyBorder="1"/>
    <xf numFmtId="0" fontId="43" fillId="21" borderId="9" xfId="4" applyFont="1" applyFill="1" applyBorder="1"/>
    <xf numFmtId="0" fontId="43" fillId="21" borderId="28" xfId="4" applyFont="1" applyFill="1" applyBorder="1"/>
    <xf numFmtId="0" fontId="43" fillId="21" borderId="12" xfId="4" applyFont="1" applyFill="1" applyBorder="1"/>
    <xf numFmtId="0" fontId="43" fillId="21" borderId="20" xfId="4" applyFont="1" applyFill="1" applyBorder="1"/>
    <xf numFmtId="0" fontId="13" fillId="28" borderId="9" xfId="4" applyFont="1" applyFill="1" applyBorder="1" applyAlignment="1">
      <alignment horizontal="center"/>
    </xf>
    <xf numFmtId="14" fontId="13" fillId="28" borderId="39" xfId="4" applyNumberFormat="1" applyFont="1" applyFill="1" applyBorder="1" applyAlignment="1">
      <alignment horizontal="center"/>
    </xf>
    <xf numFmtId="14" fontId="13" fillId="28" borderId="36" xfId="4" applyNumberFormat="1" applyFont="1" applyFill="1" applyBorder="1" applyAlignment="1">
      <alignment horizontal="center"/>
    </xf>
    <xf numFmtId="183" fontId="43" fillId="28" borderId="37" xfId="4" applyNumberFormat="1" applyFont="1" applyFill="1" applyBorder="1"/>
    <xf numFmtId="0" fontId="13" fillId="28" borderId="27" xfId="4" applyFont="1" applyFill="1" applyBorder="1" applyAlignment="1">
      <alignment horizontal="center"/>
    </xf>
    <xf numFmtId="183" fontId="43" fillId="28" borderId="28" xfId="4" applyNumberFormat="1" applyFont="1" applyFill="1" applyBorder="1"/>
    <xf numFmtId="10" fontId="43" fillId="28" borderId="28" xfId="2" applyNumberFormat="1" applyFont="1" applyFill="1" applyBorder="1" applyAlignment="1"/>
    <xf numFmtId="0" fontId="13" fillId="28" borderId="11" xfId="4" applyFont="1" applyFill="1" applyBorder="1" applyAlignment="1">
      <alignment horizontal="center"/>
    </xf>
    <xf numFmtId="0" fontId="13" fillId="28" borderId="12" xfId="4" applyFont="1" applyFill="1" applyBorder="1"/>
    <xf numFmtId="0" fontId="13" fillId="28" borderId="20" xfId="4" applyFont="1" applyFill="1" applyBorder="1"/>
    <xf numFmtId="49" fontId="9" fillId="0" borderId="0" xfId="4" applyNumberFormat="1" applyFont="1" applyFill="1" applyAlignment="1">
      <alignment horizontal="center" vertical="center"/>
    </xf>
    <xf numFmtId="49" fontId="43" fillId="0" borderId="0" xfId="4" applyNumberFormat="1" applyFont="1" applyFill="1" applyAlignment="1">
      <alignment horizontal="center" vertical="center"/>
    </xf>
    <xf numFmtId="49" fontId="73" fillId="29" borderId="58" xfId="0" applyNumberFormat="1" applyFont="1" applyFill="1" applyBorder="1" applyAlignment="1">
      <alignment horizontal="center" vertical="center" wrapText="1"/>
    </xf>
    <xf numFmtId="0" fontId="73" fillId="29" borderId="58" xfId="0" applyFont="1" applyFill="1" applyBorder="1" applyAlignment="1">
      <alignment horizontal="center" vertical="center" wrapText="1"/>
    </xf>
    <xf numFmtId="49" fontId="0" fillId="0" borderId="0" xfId="0" applyNumberFormat="1">
      <alignment vertical="center"/>
    </xf>
    <xf numFmtId="0" fontId="43" fillId="27" borderId="36" xfId="4" applyFont="1" applyFill="1" applyBorder="1" applyAlignment="1">
      <alignment horizontal="left"/>
    </xf>
    <xf numFmtId="0" fontId="43" fillId="27" borderId="27" xfId="4" applyFont="1" applyFill="1" applyBorder="1" applyAlignment="1">
      <alignment horizontal="left"/>
    </xf>
    <xf numFmtId="0" fontId="43" fillId="27" borderId="11" xfId="4" applyFont="1" applyFill="1" applyBorder="1" applyAlignment="1">
      <alignment horizontal="left"/>
    </xf>
    <xf numFmtId="0" fontId="43" fillId="18" borderId="36" xfId="4" applyFont="1" applyFill="1" applyBorder="1" applyAlignment="1">
      <alignment horizontal="left"/>
    </xf>
    <xf numFmtId="0" fontId="43" fillId="18" borderId="27" xfId="4" applyFont="1" applyFill="1" applyBorder="1" applyAlignment="1">
      <alignment horizontal="left"/>
    </xf>
    <xf numFmtId="0" fontId="43" fillId="18" borderId="11" xfId="4" applyFont="1" applyFill="1" applyBorder="1" applyAlignment="1">
      <alignment horizontal="left"/>
    </xf>
    <xf numFmtId="0" fontId="43" fillId="17" borderId="36" xfId="4" applyFont="1" applyFill="1" applyBorder="1" applyAlignment="1">
      <alignment horizontal="left"/>
    </xf>
    <xf numFmtId="0" fontId="43" fillId="17" borderId="27" xfId="4" applyFont="1" applyFill="1" applyBorder="1" applyAlignment="1">
      <alignment horizontal="left"/>
    </xf>
    <xf numFmtId="0" fontId="43" fillId="17" borderId="11" xfId="4" applyFont="1" applyFill="1" applyBorder="1" applyAlignment="1">
      <alignment horizontal="left"/>
    </xf>
    <xf numFmtId="0" fontId="43" fillId="21" borderId="36" xfId="4" applyFont="1" applyFill="1" applyBorder="1" applyAlignment="1">
      <alignment horizontal="left"/>
    </xf>
    <xf numFmtId="0" fontId="43" fillId="21" borderId="27" xfId="4" applyFont="1" applyFill="1" applyBorder="1" applyAlignment="1">
      <alignment horizontal="left"/>
    </xf>
    <xf numFmtId="0" fontId="43" fillId="21" borderId="11" xfId="4" applyFont="1" applyFill="1" applyBorder="1" applyAlignment="1">
      <alignment horizontal="left"/>
    </xf>
    <xf numFmtId="0" fontId="3" fillId="10" borderId="22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72" fillId="27" borderId="34" xfId="4" applyFont="1" applyFill="1" applyBorder="1" applyAlignment="1">
      <alignment horizontal="center"/>
    </xf>
    <xf numFmtId="0" fontId="72" fillId="27" borderId="57" xfId="4" applyFont="1" applyFill="1" applyBorder="1" applyAlignment="1">
      <alignment horizontal="center"/>
    </xf>
    <xf numFmtId="0" fontId="72" fillId="27" borderId="35" xfId="4" applyFont="1" applyFill="1" applyBorder="1" applyAlignment="1">
      <alignment horizontal="center"/>
    </xf>
    <xf numFmtId="0" fontId="72" fillId="18" borderId="34" xfId="4" applyFont="1" applyFill="1" applyBorder="1" applyAlignment="1">
      <alignment horizontal="center"/>
    </xf>
    <xf numFmtId="0" fontId="72" fillId="18" borderId="57" xfId="4" applyFont="1" applyFill="1" applyBorder="1" applyAlignment="1">
      <alignment horizontal="center"/>
    </xf>
    <xf numFmtId="0" fontId="72" fillId="18" borderId="35" xfId="4" applyFont="1" applyFill="1" applyBorder="1" applyAlignment="1">
      <alignment horizontal="center"/>
    </xf>
    <xf numFmtId="0" fontId="72" fillId="17" borderId="34" xfId="4" applyFont="1" applyFill="1" applyBorder="1" applyAlignment="1">
      <alignment horizontal="center"/>
    </xf>
    <xf numFmtId="0" fontId="72" fillId="17" borderId="57" xfId="4" applyFont="1" applyFill="1" applyBorder="1" applyAlignment="1">
      <alignment horizontal="center"/>
    </xf>
    <xf numFmtId="0" fontId="72" fillId="17" borderId="35" xfId="4" applyFont="1" applyFill="1" applyBorder="1" applyAlignment="1">
      <alignment horizontal="center"/>
    </xf>
    <xf numFmtId="0" fontId="9" fillId="28" borderId="4" xfId="4" applyFont="1" applyFill="1" applyBorder="1" applyAlignment="1">
      <alignment horizontal="center"/>
    </xf>
    <xf numFmtId="0" fontId="9" fillId="28" borderId="5" xfId="4" applyFont="1" applyFill="1" applyBorder="1" applyAlignment="1">
      <alignment horizontal="center"/>
    </xf>
    <xf numFmtId="0" fontId="9" fillId="28" borderId="25" xfId="4" applyFont="1" applyFill="1" applyBorder="1" applyAlignment="1">
      <alignment horizontal="center"/>
    </xf>
    <xf numFmtId="0" fontId="72" fillId="21" borderId="34" xfId="4" applyFont="1" applyFill="1" applyBorder="1" applyAlignment="1">
      <alignment horizontal="center"/>
    </xf>
    <xf numFmtId="0" fontId="72" fillId="21" borderId="57" xfId="4" applyFont="1" applyFill="1" applyBorder="1" applyAlignment="1">
      <alignment horizontal="center"/>
    </xf>
    <xf numFmtId="0" fontId="72" fillId="21" borderId="35" xfId="4" applyFont="1" applyFill="1" applyBorder="1" applyAlignment="1">
      <alignment horizontal="center"/>
    </xf>
    <xf numFmtId="0" fontId="0" fillId="4" borderId="0" xfId="0" applyFill="1" applyBorder="1" applyAlignment="1">
      <alignment horizontal="center" vertical="center"/>
    </xf>
    <xf numFmtId="0" fontId="34" fillId="13" borderId="0" xfId="0" applyFont="1" applyFill="1" applyBorder="1" applyAlignment="1">
      <alignment horizontal="center" vertical="center"/>
    </xf>
    <xf numFmtId="0" fontId="59" fillId="27" borderId="4" xfId="0" applyFont="1" applyFill="1" applyBorder="1" applyAlignment="1">
      <alignment horizontal="center" vertical="center"/>
    </xf>
    <xf numFmtId="0" fontId="59" fillId="27" borderId="25" xfId="0" applyFont="1" applyFill="1" applyBorder="1" applyAlignment="1">
      <alignment horizontal="center" vertical="center"/>
    </xf>
    <xf numFmtId="0" fontId="47" fillId="2" borderId="2" xfId="0" applyFont="1" applyFill="1" applyBorder="1" applyAlignment="1">
      <alignment horizontal="center" vertical="center"/>
    </xf>
    <xf numFmtId="0" fontId="47" fillId="2" borderId="3" xfId="0" applyFont="1" applyFill="1" applyBorder="1" applyAlignment="1">
      <alignment horizontal="center" vertical="center"/>
    </xf>
    <xf numFmtId="9" fontId="48" fillId="2" borderId="0" xfId="2" applyFont="1" applyFill="1" applyBorder="1" applyAlignment="1">
      <alignment horizontal="center" vertical="center"/>
    </xf>
    <xf numFmtId="9" fontId="48" fillId="2" borderId="7" xfId="2" applyFont="1" applyFill="1" applyBorder="1" applyAlignment="1">
      <alignment horizontal="center" vertical="center"/>
    </xf>
    <xf numFmtId="0" fontId="3" fillId="10" borderId="22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81" fontId="48" fillId="2" borderId="0" xfId="0" applyNumberFormat="1" applyFont="1" applyFill="1" applyBorder="1" applyAlignment="1">
      <alignment horizontal="center" vertical="center"/>
    </xf>
    <xf numFmtId="181" fontId="48" fillId="2" borderId="7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0" fillId="0" borderId="9" xfId="0" applyFill="1" applyBorder="1" applyAlignment="1">
      <alignment horizontal="center" vertical="center"/>
    </xf>
    <xf numFmtId="0" fontId="57" fillId="26" borderId="45" xfId="3" applyFont="1" applyFill="1" applyBorder="1" applyAlignment="1">
      <alignment vertical="center" wrapText="1"/>
    </xf>
    <xf numFmtId="0" fontId="57" fillId="26" borderId="46" xfId="3" applyFont="1" applyFill="1" applyBorder="1" applyAlignment="1">
      <alignment vertical="center" wrapText="1"/>
    </xf>
    <xf numFmtId="0" fontId="57" fillId="26" borderId="47" xfId="3" applyFont="1" applyFill="1" applyBorder="1" applyAlignment="1">
      <alignment vertical="center" wrapText="1"/>
    </xf>
    <xf numFmtId="0" fontId="0" fillId="11" borderId="22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3" fontId="0" fillId="11" borderId="22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0" fontId="3" fillId="11" borderId="22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23" xfId="0" applyFont="1" applyFill="1" applyBorder="1" applyAlignment="1">
      <alignment horizontal="center" vertical="center"/>
    </xf>
    <xf numFmtId="20" fontId="0" fillId="11" borderId="22" xfId="0" applyNumberFormat="1" applyFill="1" applyBorder="1" applyAlignment="1">
      <alignment horizontal="center" vertical="center"/>
    </xf>
    <xf numFmtId="20" fontId="0" fillId="11" borderId="24" xfId="0" applyNumberFormat="1" applyFill="1" applyBorder="1" applyAlignment="1">
      <alignment horizontal="center" vertical="center"/>
    </xf>
    <xf numFmtId="20" fontId="0" fillId="11" borderId="23" xfId="0" applyNumberFormat="1" applyFill="1" applyBorder="1" applyAlignment="1">
      <alignment horizontal="center" vertical="center"/>
    </xf>
    <xf numFmtId="0" fontId="25" fillId="13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2" fillId="13" borderId="0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34" fillId="13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51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14" fontId="51" fillId="24" borderId="38" xfId="0" applyNumberFormat="1" applyFont="1" applyFill="1" applyBorder="1" applyAlignment="1">
      <alignment horizontal="center" vertical="center"/>
    </xf>
    <xf numFmtId="14" fontId="51" fillId="24" borderId="19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5" xfId="0" applyBorder="1" applyAlignment="1">
      <alignment horizontal="left" vertical="top"/>
    </xf>
    <xf numFmtId="14" fontId="30" fillId="5" borderId="4" xfId="0" applyNumberFormat="1" applyFont="1" applyFill="1" applyBorder="1" applyAlignment="1">
      <alignment horizontal="center" vertical="center"/>
    </xf>
    <xf numFmtId="14" fontId="30" fillId="5" borderId="25" xfId="0" applyNumberFormat="1" applyFont="1" applyFill="1" applyBorder="1" applyAlignment="1">
      <alignment horizontal="center" vertical="center"/>
    </xf>
    <xf numFmtId="0" fontId="30" fillId="6" borderId="18" xfId="0" applyFont="1" applyFill="1" applyBorder="1" applyAlignment="1">
      <alignment horizontal="left" vertical="center"/>
    </xf>
    <xf numFmtId="0" fontId="30" fillId="6" borderId="19" xfId="0" applyFont="1" applyFill="1" applyBorder="1" applyAlignment="1">
      <alignment horizontal="left" vertical="center"/>
    </xf>
    <xf numFmtId="179" fontId="30" fillId="7" borderId="10" xfId="0" applyNumberFormat="1" applyFont="1" applyFill="1" applyBorder="1" applyAlignment="1">
      <alignment horizontal="left" vertical="center"/>
    </xf>
    <xf numFmtId="179" fontId="30" fillId="7" borderId="8" xfId="0" applyNumberFormat="1" applyFont="1" applyFill="1" applyBorder="1" applyAlignment="1">
      <alignment horizontal="left" vertical="center"/>
    </xf>
    <xf numFmtId="179" fontId="30" fillId="7" borderId="17" xfId="0" applyNumberFormat="1" applyFont="1" applyFill="1" applyBorder="1" applyAlignment="1">
      <alignment horizontal="left" vertical="center"/>
    </xf>
    <xf numFmtId="0" fontId="30" fillId="18" borderId="21" xfId="0" applyFont="1" applyFill="1" applyBorder="1" applyAlignment="1">
      <alignment horizontal="center" vertical="center"/>
    </xf>
    <xf numFmtId="0" fontId="30" fillId="18" borderId="19" xfId="0" applyFont="1" applyFill="1" applyBorder="1" applyAlignment="1">
      <alignment horizontal="center" vertical="center"/>
    </xf>
    <xf numFmtId="179" fontId="30" fillId="8" borderId="1" xfId="0" applyNumberFormat="1" applyFont="1" applyFill="1" applyBorder="1" applyAlignment="1">
      <alignment horizontal="left" vertical="center"/>
    </xf>
    <xf numFmtId="179" fontId="30" fillId="8" borderId="2" xfId="0" applyNumberFormat="1" applyFont="1" applyFill="1" applyBorder="1" applyAlignment="1">
      <alignment horizontal="left" vertical="center"/>
    </xf>
    <xf numFmtId="179" fontId="30" fillId="8" borderId="3" xfId="0" applyNumberFormat="1" applyFont="1" applyFill="1" applyBorder="1" applyAlignment="1">
      <alignment horizontal="left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57" fillId="11" borderId="22" xfId="0" applyFont="1" applyFill="1" applyBorder="1" applyAlignment="1">
      <alignment horizontal="center" vertical="center"/>
    </xf>
    <xf numFmtId="0" fontId="57" fillId="11" borderId="24" xfId="0" applyFont="1" applyFill="1" applyBorder="1" applyAlignment="1">
      <alignment horizontal="center" vertical="center"/>
    </xf>
    <xf numFmtId="0" fontId="57" fillId="11" borderId="23" xfId="0" applyFont="1" applyFill="1" applyBorder="1" applyAlignment="1">
      <alignment horizontal="center" vertical="center"/>
    </xf>
    <xf numFmtId="3" fontId="14" fillId="0" borderId="0" xfId="4" applyNumberFormat="1"/>
  </cellXfs>
  <cellStyles count="7">
    <cellStyle name="一般" xfId="0" builtinId="0"/>
    <cellStyle name="一般 2" xfId="4"/>
    <cellStyle name="一般 3" xfId="6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0066FF"/>
      <color rgb="FFFFFF66"/>
      <color rgb="FFFFFFCC"/>
      <color rgb="FFFFFF99"/>
      <color rgb="FFFF33CC"/>
      <color rgb="FFFFFF00"/>
      <color rgb="FF66FF33"/>
      <color rgb="FFFF9900"/>
      <color rgb="FF0000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10442476252887"/>
          <c:y val="4.5933650863406575E-2"/>
          <c:w val="0.73818488939135862"/>
          <c:h val="0.88956875746568831"/>
        </c:manualLayout>
      </c:layout>
      <c:barChart>
        <c:barDir val="col"/>
        <c:grouping val="clustered"/>
        <c:varyColors val="0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dPt>
            <c:idx val="8"/>
            <c:invertIfNegative val="0"/>
            <c:bubble3D val="0"/>
            <c:spPr>
              <a:solidFill>
                <a:srgbClr val="FFFF00"/>
              </a:solidFill>
              <a:scene3d>
                <a:camera prst="orthographicFront"/>
                <a:lightRig rig="threePt" dir="t"/>
              </a:scene3d>
              <a:sp3d>
                <a:bevelT/>
                <a:bevelB prst="angle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66E-496E-9BF5-6C0D0281123E}"/>
              </c:ext>
            </c:extLst>
          </c:dPt>
          <c:dLbls>
            <c:dLbl>
              <c:idx val="0"/>
              <c:layout>
                <c:manualLayout>
                  <c:x val="0.65412569474134241"/>
                  <c:y val="3.3256974925164759E-2"/>
                </c:manualLayout>
              </c:layout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FFFF00"/>
                        </a:solidFill>
                      </a:defRPr>
                    </a:pPr>
                    <a:fld id="{F095F9C3-4336-4485-8467-3A071B684E39}" type="CELLRANGE">
                      <a:rPr lang="en-US" altLang="zh-TW"/>
                      <a:pPr>
                        <a:defRPr sz="1400" b="1">
                          <a:solidFill>
                            <a:srgbClr val="FFFF00"/>
                          </a:solidFill>
                        </a:defRPr>
                      </a:pPr>
                      <a:t>[CELLRANGE]</a:t>
                    </a:fld>
                    <a:endParaRPr lang="zh-TW" altLang="en-US"/>
                  </a:p>
                </c:rich>
              </c:tx>
              <c:spPr>
                <a:solidFill>
                  <a:srgbClr val="0066FF"/>
                </a:solidFill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rgbClr val="0066FF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FFFF00"/>
                    </a:solidFill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913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(紅綠燈!$O$3:$V$3,紅綠燈!$AF$2)</c:f>
              <c:numCache>
                <c:formatCode>General</c:formatCode>
                <c:ptCount val="9"/>
                <c:pt idx="0">
                  <c:v>597</c:v>
                </c:pt>
                <c:pt idx="1">
                  <c:v>520</c:v>
                </c:pt>
                <c:pt idx="2">
                  <c:v>592</c:v>
                </c:pt>
                <c:pt idx="3">
                  <c:v>564</c:v>
                </c:pt>
                <c:pt idx="4">
                  <c:v>730</c:v>
                </c:pt>
                <c:pt idx="5">
                  <c:v>729</c:v>
                </c:pt>
                <c:pt idx="6">
                  <c:v>960</c:v>
                </c:pt>
                <c:pt idx="7">
                  <c:v>1266</c:v>
                </c:pt>
                <c:pt idx="8" formatCode="_(* #,##0.00_);_(* \(#,##0.00\);_(* &quot;-&quot;??_);_(@_)">
                  <c:v>1429.915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66E-496E-9BF5-6C0D0281123E}"/>
            </c:ext>
            <c:ext xmlns:c15="http://schemas.microsoft.com/office/drawing/2012/chart" uri="{02D57815-91ED-43cb-92C2-25804820EDAC}">
              <c15:datalabelsRange>
                <c15:f>紅綠燈!$AK$2</c15:f>
                <c15:dlblRangeCache>
                  <c:ptCount val="1"/>
                  <c:pt idx="0">
                    <c:v>94%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49165232"/>
        <c:axId val="249165792"/>
      </c:barChart>
      <c:lineChart>
        <c:grouping val="standard"/>
        <c:varyColors val="0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0.17755443886097153</c:v>
                </c:pt>
                <c:pt idx="1">
                  <c:v>0.20961538461538462</c:v>
                </c:pt>
                <c:pt idx="2">
                  <c:v>0.26520270270270269</c:v>
                </c:pt>
                <c:pt idx="3">
                  <c:v>0.25354609929078015</c:v>
                </c:pt>
                <c:pt idx="4">
                  <c:v>0.27123287671232876</c:v>
                </c:pt>
                <c:pt idx="5">
                  <c:v>0.2551440329218107</c:v>
                </c:pt>
                <c:pt idx="6">
                  <c:v>0.27604166666666669</c:v>
                </c:pt>
                <c:pt idx="7">
                  <c:v>0.37124802527646128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66E-496E-9BF5-6C0D0281123E}"/>
            </c:ext>
          </c:extLst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淨利率</c:v>
                </c:pt>
              </c:strCache>
            </c:strRef>
          </c:tx>
          <c:spPr>
            <a:ln w="44450"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4.690117252931323E-2</c:v>
                </c:pt>
                <c:pt idx="1">
                  <c:v>9.0384615384615383E-2</c:v>
                </c:pt>
                <c:pt idx="2">
                  <c:v>0.11993243243243243</c:v>
                </c:pt>
                <c:pt idx="3">
                  <c:v>0.11524822695035461</c:v>
                </c:pt>
                <c:pt idx="4">
                  <c:v>0.14657534246575343</c:v>
                </c:pt>
                <c:pt idx="5">
                  <c:v>0.12894375857338819</c:v>
                </c:pt>
                <c:pt idx="6">
                  <c:v>7.8125E-2</c:v>
                </c:pt>
                <c:pt idx="7">
                  <c:v>0.23143759873617695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66E-496E-9BF5-6C0D02811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66912"/>
        <c:axId val="249166352"/>
      </c:lineChart>
      <c:catAx>
        <c:axId val="249165232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49165792"/>
        <c:crosses val="autoZero"/>
        <c:auto val="1"/>
        <c:lblAlgn val="ctr"/>
        <c:lblOffset val="100"/>
        <c:noMultiLvlLbl val="0"/>
      </c:catAx>
      <c:valAx>
        <c:axId val="249165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49165232"/>
        <c:crosses val="autoZero"/>
        <c:crossBetween val="between"/>
      </c:valAx>
      <c:valAx>
        <c:axId val="249166352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49166912"/>
        <c:crosses val="max"/>
        <c:crossBetween val="between"/>
      </c:valAx>
      <c:catAx>
        <c:axId val="249166912"/>
        <c:scaling>
          <c:orientation val="minMax"/>
        </c:scaling>
        <c:delete val="1"/>
        <c:axPos val="b"/>
        <c:majorTickMark val="out"/>
        <c:minorTickMark val="none"/>
        <c:tickLblPos val="none"/>
        <c:crossAx val="249166352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726473273603"/>
          <c:y val="6.1852578105156208E-2"/>
          <c:w val="0.73786606461091042"/>
          <c:h val="0.882298828500096"/>
        </c:manualLayout>
      </c:layout>
      <c:areaChart>
        <c:grouping val="stacked"/>
        <c:varyColors val="0"/>
        <c:ser>
          <c:idx val="3"/>
          <c:order val="3"/>
          <c:spPr>
            <a:solidFill>
              <a:schemeClr val="tx1"/>
            </a:solidFill>
            <a:ln w="44450">
              <a:solidFill>
                <a:schemeClr val="tx1"/>
              </a:solidFill>
            </a:ln>
          </c:spPr>
          <c:val>
            <c:numRef>
              <c:f>紅綠燈!$O$46:$V$46</c:f>
              <c:numCache>
                <c:formatCode>0%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9E-40AB-AF69-5AF7933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46064"/>
        <c:axId val="251145504"/>
      </c:areaChart>
      <c:lineChart>
        <c:grouping val="standard"/>
        <c:varyColors val="0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913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General</c:formatCode>
                <c:ptCount val="8"/>
                <c:pt idx="0">
                  <c:v>79.14182692307692</c:v>
                </c:pt>
                <c:pt idx="1">
                  <c:v>79.14182692307692</c:v>
                </c:pt>
                <c:pt idx="2">
                  <c:v>68.206292229729726</c:v>
                </c:pt>
                <c:pt idx="3">
                  <c:v>71.268838652482273</c:v>
                </c:pt>
                <c:pt idx="4">
                  <c:v>65.625</c:v>
                </c:pt>
                <c:pt idx="5">
                  <c:v>77.230795610425233</c:v>
                </c:pt>
                <c:pt idx="6">
                  <c:v>64.635416666666657</c:v>
                </c:pt>
                <c:pt idx="7">
                  <c:v>59.391785150078988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E9E-40AB-AF69-5AF7933AB79D}"/>
            </c:ext>
          </c:extLst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紅綠燈!$O$27:$V$27</c:f>
              <c:numCache>
                <c:formatCode>General</c:formatCode>
                <c:ptCount val="8"/>
                <c:pt idx="0">
                  <c:v>82.147201946472023</c:v>
                </c:pt>
                <c:pt idx="1">
                  <c:v>82.147201946472023</c:v>
                </c:pt>
                <c:pt idx="2">
                  <c:v>83.908045977011497</c:v>
                </c:pt>
                <c:pt idx="3">
                  <c:v>102.95427553444181</c:v>
                </c:pt>
                <c:pt idx="4">
                  <c:v>89.706296992481199</c:v>
                </c:pt>
                <c:pt idx="5">
                  <c:v>93.854742173112342</c:v>
                </c:pt>
                <c:pt idx="6">
                  <c:v>82.453237410071949</c:v>
                </c:pt>
                <c:pt idx="7">
                  <c:v>81.2766959798995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E9E-40AB-AF69-5AF7933AB79D}"/>
            </c:ext>
          </c:extLst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General</c:formatCode>
                <c:ptCount val="8"/>
                <c:pt idx="0">
                  <c:v>48.289233576642339</c:v>
                </c:pt>
                <c:pt idx="1">
                  <c:v>48.289233576642339</c:v>
                </c:pt>
                <c:pt idx="2">
                  <c:v>48.142241379310349</c:v>
                </c:pt>
                <c:pt idx="3">
                  <c:v>55.161817102137768</c:v>
                </c:pt>
                <c:pt idx="4">
                  <c:v>45.625</c:v>
                </c:pt>
                <c:pt idx="5">
                  <c:v>48.901933701657455</c:v>
                </c:pt>
                <c:pt idx="6">
                  <c:v>45.887589928057558</c:v>
                </c:pt>
                <c:pt idx="7">
                  <c:v>49.981155778894475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E9E-40AB-AF69-5AF7933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44384"/>
        <c:axId val="251144944"/>
      </c:lineChart>
      <c:catAx>
        <c:axId val="25114438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51144944"/>
        <c:crosses val="autoZero"/>
        <c:auto val="1"/>
        <c:lblAlgn val="ctr"/>
        <c:lblOffset val="100"/>
        <c:noMultiLvlLbl val="0"/>
      </c:catAx>
      <c:valAx>
        <c:axId val="251144944"/>
        <c:scaling>
          <c:orientation val="minMax"/>
          <c:max val="124.54513064133016"/>
          <c:min val="35.5"/>
        </c:scaling>
        <c:delete val="0"/>
        <c:axPos val="l"/>
        <c:numFmt formatCode="#,##0_);[Red]\(#,##0\)" sourceLinked="0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144384"/>
        <c:crosses val="autoZero"/>
        <c:crossBetween val="between"/>
      </c:valAx>
      <c:valAx>
        <c:axId val="251145504"/>
        <c:scaling>
          <c:orientation val="minMax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1146064"/>
        <c:crosses val="max"/>
        <c:crossBetween val="between"/>
      </c:valAx>
      <c:catAx>
        <c:axId val="251146064"/>
        <c:scaling>
          <c:orientation val="minMax"/>
        </c:scaling>
        <c:delete val="1"/>
        <c:axPos val="b"/>
        <c:majorTickMark val="out"/>
        <c:minorTickMark val="none"/>
        <c:tickLblPos val="nextTo"/>
        <c:crossAx val="25114550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>
              <a:lumMod val="95000"/>
              <a:lumOff val="5000"/>
            </a:schemeClr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22972256664963"/>
          <c:y val="3.6509876024920444E-2"/>
          <c:w val="0.73874256145235273"/>
          <c:h val="0.88576780752945183"/>
        </c:manualLayout>
      </c:layout>
      <c:areaChart>
        <c:grouping val="stacked"/>
        <c:varyColors val="0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olidFill>
              <a:schemeClr val="tx1"/>
            </a:solidFill>
            <a:ln w="44450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val>
            <c:numRef>
              <c:f>紅綠燈!$O$43:$V$43</c:f>
              <c:numCache>
                <c:formatCode>0%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EE7-415C-BB24-5A6EEB8B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52224"/>
        <c:axId val="251151664"/>
      </c:areaChart>
      <c:barChart>
        <c:barDir val="col"/>
        <c:grouping val="clustered"/>
        <c:varyColors val="0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913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117</c:v>
                </c:pt>
                <c:pt idx="1">
                  <c:v>97</c:v>
                </c:pt>
                <c:pt idx="2">
                  <c:v>99</c:v>
                </c:pt>
                <c:pt idx="3">
                  <c:v>51</c:v>
                </c:pt>
                <c:pt idx="4">
                  <c:v>20</c:v>
                </c:pt>
                <c:pt idx="5">
                  <c:v>129</c:v>
                </c:pt>
                <c:pt idx="6">
                  <c:v>136</c:v>
                </c:pt>
                <c:pt idx="7">
                  <c:v>257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EE7-415C-BB24-5A6EEB8BBC03}"/>
            </c:ext>
          </c:extLst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invertIfNegative val="0"/>
          <c:val>
            <c:numRef>
              <c:f>紅綠燈!$O$37:$V$37</c:f>
              <c:numCache>
                <c:formatCode>General</c:formatCode>
                <c:ptCount val="8"/>
                <c:pt idx="0">
                  <c:v>65</c:v>
                </c:pt>
                <c:pt idx="1">
                  <c:v>92</c:v>
                </c:pt>
                <c:pt idx="2">
                  <c:v>93</c:v>
                </c:pt>
                <c:pt idx="3">
                  <c:v>15</c:v>
                </c:pt>
                <c:pt idx="4">
                  <c:v>-19</c:v>
                </c:pt>
                <c:pt idx="5">
                  <c:v>-45</c:v>
                </c:pt>
                <c:pt idx="6">
                  <c:v>-164</c:v>
                </c:pt>
                <c:pt idx="7">
                  <c:v>-80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EE7-415C-BB24-5A6EEB8B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51150544"/>
        <c:axId val="251151104"/>
      </c:barChart>
      <c:lineChart>
        <c:grouping val="standard"/>
        <c:varyColors val="0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0.30595293031841253</c:v>
                </c:pt>
                <c:pt idx="1">
                  <c:v>0.29261622607110299</c:v>
                </c:pt>
                <c:pt idx="2">
                  <c:v>0.31496415770609321</c:v>
                </c:pt>
                <c:pt idx="3">
                  <c:v>0.30326797385620913</c:v>
                </c:pt>
                <c:pt idx="4">
                  <c:v>0.35373870172555466</c:v>
                </c:pt>
                <c:pt idx="5">
                  <c:v>0.39087591240875913</c:v>
                </c:pt>
                <c:pt idx="6">
                  <c:v>0.46553966189856955</c:v>
                </c:pt>
                <c:pt idx="7">
                  <c:v>0.44932810750279956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E7-415C-BB24-5A6EEB8B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52224"/>
        <c:axId val="251151664"/>
      </c:lineChart>
      <c:catAx>
        <c:axId val="2511505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51151104"/>
        <c:crosses val="autoZero"/>
        <c:auto val="1"/>
        <c:lblAlgn val="ctr"/>
        <c:lblOffset val="100"/>
        <c:noMultiLvlLbl val="0"/>
      </c:catAx>
      <c:valAx>
        <c:axId val="251151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150544"/>
        <c:crosses val="autoZero"/>
        <c:crossBetween val="between"/>
      </c:valAx>
      <c:valAx>
        <c:axId val="251151664"/>
        <c:scaling>
          <c:orientation val="minMax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1152224"/>
        <c:crosses val="max"/>
        <c:crossBetween val="between"/>
      </c:valAx>
      <c:catAx>
        <c:axId val="251152224"/>
        <c:scaling>
          <c:orientation val="minMax"/>
        </c:scaling>
        <c:delete val="1"/>
        <c:axPos val="b"/>
        <c:majorTickMark val="out"/>
        <c:minorTickMark val="none"/>
        <c:tickLblPos val="none"/>
        <c:crossAx val="25115166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8122645950642"/>
          <c:y val="6.3932132322468985E-2"/>
          <c:w val="0.74659195050210236"/>
          <c:h val="0.87328441529948064"/>
        </c:manualLayout>
      </c:layout>
      <c:areaChart>
        <c:grouping val="stacked"/>
        <c:varyColors val="0"/>
        <c:ser>
          <c:idx val="1"/>
          <c:order val="2"/>
          <c:tx>
            <c:strRef>
              <c:f>紅綠燈!$N$49</c:f>
              <c:strCache>
                <c:ptCount val="1"/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紅綠燈!$O$49:$V$49</c:f>
              <c:numCache>
                <c:formatCode>0%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D57-4E9B-8579-F6FC19768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57824"/>
        <c:axId val="251157264"/>
      </c:areaChart>
      <c:barChart>
        <c:barDir val="col"/>
        <c:grouping val="clustered"/>
        <c:varyColors val="0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913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4.1785714285714288</c:v>
                </c:pt>
                <c:pt idx="1">
                  <c:v>2.0638297872340425</c:v>
                </c:pt>
                <c:pt idx="2">
                  <c:v>1.3943661971830985</c:v>
                </c:pt>
                <c:pt idx="3">
                  <c:v>0</c:v>
                </c:pt>
                <c:pt idx="4">
                  <c:v>0</c:v>
                </c:pt>
                <c:pt idx="5">
                  <c:v>1.3723404255319149</c:v>
                </c:pt>
                <c:pt idx="6">
                  <c:v>1.8133333333333332</c:v>
                </c:pt>
                <c:pt idx="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D57-4E9B-8579-F6FC19768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51156144"/>
        <c:axId val="251156704"/>
      </c:barChart>
      <c:lineChart>
        <c:grouping val="standard"/>
        <c:varyColors val="0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紅綠燈!$O$36:$V$36</c:f>
              <c:numCache>
                <c:formatCode>0%</c:formatCode>
                <c:ptCount val="8"/>
                <c:pt idx="1">
                  <c:v>7.7836411609498682E-2</c:v>
                </c:pt>
                <c:pt idx="2">
                  <c:v>7.7836411609498682E-2</c:v>
                </c:pt>
                <c:pt idx="3">
                  <c:v>8.6321802602348466E-2</c:v>
                </c:pt>
                <c:pt idx="4">
                  <c:v>9.4278283485045508E-2</c:v>
                </c:pt>
                <c:pt idx="5">
                  <c:v>0.10462589257994412</c:v>
                </c:pt>
                <c:pt idx="6">
                  <c:v>0.10746927198235108</c:v>
                </c:pt>
                <c:pt idx="7">
                  <c:v>0.15960729312762972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7-4E9B-8579-F6FC19768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157824"/>
        <c:axId val="251157264"/>
      </c:lineChart>
      <c:catAx>
        <c:axId val="251156144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251156704"/>
        <c:crosses val="autoZero"/>
        <c:auto val="1"/>
        <c:lblAlgn val="ctr"/>
        <c:lblOffset val="100"/>
        <c:noMultiLvlLbl val="0"/>
      </c:catAx>
      <c:valAx>
        <c:axId val="251156704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156144"/>
        <c:crosses val="autoZero"/>
        <c:crossBetween val="between"/>
      </c:valAx>
      <c:valAx>
        <c:axId val="2511572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251157824"/>
        <c:crosses val="max"/>
        <c:crossBetween val="between"/>
      </c:valAx>
      <c:catAx>
        <c:axId val="251157824"/>
        <c:scaling>
          <c:orientation val="minMax"/>
        </c:scaling>
        <c:delete val="1"/>
        <c:axPos val="b"/>
        <c:majorTickMark val="out"/>
        <c:minorTickMark val="none"/>
        <c:tickLblPos val="none"/>
        <c:crossAx val="25115726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45812114575047"/>
          <c:y val="3.130194005401267E-2"/>
          <c:w val="0.74344133212856589"/>
          <c:h val="0.89449395045131552"/>
        </c:manualLayout>
      </c:layout>
      <c:areaChart>
        <c:grouping val="stacked"/>
        <c:varyColors val="0"/>
        <c:ser>
          <c:idx val="3"/>
          <c:order val="3"/>
          <c:tx>
            <c:strRef>
              <c:f>紅綠燈!$N$44</c:f>
              <c:strCache>
                <c:ptCount val="1"/>
              </c:strCache>
            </c:strRef>
          </c:tx>
          <c:spPr>
            <a:solidFill>
              <a:schemeClr val="tx1"/>
            </a:solidFill>
            <a:ln w="63500">
              <a:solidFill>
                <a:schemeClr val="bg1"/>
              </a:solidFill>
            </a:ln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AB-4683-A199-9A3E542F1922}"/>
            </c:ext>
          </c:extLst>
        </c:ser>
        <c:ser>
          <c:idx val="4"/>
          <c:order val="4"/>
          <c:tx>
            <c:strRef>
              <c:f>紅綠燈!$N$45</c:f>
              <c:strCache>
                <c:ptCount val="1"/>
              </c:strCache>
            </c:strRef>
          </c:tx>
          <c:spPr>
            <a:solidFill>
              <a:schemeClr val="tx1"/>
            </a:solidFill>
            <a:ln w="63500">
              <a:solidFill>
                <a:srgbClr val="FFFF00"/>
              </a:solidFill>
            </a:ln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紅綠燈!$O$45:$V$45</c:f>
              <c:numCache>
                <c:formatCode>General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AB-4683-A199-9A3E542F1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63120"/>
        <c:axId val="251863680"/>
      </c:areaChart>
      <c:barChart>
        <c:barDir val="col"/>
        <c:grouping val="clustered"/>
        <c:varyColors val="0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913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52</c:v>
                </c:pt>
                <c:pt idx="1">
                  <c:v>5</c:v>
                </c:pt>
                <c:pt idx="2">
                  <c:v>6</c:v>
                </c:pt>
                <c:pt idx="3">
                  <c:v>36</c:v>
                </c:pt>
                <c:pt idx="4">
                  <c:v>39</c:v>
                </c:pt>
                <c:pt idx="5">
                  <c:v>174</c:v>
                </c:pt>
                <c:pt idx="6">
                  <c:v>300</c:v>
                </c:pt>
                <c:pt idx="7">
                  <c:v>337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BAB-4683-A199-9A3E542F1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5"/>
        <c:axId val="251863120"/>
        <c:axId val="251863680"/>
      </c:barChart>
      <c:lineChart>
        <c:grouping val="standard"/>
        <c:varyColors val="0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7.7393075356415472E-2</c:v>
                </c:pt>
                <c:pt idx="1">
                  <c:v>9.4890510948905105E-2</c:v>
                </c:pt>
                <c:pt idx="2">
                  <c:v>8.9655172413793102E-2</c:v>
                </c:pt>
                <c:pt idx="3">
                  <c:v>8.7885985748218529E-2</c:v>
                </c:pt>
                <c:pt idx="4">
                  <c:v>6.7669172932330823E-2</c:v>
                </c:pt>
                <c:pt idx="5">
                  <c:v>6.6298342541436461E-2</c:v>
                </c:pt>
                <c:pt idx="6">
                  <c:v>5.8992805755395686E-2</c:v>
                </c:pt>
                <c:pt idx="7">
                  <c:v>6.6582914572864318E-2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AB-4683-A199-9A3E542F1922}"/>
            </c:ext>
          </c:extLst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8.0246913580246909E-2</c:v>
                </c:pt>
                <c:pt idx="1">
                  <c:v>8.0246913580246909E-2</c:v>
                </c:pt>
                <c:pt idx="2">
                  <c:v>6.655290102389079E-2</c:v>
                </c:pt>
                <c:pt idx="3">
                  <c:v>9.2731829573934832E-2</c:v>
                </c:pt>
                <c:pt idx="4">
                  <c:v>5.2098408104196817E-2</c:v>
                </c:pt>
                <c:pt idx="5">
                  <c:v>0.1005586592178771</c:v>
                </c:pt>
                <c:pt idx="6">
                  <c:v>6.2121212121212119E-2</c:v>
                </c:pt>
                <c:pt idx="7">
                  <c:v>5.7050592034445638E-2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AB-4683-A199-9A3E542F1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864800"/>
        <c:axId val="251864240"/>
      </c:lineChart>
      <c:catAx>
        <c:axId val="2518631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low"/>
        <c:crossAx val="251863680"/>
        <c:crosses val="autoZero"/>
        <c:auto val="1"/>
        <c:lblAlgn val="ctr"/>
        <c:lblOffset val="100"/>
        <c:noMultiLvlLbl val="0"/>
      </c:catAx>
      <c:valAx>
        <c:axId val="25186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863120"/>
        <c:crosses val="autoZero"/>
        <c:crossBetween val="between"/>
      </c:valAx>
      <c:valAx>
        <c:axId val="2518642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251864800"/>
        <c:crosses val="max"/>
        <c:crossBetween val="between"/>
      </c:valAx>
      <c:catAx>
        <c:axId val="251864800"/>
        <c:scaling>
          <c:orientation val="minMax"/>
        </c:scaling>
        <c:delete val="1"/>
        <c:axPos val="b"/>
        <c:majorTickMark val="out"/>
        <c:minorTickMark val="none"/>
        <c:tickLblPos val="nextTo"/>
        <c:crossAx val="251864240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 w="22225">
      <a:solidFill>
        <a:schemeClr val="tx1"/>
      </a:solidFill>
    </a:ln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4.7264904214774597E-2"/>
          <c:y val="0.13540719660572101"/>
          <c:w val="0.8839590800962156"/>
          <c:h val="0.75954052669684535"/>
        </c:manualLayout>
      </c:layout>
      <c:barChart>
        <c:barDir val="col"/>
        <c:grouping val="clustered"/>
        <c:varyColors val="0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val>
            <c:numRef>
              <c:f>紅綠燈!$O$3:$R$3</c:f>
              <c:numCache>
                <c:formatCode>General</c:formatCode>
                <c:ptCount val="4"/>
                <c:pt idx="0">
                  <c:v>597</c:v>
                </c:pt>
                <c:pt idx="1">
                  <c:v>520</c:v>
                </c:pt>
                <c:pt idx="2">
                  <c:v>592</c:v>
                </c:pt>
                <c:pt idx="3">
                  <c:v>564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11-4DD1-9665-29A69AF47199}"/>
            </c:ext>
          </c:extLst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E38FBFDC-1D6E-47BB-A3FA-5FEE2354E02F}" type="CELLRANGE">
                      <a:rPr lang="en-US" altLang="zh-TW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5D3FD4B-E217-4F6B-B49D-DC04EEA952C8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6E0B6E66-A366-4547-995A-D5A31CC54D2B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81206707-1660-42BF-BA8B-0FD38D7E0F65}" type="CELLRANGE">
                      <a:rPr lang="zh-TW" altLang="en-US"/>
                      <a:pPr/>
                      <a:t>[CELLRANGE]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rgbClr val="C0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/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紅綠燈!$S$3:$V$3</c:f>
              <c:numCache>
                <c:formatCode>General</c:formatCode>
                <c:ptCount val="4"/>
                <c:pt idx="0">
                  <c:v>730</c:v>
                </c:pt>
                <c:pt idx="1">
                  <c:v>729</c:v>
                </c:pt>
                <c:pt idx="2">
                  <c:v>960</c:v>
                </c:pt>
                <c:pt idx="3">
                  <c:v>1266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11-4DD1-9665-29A69AF47199}"/>
            </c:ext>
            <c:ext xmlns:c15="http://schemas.microsoft.com/office/drawing/2012/chart" uri="{02D57815-91ED-43cb-92C2-25804820EDAC}">
              <c15:datalabelsRange>
                <c15:f>紅綠燈!$AG$2:$AJ$2</c15:f>
                <c15:dlblRangeCache>
                  <c:ptCount val="4"/>
                  <c:pt idx="0">
                    <c:v>22%</c:v>
                  </c:pt>
                  <c:pt idx="1">
                    <c:v>40%</c:v>
                  </c:pt>
                  <c:pt idx="2">
                    <c:v>62%</c:v>
                  </c:pt>
                  <c:pt idx="3">
                    <c:v>124%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251868160"/>
        <c:axId val="251868720"/>
      </c:barChart>
      <c:catAx>
        <c:axId val="251868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51868720"/>
        <c:crosses val="autoZero"/>
        <c:auto val="1"/>
        <c:lblAlgn val="ctr"/>
        <c:lblOffset val="100"/>
        <c:noMultiLvlLbl val="0"/>
      </c:catAx>
      <c:valAx>
        <c:axId val="2518687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186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 altLang="en-US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dobe 繁黑體 Std B" panose="020B0700000000000000" pitchFamily="34" charset="-120"/>
              <a:ea typeface="Adobe 繁黑體 Std B" panose="020B0700000000000000" pitchFamily="34" charset="-120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5.095454408527815E-2"/>
          <c:y val="0.15308626374846102"/>
          <c:w val="0.90049010022061926"/>
          <c:h val="0.70987395863660607"/>
        </c:manualLayout>
      </c:layout>
      <c:lineChart>
        <c:grouping val="standard"/>
        <c:varyColors val="0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General</c:formatCode>
                <c:ptCount val="4"/>
                <c:pt idx="0">
                  <c:v>161.28902886954893</c:v>
                </c:pt>
                <c:pt idx="1">
                  <c:v>161.28902886954893</c:v>
                </c:pt>
                <c:pt idx="2">
                  <c:v>152.11433820674122</c:v>
                </c:pt>
                <c:pt idx="3">
                  <c:v>174.22311418692408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96D-4FE4-B29D-3722B7E75BBC}"/>
            </c:ext>
          </c:extLst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General</c:formatCode>
                <c:ptCount val="4"/>
                <c:pt idx="0">
                  <c:v>155.33129699248121</c:v>
                </c:pt>
                <c:pt idx="1">
                  <c:v>171.08553778353757</c:v>
                </c:pt>
                <c:pt idx="2">
                  <c:v>147.08865407673861</c:v>
                </c:pt>
                <c:pt idx="3">
                  <c:v>140.66848112997849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96D-4FE4-B29D-3722B7E75B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1871520"/>
        <c:axId val="251872080"/>
      </c:lineChart>
      <c:catAx>
        <c:axId val="251871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51872080"/>
        <c:crosses val="autoZero"/>
        <c:auto val="1"/>
        <c:lblAlgn val="ctr"/>
        <c:lblOffset val="100"/>
        <c:noMultiLvlLbl val="0"/>
      </c:catAx>
      <c:valAx>
        <c:axId val="251872080"/>
        <c:scaling>
          <c:orientation val="minMax"/>
          <c:max val="210.06773702430888"/>
          <c:min val="111.5347849039828"/>
        </c:scaling>
        <c:delete val="1"/>
        <c:axPos val="l"/>
        <c:numFmt formatCode="General" sourceLinked="1"/>
        <c:majorTickMark val="none"/>
        <c:minorTickMark val="none"/>
        <c:tickLblPos val="nextTo"/>
        <c:crossAx val="25187152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37945593923974"/>
          <c:y val="6.4116597662153718E-2"/>
          <c:w val="0.74963644615813818"/>
          <c:h val="0.87176680467569256"/>
        </c:manualLayout>
      </c:layout>
      <c:areaChart>
        <c:grouping val="stacked"/>
        <c:varyColors val="0"/>
        <c:ser>
          <c:idx val="3"/>
          <c:order val="3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val>
            <c:numRef>
              <c:f>紅綠燈!$O$48:$V$48</c:f>
              <c:numCache>
                <c:formatCode>_(* #,##0.00_);_(* \(#,##0.00\);_(* "-"??_);_(@_)</c:formatCode>
                <c:ptCount val="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ED-4481-8CE1-A9575D27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76000"/>
        <c:axId val="251876560"/>
      </c:areaChart>
      <c:barChart>
        <c:barDir val="col"/>
        <c:grouping val="stacked"/>
        <c:varyColors val="0"/>
        <c:ser>
          <c:idx val="0"/>
          <c:order val="0"/>
          <c:spPr>
            <a:solidFill>
              <a:srgbClr val="66FF3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Pt>
            <c:idx val="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  <a:bevelB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3ED-4481-8CE1-A9575D275640}"/>
              </c:ext>
            </c:extLst>
          </c:dPt>
          <c:dLbls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紅綠燈!$O$38:$V$38</c:f>
              <c:numCache>
                <c:formatCode>_(* #,##0.00_);_(* \(#,##0.00\);_(* "-"??_);_(@_)</c:formatCode>
                <c:ptCount val="8"/>
                <c:pt idx="0">
                  <c:v>0.30871794871794878</c:v>
                </c:pt>
                <c:pt idx="1">
                  <c:v>0.41125</c:v>
                </c:pt>
                <c:pt idx="2">
                  <c:v>0.74302325581395356</c:v>
                </c:pt>
                <c:pt idx="3">
                  <c:v>0.57499999999999996</c:v>
                </c:pt>
                <c:pt idx="4">
                  <c:v>1.0465116279069768</c:v>
                </c:pt>
                <c:pt idx="5">
                  <c:v>1.0079999999999998</c:v>
                </c:pt>
                <c:pt idx="6">
                  <c:v>0.70177215189873421</c:v>
                </c:pt>
                <c:pt idx="7">
                  <c:v>2.8971428571428572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3ED-4481-8CE1-A9575D275640}"/>
            </c:ext>
          </c:extLst>
        </c:ser>
        <c:ser>
          <c:idx val="1"/>
          <c:order val="1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  <a:bevelB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3ED-4481-8CE1-A9575D275640}"/>
              </c:ext>
            </c:extLst>
          </c:dPt>
          <c:dLbls>
            <c:dLbl>
              <c:idx val="8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3ED-4481-8CE1-A9575D275640}"/>
                </c:ext>
                <c:ext xmlns:c15="http://schemas.microsoft.com/office/drawing/2012/chart" uri="{CE6537A1-D6FC-4f65-9D91-7224C49458BB}"/>
              </c:extLst>
            </c:dLbl>
            <c:numFmt formatCode="#,##0.0_);[Red]\(#,##0.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紅綠燈!$O$39:$V$39</c:f>
              <c:numCache>
                <c:formatCode>_(* #,##0.00_);_(* \(#,##0.00\);_(* "-"??_);_(@_)</c:formatCode>
                <c:ptCount val="8"/>
                <c:pt idx="0">
                  <c:v>-2.8717948717948742E-2</c:v>
                </c:pt>
                <c:pt idx="1">
                  <c:v>5.8749999999999997E-2</c:v>
                </c:pt>
                <c:pt idx="2">
                  <c:v>-3.3023255813953545E-2</c:v>
                </c:pt>
                <c:pt idx="3">
                  <c:v>7.5000000000000025E-2</c:v>
                </c:pt>
                <c:pt idx="4">
                  <c:v>3.3488372093023321E-2</c:v>
                </c:pt>
                <c:pt idx="5">
                  <c:v>-1.7999999999999895E-2</c:v>
                </c:pt>
                <c:pt idx="6">
                  <c:v>6.8227848101265851E-2</c:v>
                </c:pt>
                <c:pt idx="7">
                  <c:v>0.10285714285714276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3ED-4481-8CE1-A9575D27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251876000"/>
        <c:axId val="251876560"/>
      </c:barChart>
      <c:lineChart>
        <c:grouping val="standard"/>
        <c:varyColors val="0"/>
        <c:ser>
          <c:idx val="2"/>
          <c:order val="2"/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1.1025641025641026</c:v>
                </c:pt>
                <c:pt idx="1">
                  <c:v>0.875</c:v>
                </c:pt>
                <c:pt idx="2">
                  <c:v>1.0465116279069768</c:v>
                </c:pt>
                <c:pt idx="3">
                  <c:v>0.88461538461538458</c:v>
                </c:pt>
                <c:pt idx="4">
                  <c:v>0.96899224806201545</c:v>
                </c:pt>
                <c:pt idx="5">
                  <c:v>1.0181818181818181</c:v>
                </c:pt>
                <c:pt idx="6">
                  <c:v>0.91139240506329111</c:v>
                </c:pt>
                <c:pt idx="7">
                  <c:v>0.96571428571428575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C3ED-4481-8CE1-A9575D27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502784"/>
        <c:axId val="251502224"/>
      </c:lineChart>
      <c:catAx>
        <c:axId val="251876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51876560"/>
        <c:crosses val="autoZero"/>
        <c:auto val="1"/>
        <c:lblAlgn val="ctr"/>
        <c:lblOffset val="100"/>
        <c:noMultiLvlLbl val="0"/>
      </c:catAx>
      <c:valAx>
        <c:axId val="251876560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j-ea"/>
                <a:ea typeface="+mj-ea"/>
                <a:cs typeface="+mn-cs"/>
              </a:defRPr>
            </a:pPr>
            <a:endParaRPr lang="zh-TW"/>
          </a:p>
        </c:txPr>
        <c:crossAx val="251876000"/>
        <c:crosses val="autoZero"/>
        <c:crossBetween val="between"/>
      </c:valAx>
      <c:valAx>
        <c:axId val="2515022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51502784"/>
        <c:crosses val="max"/>
        <c:crossBetween val="between"/>
      </c:valAx>
      <c:catAx>
        <c:axId val="251502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51502224"/>
        <c:crosses val="autoZero"/>
        <c:auto val="1"/>
        <c:lblAlgn val="ctr"/>
        <c:lblOffset val="100"/>
        <c:noMultiLvlLbl val="0"/>
      </c:catAx>
      <c:spPr>
        <a:noFill/>
        <a:ln w="15875">
          <a:solidFill>
            <a:schemeClr val="bg2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222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600" b="1">
                <a:latin typeface="微軟正黑體" panose="020B0604030504040204" pitchFamily="34" charset="-120"/>
                <a:ea typeface="微軟正黑體" panose="020B0604030504040204" pitchFamily="34" charset="-120"/>
              </a:rPr>
              <a:t>籌碼判斷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3.2278770273586263E-2"/>
          <c:y val="0.15784922993785461"/>
          <c:w val="0.93544245945282745"/>
          <c:h val="0.7889866081112451"/>
        </c:manualLayout>
      </c:layout>
      <c:lineChart>
        <c:grouping val="standard"/>
        <c:varyColors val="0"/>
        <c:ser>
          <c:idx val="0"/>
          <c:order val="0"/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44450" cap="rnd">
                <a:solidFill>
                  <a:srgbClr val="FF0000"/>
                </a:solidFill>
                <a:round/>
              </a:ln>
              <a:effectLst/>
            </c:spPr>
          </c:dPt>
          <c:dPt>
            <c:idx val="2"/>
            <c:marker>
              <c:symbol val="none"/>
            </c:marker>
            <c:bubble3D val="0"/>
            <c:spPr>
              <a:ln w="44450" cap="rnd">
                <a:solidFill>
                  <a:srgbClr val="FF0000"/>
                </a:solidFill>
                <a:round/>
              </a:ln>
              <a:effectLst/>
            </c:spPr>
          </c:dPt>
          <c:dPt>
            <c:idx val="3"/>
            <c:marker>
              <c:symbol val="none"/>
            </c:marker>
            <c:bubble3D val="0"/>
            <c:spPr>
              <a:ln w="44450" cap="rnd">
                <a:solidFill>
                  <a:srgbClr val="FF0000"/>
                </a:solidFill>
                <a:round/>
              </a:ln>
              <a:effectLst/>
            </c:spPr>
          </c:dPt>
          <c:cat>
            <c:strRef>
              <c:f>紅綠燈!$AF$3:$AK$3</c:f>
              <c:strCache>
                <c:ptCount val="6"/>
                <c:pt idx="0">
                  <c:v>前半月</c:v>
                </c:pt>
                <c:pt idx="1">
                  <c:v>後半月</c:v>
                </c:pt>
                <c:pt idx="2">
                  <c:v>前天</c:v>
                </c:pt>
                <c:pt idx="3">
                  <c:v>昨天</c:v>
                </c:pt>
                <c:pt idx="4">
                  <c:v>當天</c:v>
                </c:pt>
                <c:pt idx="5">
                  <c:v>明天???</c:v>
                </c:pt>
              </c:strCache>
            </c:strRef>
          </c:cat>
          <c:val>
            <c:numRef>
              <c:f>紅綠燈!$AF$4:$AK$4</c:f>
              <c:numCache>
                <c:formatCode>#,##0_);[Red]\(#,##0\)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505024"/>
        <c:axId val="251505584"/>
      </c:lineChart>
      <c:catAx>
        <c:axId val="25150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51505584"/>
        <c:crosses val="autoZero"/>
        <c:auto val="1"/>
        <c:lblAlgn val="ctr"/>
        <c:lblOffset val="100"/>
        <c:tickMarkSkip val="1"/>
        <c:noMultiLvlLbl val="0"/>
      </c:catAx>
      <c:valAx>
        <c:axId val="251505584"/>
        <c:scaling>
          <c:orientation val="minMax"/>
        </c:scaling>
        <c:delete val="1"/>
        <c:axPos val="l"/>
        <c:numFmt formatCode="#,##0_);[Red]\(#,##0\)" sourceLinked="1"/>
        <c:majorTickMark val="none"/>
        <c:minorTickMark val="none"/>
        <c:tickLblPos val="nextTo"/>
        <c:crossAx val="25150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94534016581259E-2"/>
          <c:y val="5.4652457235949387E-2"/>
          <c:w val="0.83187613799423621"/>
          <c:h val="0.82214272784867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PK!$A$26:$B$26</c:f>
              <c:strCache>
                <c:ptCount val="2"/>
                <c:pt idx="0">
                  <c:v>3324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PK!$C$71:$J$71</c:f>
              <c:numCache>
                <c:formatCode>General</c:formatCode>
                <c:ptCount val="8"/>
                <c:pt idx="0">
                  <c:v>1.61</c:v>
                </c:pt>
                <c:pt idx="1">
                  <c:v>0.98</c:v>
                </c:pt>
                <c:pt idx="2">
                  <c:v>-0.25</c:v>
                </c:pt>
                <c:pt idx="3">
                  <c:v>1.28</c:v>
                </c:pt>
                <c:pt idx="4">
                  <c:v>2.63</c:v>
                </c:pt>
                <c:pt idx="5">
                  <c:v>-1.29</c:v>
                </c:pt>
                <c:pt idx="6">
                  <c:v>2.0699999999999998</c:v>
                </c:pt>
                <c:pt idx="7">
                  <c:v>0.11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ED-4854-B0CC-193B7E57A71B}"/>
            </c:ext>
          </c:extLst>
        </c:ser>
        <c:ser>
          <c:idx val="1"/>
          <c:order val="1"/>
          <c:tx>
            <c:strRef>
              <c:f>PK!$A$27:$B$27</c:f>
              <c:strCache>
                <c:ptCount val="2"/>
                <c:pt idx="0">
                  <c:v>3017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PK!$C$72:$J$72</c:f>
              <c:numCache>
                <c:formatCode>General</c:formatCode>
                <c:ptCount val="8"/>
                <c:pt idx="0">
                  <c:v>1.64</c:v>
                </c:pt>
                <c:pt idx="1">
                  <c:v>1.45</c:v>
                </c:pt>
                <c:pt idx="2">
                  <c:v>0.08</c:v>
                </c:pt>
                <c:pt idx="3">
                  <c:v>3.53</c:v>
                </c:pt>
                <c:pt idx="4">
                  <c:v>0.49</c:v>
                </c:pt>
                <c:pt idx="5">
                  <c:v>1.62</c:v>
                </c:pt>
                <c:pt idx="6">
                  <c:v>-0.26</c:v>
                </c:pt>
                <c:pt idx="7">
                  <c:v>1.34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9ED-4854-B0CC-193B7E57A71B}"/>
            </c:ext>
          </c:extLst>
        </c:ser>
        <c:ser>
          <c:idx val="2"/>
          <c:order val="2"/>
          <c:tx>
            <c:strRef>
              <c:f>PK!$A$28:$B$28</c:f>
              <c:strCache>
                <c:ptCount val="2"/>
                <c:pt idx="0">
                  <c:v>6230</c:v>
                </c:pt>
                <c:pt idx="1">
                  <c:v>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PK!$C$73:$J$73</c:f>
              <c:numCache>
                <c:formatCode>General</c:formatCode>
                <c:ptCount val="8"/>
                <c:pt idx="0">
                  <c:v>0.15</c:v>
                </c:pt>
                <c:pt idx="1">
                  <c:v>1.52</c:v>
                </c:pt>
                <c:pt idx="2">
                  <c:v>0.45</c:v>
                </c:pt>
                <c:pt idx="3">
                  <c:v>2.73</c:v>
                </c:pt>
                <c:pt idx="4">
                  <c:v>1.1599999999999999</c:v>
                </c:pt>
                <c:pt idx="5">
                  <c:v>3.88</c:v>
                </c:pt>
                <c:pt idx="6">
                  <c:v>1.1100000000000001</c:v>
                </c:pt>
                <c:pt idx="7">
                  <c:v>2.6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9ED-4854-B0CC-193B7E57A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1512864"/>
        <c:axId val="251513424"/>
      </c:barChart>
      <c:lineChart>
        <c:grouping val="standard"/>
        <c:varyColors val="0"/>
        <c:ser>
          <c:idx val="3"/>
          <c:order val="3"/>
          <c:tx>
            <c:strRef>
              <c:f>PK!$A$56:$B$56</c:f>
              <c:strCache>
                <c:ptCount val="2"/>
                <c:pt idx="0">
                  <c:v>3324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0.62799760191846521</c:v>
                </c:pt>
                <c:pt idx="1">
                  <c:v>0.61055276381909551</c:v>
                </c:pt>
                <c:pt idx="2">
                  <c:v>0.56913756236635782</c:v>
                </c:pt>
                <c:pt idx="3">
                  <c:v>0.57528957528957525</c:v>
                </c:pt>
                <c:pt idx="4">
                  <c:v>0.62290669856459335</c:v>
                </c:pt>
                <c:pt idx="5">
                  <c:v>0.62534435261707988</c:v>
                </c:pt>
                <c:pt idx="6">
                  <c:v>0.58540802213001386</c:v>
                </c:pt>
                <c:pt idx="7">
                  <c:v>0.61960999725350174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9ED-4854-B0CC-193B7E57A71B}"/>
            </c:ext>
          </c:extLst>
        </c:ser>
        <c:ser>
          <c:idx val="4"/>
          <c:order val="4"/>
          <c:tx>
            <c:strRef>
              <c:f>PK!$A$57:$B$57</c:f>
              <c:strCache>
                <c:ptCount val="2"/>
                <c:pt idx="0">
                  <c:v>3017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0.66126233101936427</c:v>
                </c:pt>
                <c:pt idx="1">
                  <c:v>0.65710363761153057</c:v>
                </c:pt>
                <c:pt idx="2">
                  <c:v>0.66186686295256936</c:v>
                </c:pt>
                <c:pt idx="3">
                  <c:v>0.65368096828770983</c:v>
                </c:pt>
                <c:pt idx="4">
                  <c:v>0.64059653433885522</c:v>
                </c:pt>
                <c:pt idx="5">
                  <c:v>0.64503959205671402</c:v>
                </c:pt>
                <c:pt idx="6">
                  <c:v>0.65332938989352718</c:v>
                </c:pt>
                <c:pt idx="7">
                  <c:v>0.6580794446586965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9ED-4854-B0CC-193B7E57A71B}"/>
            </c:ext>
          </c:extLst>
        </c:ser>
        <c:ser>
          <c:idx val="5"/>
          <c:order val="5"/>
          <c:tx>
            <c:strRef>
              <c:f>PK!$A$58:$B$58</c:f>
              <c:strCache>
                <c:ptCount val="2"/>
                <c:pt idx="0">
                  <c:v>6230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0.48430411903465798</c:v>
                </c:pt>
                <c:pt idx="1">
                  <c:v>0.45033607169529499</c:v>
                </c:pt>
                <c:pt idx="2">
                  <c:v>0.49018538713195203</c:v>
                </c:pt>
                <c:pt idx="3">
                  <c:v>0.447985347985348</c:v>
                </c:pt>
                <c:pt idx="4">
                  <c:v>0.42142341040462428</c:v>
                </c:pt>
                <c:pt idx="5">
                  <c:v>0.43333333333333335</c:v>
                </c:pt>
                <c:pt idx="6">
                  <c:v>0.44391669711362808</c:v>
                </c:pt>
                <c:pt idx="7">
                  <c:v>0.43275745257452575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9ED-4854-B0CC-193B7E57A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514544"/>
        <c:axId val="251513984"/>
      </c:lineChart>
      <c:dateAx>
        <c:axId val="251512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1513424"/>
        <c:crosses val="autoZero"/>
        <c:auto val="0"/>
        <c:lblOffset val="100"/>
        <c:baseTimeUnit val="days"/>
      </c:dateAx>
      <c:valAx>
        <c:axId val="251513424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1512864"/>
        <c:crosses val="autoZero"/>
        <c:crossBetween val="between"/>
      </c:valAx>
      <c:valAx>
        <c:axId val="251513984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251514544"/>
        <c:crosses val="max"/>
        <c:crossBetween val="between"/>
      </c:valAx>
      <c:dateAx>
        <c:axId val="251514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51513984"/>
        <c:crosses val="autoZero"/>
        <c:auto val="0"/>
        <c:lblOffset val="100"/>
        <c:baseTimeUnit val="days"/>
      </c:dateAx>
      <c:spPr>
        <a:noFill/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052E-2"/>
          <c:y val="7.6339457567804025E-2"/>
          <c:w val="0.91226332455746539"/>
          <c:h val="0.76162697844589311"/>
        </c:manualLayout>
      </c:layout>
      <c:lineChart>
        <c:grouping val="standard"/>
        <c:varyColors val="0"/>
        <c:ser>
          <c:idx val="0"/>
          <c:order val="0"/>
          <c:tx>
            <c:strRef>
              <c:f>PK!$A$50:$B$50</c:f>
              <c:strCache>
                <c:ptCount val="2"/>
                <c:pt idx="0">
                  <c:v>3324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84.592474489795919</c:v>
                </c:pt>
                <c:pt idx="1">
                  <c:v>84.592474489795919</c:v>
                </c:pt>
                <c:pt idx="2">
                  <c:v>83.951836016096578</c:v>
                </c:pt>
                <c:pt idx="3">
                  <c:v>83.668532338308452</c:v>
                </c:pt>
                <c:pt idx="4">
                  <c:v>73.541007905138343</c:v>
                </c:pt>
                <c:pt idx="5">
                  <c:v>97.174176356589143</c:v>
                </c:pt>
                <c:pt idx="6">
                  <c:v>88.110010427528678</c:v>
                </c:pt>
                <c:pt idx="7">
                  <c:v>71.245950323974085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A2-4737-8700-D9DCA4AA89DC}"/>
            </c:ext>
          </c:extLst>
        </c:ser>
        <c:ser>
          <c:idx val="1"/>
          <c:order val="1"/>
          <c:tx>
            <c:strRef>
              <c:f>PK!$A$51:$B$51</c:f>
              <c:strCache>
                <c:ptCount val="2"/>
                <c:pt idx="0">
                  <c:v>3017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94.322637549124678</c:v>
                </c:pt>
                <c:pt idx="1">
                  <c:v>94.322637549124678</c:v>
                </c:pt>
                <c:pt idx="2">
                  <c:v>83.075520833333329</c:v>
                </c:pt>
                <c:pt idx="3">
                  <c:v>86.740335997390318</c:v>
                </c:pt>
                <c:pt idx="4">
                  <c:v>88.757404969557356</c:v>
                </c:pt>
                <c:pt idx="5">
                  <c:v>87.808943434686597</c:v>
                </c:pt>
                <c:pt idx="6">
                  <c:v>82.670564127290262</c:v>
                </c:pt>
                <c:pt idx="7">
                  <c:v>85.651963293360623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A2-4737-8700-D9DCA4AA89DC}"/>
            </c:ext>
          </c:extLst>
        </c:ser>
        <c:ser>
          <c:idx val="2"/>
          <c:order val="2"/>
          <c:tx>
            <c:strRef>
              <c:f>PK!$A$52:$B$52</c:f>
              <c:strCache>
                <c:ptCount val="2"/>
                <c:pt idx="0">
                  <c:v>6230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117.10057131599685</c:v>
                </c:pt>
                <c:pt idx="1">
                  <c:v>117.10057131599685</c:v>
                </c:pt>
                <c:pt idx="2">
                  <c:v>92.806684243176178</c:v>
                </c:pt>
                <c:pt idx="3">
                  <c:v>105.18107096354166</c:v>
                </c:pt>
                <c:pt idx="4">
                  <c:v>107.93622783978988</c:v>
                </c:pt>
                <c:pt idx="5">
                  <c:v>116.80555555555556</c:v>
                </c:pt>
                <c:pt idx="6">
                  <c:v>96.976987447698747</c:v>
                </c:pt>
                <c:pt idx="7">
                  <c:v>96.170343137254903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A2-4737-8700-D9DCA4AA8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964240"/>
        <c:axId val="253964800"/>
      </c:lineChart>
      <c:catAx>
        <c:axId val="253964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3964800"/>
        <c:crosses val="autoZero"/>
        <c:auto val="1"/>
        <c:lblAlgn val="ctr"/>
        <c:lblOffset val="100"/>
        <c:noMultiLvlLbl val="0"/>
      </c:catAx>
      <c:valAx>
        <c:axId val="253964800"/>
        <c:scaling>
          <c:orientation val="minMax"/>
          <c:max val="122.95559988179669"/>
          <c:min val="67.683652807775374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96424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44792658953"/>
          <c:h val="0.76162697844589355"/>
        </c:manualLayout>
      </c:layout>
      <c:lineChart>
        <c:grouping val="standard"/>
        <c:varyColors val="0"/>
        <c:ser>
          <c:idx val="0"/>
          <c:order val="0"/>
          <c:tx>
            <c:strRef>
              <c:f>PK!$A$53:$B$53</c:f>
              <c:strCache>
                <c:ptCount val="2"/>
                <c:pt idx="0">
                  <c:v>3324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48.327526132404181</c:v>
                </c:pt>
                <c:pt idx="1">
                  <c:v>48.327526132404181</c:v>
                </c:pt>
                <c:pt idx="2">
                  <c:v>42.324241540256708</c:v>
                </c:pt>
                <c:pt idx="3">
                  <c:v>38.150597269624576</c:v>
                </c:pt>
                <c:pt idx="4">
                  <c:v>34.084315503173165</c:v>
                </c:pt>
                <c:pt idx="5">
                  <c:v>45.525599128540307</c:v>
                </c:pt>
                <c:pt idx="6">
                  <c:v>45.517011834319526</c:v>
                </c:pt>
                <c:pt idx="7">
                  <c:v>34.839429081177521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4B7-4DC5-9BE2-A725D379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968720"/>
        <c:axId val="253969280"/>
      </c:lineChart>
      <c:lineChart>
        <c:grouping val="standard"/>
        <c:varyColors val="0"/>
        <c:ser>
          <c:idx val="1"/>
          <c:order val="1"/>
          <c:tx>
            <c:strRef>
              <c:f>PK!$A$54:$B$54</c:f>
              <c:strCache>
                <c:ptCount val="2"/>
                <c:pt idx="0">
                  <c:v>3017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62.806076631410896</c:v>
                </c:pt>
                <c:pt idx="1">
                  <c:v>62.806076631410896</c:v>
                </c:pt>
                <c:pt idx="2">
                  <c:v>58.274764803541778</c:v>
                </c:pt>
                <c:pt idx="3">
                  <c:v>62.008638305777446</c:v>
                </c:pt>
                <c:pt idx="4">
                  <c:v>68.656975099037922</c:v>
                </c:pt>
                <c:pt idx="5">
                  <c:v>73.175004843084082</c:v>
                </c:pt>
                <c:pt idx="6">
                  <c:v>63.310956929176427</c:v>
                </c:pt>
                <c:pt idx="7">
                  <c:v>55.060696913787318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4B7-4DC5-9BE2-A725D3794D97}"/>
            </c:ext>
          </c:extLst>
        </c:ser>
        <c:ser>
          <c:idx val="2"/>
          <c:order val="2"/>
          <c:tx>
            <c:strRef>
              <c:f>PK!$A$55:$B$55</c:f>
              <c:strCache>
                <c:ptCount val="2"/>
                <c:pt idx="0">
                  <c:v>6230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66.274847094801231</c:v>
                </c:pt>
                <c:pt idx="1">
                  <c:v>66.274847094801231</c:v>
                </c:pt>
                <c:pt idx="2">
                  <c:v>52.925000000000004</c:v>
                </c:pt>
                <c:pt idx="3">
                  <c:v>55.476291278577477</c:v>
                </c:pt>
                <c:pt idx="4">
                  <c:v>60.118581375108796</c:v>
                </c:pt>
                <c:pt idx="5">
                  <c:v>72.084781529294929</c:v>
                </c:pt>
                <c:pt idx="6">
                  <c:v>60.942549371633753</c:v>
                </c:pt>
                <c:pt idx="7">
                  <c:v>59.907608695652172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4B7-4DC5-9BE2-A725D3794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970400"/>
        <c:axId val="253969840"/>
      </c:lineChart>
      <c:catAx>
        <c:axId val="2539687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3969280"/>
        <c:crosses val="autoZero"/>
        <c:auto val="1"/>
        <c:lblAlgn val="ctr"/>
        <c:lblOffset val="100"/>
        <c:noMultiLvlLbl val="0"/>
      </c:catAx>
      <c:valAx>
        <c:axId val="253969280"/>
        <c:scaling>
          <c:orientation val="minMax"/>
          <c:max val="76.833755085238295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968720"/>
        <c:crosses val="autoZero"/>
        <c:crossBetween val="between"/>
      </c:valAx>
      <c:valAx>
        <c:axId val="253969840"/>
        <c:scaling>
          <c:orientation val="minMax"/>
          <c:max val="207.28196625636673"/>
          <c:min val="42.642944634982847"/>
        </c:scaling>
        <c:delete val="1"/>
        <c:axPos val="r"/>
        <c:numFmt formatCode="_(* #,##0_);_(* \(#,##0\);_(* &quot;-&quot;??_);_(@_)" sourceLinked="1"/>
        <c:majorTickMark val="in"/>
        <c:minorTickMark val="none"/>
        <c:tickLblPos val="none"/>
        <c:crossAx val="253970400"/>
        <c:crosses val="max"/>
        <c:crossBetween val="between"/>
      </c:valAx>
      <c:catAx>
        <c:axId val="253970400"/>
        <c:scaling>
          <c:orientation val="minMax"/>
        </c:scaling>
        <c:delete val="1"/>
        <c:axPos val="b"/>
        <c:majorTickMark val="out"/>
        <c:minorTickMark val="none"/>
        <c:tickLblPos val="none"/>
        <c:crossAx val="25396984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PK!$A$11:$B$11</c:f>
              <c:strCache>
                <c:ptCount val="2"/>
                <c:pt idx="0">
                  <c:v>3324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0.48</c:v>
                </c:pt>
                <c:pt idx="1">
                  <c:v>0.04</c:v>
                </c:pt>
                <c:pt idx="2">
                  <c:v>0.04</c:v>
                </c:pt>
                <c:pt idx="3">
                  <c:v>-0.32</c:v>
                </c:pt>
                <c:pt idx="4">
                  <c:v>0.46</c:v>
                </c:pt>
                <c:pt idx="5">
                  <c:v>-0.4</c:v>
                </c:pt>
                <c:pt idx="6">
                  <c:v>-0.04</c:v>
                </c:pt>
                <c:pt idx="7">
                  <c:v>1.99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BD-456E-8B6E-685935959E22}"/>
            </c:ext>
          </c:extLst>
        </c:ser>
        <c:ser>
          <c:idx val="1"/>
          <c:order val="1"/>
          <c:tx>
            <c:strRef>
              <c:f>PK!$A$12:$B$12</c:f>
              <c:strCache>
                <c:ptCount val="2"/>
                <c:pt idx="0">
                  <c:v>3017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0.19</c:v>
                </c:pt>
                <c:pt idx="1">
                  <c:v>0.18</c:v>
                </c:pt>
                <c:pt idx="2">
                  <c:v>0.42</c:v>
                </c:pt>
                <c:pt idx="3">
                  <c:v>1.02</c:v>
                </c:pt>
                <c:pt idx="4">
                  <c:v>0.44</c:v>
                </c:pt>
                <c:pt idx="5">
                  <c:v>0.44</c:v>
                </c:pt>
                <c:pt idx="6">
                  <c:v>0.43</c:v>
                </c:pt>
                <c:pt idx="7">
                  <c:v>0.62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BD-456E-8B6E-685935959E22}"/>
            </c:ext>
          </c:extLst>
        </c:ser>
        <c:ser>
          <c:idx val="2"/>
          <c:order val="2"/>
          <c:tx>
            <c:strRef>
              <c:f>PK!$A$13:$B$13</c:f>
              <c:strCache>
                <c:ptCount val="2"/>
                <c:pt idx="0">
                  <c:v>6230</c:v>
                </c:pt>
                <c:pt idx="1">
                  <c:v>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1.52</c:v>
                </c:pt>
                <c:pt idx="1">
                  <c:v>1.24</c:v>
                </c:pt>
                <c:pt idx="2">
                  <c:v>1.99</c:v>
                </c:pt>
                <c:pt idx="3">
                  <c:v>1.88</c:v>
                </c:pt>
                <c:pt idx="4">
                  <c:v>1.5</c:v>
                </c:pt>
                <c:pt idx="5">
                  <c:v>1.52</c:v>
                </c:pt>
                <c:pt idx="6">
                  <c:v>1.18</c:v>
                </c:pt>
                <c:pt idx="7">
                  <c:v>2.56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BD-456E-8B6E-685935959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3974320"/>
        <c:axId val="253974880"/>
      </c:barChart>
      <c:catAx>
        <c:axId val="253974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3974880"/>
        <c:crosses val="autoZero"/>
        <c:auto val="1"/>
        <c:lblAlgn val="ctr"/>
        <c:lblOffset val="100"/>
        <c:noMultiLvlLbl val="0"/>
      </c:catAx>
      <c:valAx>
        <c:axId val="253974880"/>
        <c:scaling>
          <c:orientation val="minMax"/>
        </c:scaling>
        <c:delete val="0"/>
        <c:axPos val="l"/>
        <c:numFmt formatCode="#,##0_);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97432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59951979092E-2"/>
          <c:y val="0.14928788222459846"/>
          <c:w val="0.8073008441512376"/>
          <c:h val="0.7753662992125987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PK!$A$74:$B$74</c:f>
              <c:strCache>
                <c:ptCount val="2"/>
                <c:pt idx="0">
                  <c:v>3324</c:v>
                </c:pt>
                <c:pt idx="1">
                  <c:v>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PK!$C$74:$J$74</c:f>
              <c:numCache>
                <c:formatCode>General</c:formatCode>
                <c:ptCount val="8"/>
                <c:pt idx="0">
                  <c:v>0.35</c:v>
                </c:pt>
                <c:pt idx="1">
                  <c:v>0.28000000000000003</c:v>
                </c:pt>
                <c:pt idx="2">
                  <c:v>0.45</c:v>
                </c:pt>
                <c:pt idx="3">
                  <c:v>0.48</c:v>
                </c:pt>
                <c:pt idx="4">
                  <c:v>0.46</c:v>
                </c:pt>
                <c:pt idx="5">
                  <c:v>0.28000000000000003</c:v>
                </c:pt>
                <c:pt idx="6">
                  <c:v>0.32</c:v>
                </c:pt>
                <c:pt idx="7">
                  <c:v>0.38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FB-4960-9DDE-2DFFD7A83530}"/>
            </c:ext>
          </c:extLst>
        </c:ser>
        <c:ser>
          <c:idx val="4"/>
          <c:order val="1"/>
          <c:tx>
            <c:strRef>
              <c:f>PK!$A$75:$B$75</c:f>
              <c:strCache>
                <c:ptCount val="2"/>
                <c:pt idx="0">
                  <c:v>3017</c:v>
                </c:pt>
                <c:pt idx="1">
                  <c:v>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PK!$C$75:$J$75</c:f>
              <c:numCache>
                <c:formatCode>General</c:formatCode>
                <c:ptCount val="8"/>
                <c:pt idx="0">
                  <c:v>0.72</c:v>
                </c:pt>
                <c:pt idx="1">
                  <c:v>0.93</c:v>
                </c:pt>
                <c:pt idx="2">
                  <c:v>0.4</c:v>
                </c:pt>
                <c:pt idx="3">
                  <c:v>1.0900000000000001</c:v>
                </c:pt>
                <c:pt idx="4">
                  <c:v>1.39</c:v>
                </c:pt>
                <c:pt idx="5">
                  <c:v>1.31</c:v>
                </c:pt>
                <c:pt idx="6">
                  <c:v>0.78</c:v>
                </c:pt>
                <c:pt idx="7">
                  <c:v>0.7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FB-4960-9DDE-2DFFD7A83530}"/>
            </c:ext>
          </c:extLst>
        </c:ser>
        <c:ser>
          <c:idx val="5"/>
          <c:order val="2"/>
          <c:tx>
            <c:strRef>
              <c:f>PK!$A$76:$B$76</c:f>
              <c:strCache>
                <c:ptCount val="2"/>
                <c:pt idx="0">
                  <c:v>6230</c:v>
                </c:pt>
                <c:pt idx="1">
                  <c:v>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invertIfNegative val="0"/>
          <c:val>
            <c:numRef>
              <c:f>PK!$C$76:$J$76</c:f>
              <c:numCache>
                <c:formatCode>General</c:formatCode>
                <c:ptCount val="8"/>
                <c:pt idx="0">
                  <c:v>0.17</c:v>
                </c:pt>
                <c:pt idx="1">
                  <c:v>1.4</c:v>
                </c:pt>
                <c:pt idx="2">
                  <c:v>0.42</c:v>
                </c:pt>
                <c:pt idx="3">
                  <c:v>0.34</c:v>
                </c:pt>
                <c:pt idx="4">
                  <c:v>0.21</c:v>
                </c:pt>
                <c:pt idx="5">
                  <c:v>0.17</c:v>
                </c:pt>
                <c:pt idx="6">
                  <c:v>0.21</c:v>
                </c:pt>
                <c:pt idx="7">
                  <c:v>0.63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7FB-4960-9DDE-2DFFD7A83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3980480"/>
        <c:axId val="253981040"/>
      </c:barChart>
      <c:lineChart>
        <c:grouping val="standard"/>
        <c:varyColors val="0"/>
        <c:ser>
          <c:idx val="0"/>
          <c:order val="3"/>
          <c:tx>
            <c:strRef>
              <c:f>PK!$A$62:$B$62</c:f>
              <c:strCache>
                <c:ptCount val="2"/>
                <c:pt idx="0">
                  <c:v>3324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2.9818956336528223E-2</c:v>
                </c:pt>
                <c:pt idx="1">
                  <c:v>3.484320557491289E-2</c:v>
                </c:pt>
                <c:pt idx="2">
                  <c:v>3.3838973162193697E-2</c:v>
                </c:pt>
                <c:pt idx="3">
                  <c:v>3.0716723549488054E-2</c:v>
                </c:pt>
                <c:pt idx="4">
                  <c:v>3.2638259292837715E-2</c:v>
                </c:pt>
                <c:pt idx="5">
                  <c:v>3.3769063180827889E-2</c:v>
                </c:pt>
                <c:pt idx="6">
                  <c:v>4.0236686390532544E-2</c:v>
                </c:pt>
                <c:pt idx="7">
                  <c:v>3.2114183764495985E-2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7FB-4960-9DDE-2DFFD7A83530}"/>
            </c:ext>
          </c:extLst>
        </c:ser>
        <c:ser>
          <c:idx val="1"/>
          <c:order val="4"/>
          <c:tx>
            <c:strRef>
              <c:f>PK!$A$63:$B$63</c:f>
              <c:strCache>
                <c:ptCount val="2"/>
                <c:pt idx="0">
                  <c:v>3017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3.4183082271147164E-2</c:v>
                </c:pt>
                <c:pt idx="1">
                  <c:v>3.5122729994013169E-2</c:v>
                </c:pt>
                <c:pt idx="2">
                  <c:v>2.9699317469101642E-2</c:v>
                </c:pt>
                <c:pt idx="3">
                  <c:v>3.1395132825561951E-2</c:v>
                </c:pt>
                <c:pt idx="4">
                  <c:v>3.3389926428975668E-2</c:v>
                </c:pt>
                <c:pt idx="5">
                  <c:v>3.3901588531576911E-2</c:v>
                </c:pt>
                <c:pt idx="6">
                  <c:v>3.1357001261488555E-2</c:v>
                </c:pt>
                <c:pt idx="7">
                  <c:v>2.9688024152968801E-2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7FB-4960-9DDE-2DFFD7A83530}"/>
            </c:ext>
          </c:extLst>
        </c:ser>
        <c:ser>
          <c:idx val="2"/>
          <c:order val="5"/>
          <c:tx>
            <c:strRef>
              <c:f>PK!$A$64:$B$64</c:f>
              <c:strCache>
                <c:ptCount val="2"/>
                <c:pt idx="0">
                  <c:v>6230</c:v>
                </c:pt>
                <c:pt idx="1">
                  <c:v>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1.8549747048903879E-2</c:v>
                </c:pt>
                <c:pt idx="1">
                  <c:v>2.3445463812436288E-2</c:v>
                </c:pt>
                <c:pt idx="2">
                  <c:v>0.02</c:v>
                </c:pt>
                <c:pt idx="3">
                  <c:v>2.1168501270110076E-2</c:v>
                </c:pt>
                <c:pt idx="4">
                  <c:v>2.2628372497824196E-2</c:v>
                </c:pt>
                <c:pt idx="5">
                  <c:v>2.4826216484607744E-2</c:v>
                </c:pt>
                <c:pt idx="6">
                  <c:v>2.244165170556553E-2</c:v>
                </c:pt>
                <c:pt idx="7">
                  <c:v>2.2608695652173914E-2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7FB-4960-9DDE-2DFFD7A83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982160"/>
        <c:axId val="253981600"/>
      </c:lineChart>
      <c:catAx>
        <c:axId val="2539804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3981040"/>
        <c:crosses val="autoZero"/>
        <c:auto val="1"/>
        <c:lblAlgn val="ctr"/>
        <c:lblOffset val="100"/>
        <c:noMultiLvlLbl val="0"/>
      </c:catAx>
      <c:valAx>
        <c:axId val="253981040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980480"/>
        <c:crosses val="autoZero"/>
        <c:crossBetween val="between"/>
      </c:valAx>
      <c:valAx>
        <c:axId val="25398160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253982160"/>
        <c:crosses val="max"/>
        <c:crossBetween val="between"/>
      </c:valAx>
      <c:catAx>
        <c:axId val="253982160"/>
        <c:scaling>
          <c:orientation val="minMax"/>
        </c:scaling>
        <c:delete val="1"/>
        <c:axPos val="b"/>
        <c:majorTickMark val="out"/>
        <c:minorTickMark val="none"/>
        <c:tickLblPos val="nextTo"/>
        <c:crossAx val="25398160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15043250801E-2"/>
          <c:y val="0.16182292279821969"/>
          <c:w val="0.8073008441512376"/>
          <c:h val="0.680526831822518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PK!$A$2:$B$2</c:f>
              <c:strCache>
                <c:ptCount val="2"/>
                <c:pt idx="0">
                  <c:v>3324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PK!$C$68:$J$68</c:f>
              <c:numCache>
                <c:formatCode>_(* #,##0.00_);_(* \(#,##0.00\);_(* "-"??_);_(@_)</c:formatCode>
                <c:ptCount val="8"/>
                <c:pt idx="0">
                  <c:v>15.42</c:v>
                </c:pt>
                <c:pt idx="1">
                  <c:v>13.86</c:v>
                </c:pt>
                <c:pt idx="2">
                  <c:v>14.06</c:v>
                </c:pt>
                <c:pt idx="3">
                  <c:v>14.14</c:v>
                </c:pt>
                <c:pt idx="4">
                  <c:v>17.79</c:v>
                </c:pt>
                <c:pt idx="5">
                  <c:v>14.51</c:v>
                </c:pt>
                <c:pt idx="6">
                  <c:v>13.49</c:v>
                </c:pt>
                <c:pt idx="7">
                  <c:v>19.54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E2A-46F5-9950-0FF2130E17BB}"/>
            </c:ext>
          </c:extLst>
        </c:ser>
        <c:ser>
          <c:idx val="1"/>
          <c:order val="1"/>
          <c:tx>
            <c:strRef>
              <c:f>PK!$A$3:$B$3</c:f>
              <c:strCache>
                <c:ptCount val="2"/>
                <c:pt idx="0">
                  <c:v>3017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PK!$C$69:$J$69</c:f>
              <c:numCache>
                <c:formatCode>_(* #,##0.00_);_(* \(#,##0.00\);_(* "-"??_);_(@_)</c:formatCode>
                <c:ptCount val="8"/>
                <c:pt idx="0">
                  <c:v>16.329999999999998</c:v>
                </c:pt>
                <c:pt idx="1">
                  <c:v>15.84</c:v>
                </c:pt>
                <c:pt idx="2">
                  <c:v>17.66</c:v>
                </c:pt>
                <c:pt idx="3">
                  <c:v>17.350000000000001</c:v>
                </c:pt>
                <c:pt idx="4">
                  <c:v>17.2</c:v>
                </c:pt>
                <c:pt idx="5">
                  <c:v>16.66</c:v>
                </c:pt>
                <c:pt idx="6">
                  <c:v>17.61</c:v>
                </c:pt>
                <c:pt idx="7">
                  <c:v>19.350000000000001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E2A-46F5-9950-0FF2130E17BB}"/>
            </c:ext>
          </c:extLst>
        </c:ser>
        <c:ser>
          <c:idx val="2"/>
          <c:order val="2"/>
          <c:tx>
            <c:strRef>
              <c:f>PK!$A$4:$B$4</c:f>
              <c:strCache>
                <c:ptCount val="2"/>
                <c:pt idx="0">
                  <c:v>6230</c:v>
                </c:pt>
                <c:pt idx="1">
                  <c:v>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PK!$C$70:$J$70</c:f>
              <c:numCache>
                <c:formatCode>General</c:formatCode>
                <c:ptCount val="8"/>
                <c:pt idx="0">
                  <c:v>17.37</c:v>
                </c:pt>
                <c:pt idx="1">
                  <c:v>14.7</c:v>
                </c:pt>
                <c:pt idx="2">
                  <c:v>18.68</c:v>
                </c:pt>
                <c:pt idx="3">
                  <c:v>17.8</c:v>
                </c:pt>
                <c:pt idx="4">
                  <c:v>17.649999999999999</c:v>
                </c:pt>
                <c:pt idx="5">
                  <c:v>15.23</c:v>
                </c:pt>
                <c:pt idx="6">
                  <c:v>16.62</c:v>
                </c:pt>
                <c:pt idx="7">
                  <c:v>17.73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E2A-46F5-9950-0FF2130E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53987760"/>
        <c:axId val="253988320"/>
      </c:barChart>
      <c:lineChart>
        <c:grouping val="standard"/>
        <c:varyColors val="0"/>
        <c:ser>
          <c:idx val="3"/>
          <c:order val="3"/>
          <c:tx>
            <c:strRef>
              <c:f>PK!$A$47:$B$47</c:f>
              <c:strCache>
                <c:ptCount val="2"/>
                <c:pt idx="0">
                  <c:v>3324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0.13853211009174313</c:v>
                </c:pt>
                <c:pt idx="1">
                  <c:v>0.12142857142857143</c:v>
                </c:pt>
                <c:pt idx="2">
                  <c:v>0.13782696177062373</c:v>
                </c:pt>
                <c:pt idx="3">
                  <c:v>0.1253731343283582</c:v>
                </c:pt>
                <c:pt idx="4">
                  <c:v>0.12806324110671938</c:v>
                </c:pt>
                <c:pt idx="5">
                  <c:v>0.11046511627906977</c:v>
                </c:pt>
                <c:pt idx="6">
                  <c:v>0.11887382690302398</c:v>
                </c:pt>
                <c:pt idx="7">
                  <c:v>0.1929445644348452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E2A-46F5-9950-0FF2130E17BB}"/>
            </c:ext>
          </c:extLst>
        </c:ser>
        <c:ser>
          <c:idx val="4"/>
          <c:order val="4"/>
          <c:tx>
            <c:strRef>
              <c:f>PK!$A$48:$B$48</c:f>
              <c:strCache>
                <c:ptCount val="2"/>
                <c:pt idx="0">
                  <c:v>3017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0.10244409776391056</c:v>
                </c:pt>
                <c:pt idx="1">
                  <c:v>0.10485887817077527</c:v>
                </c:pt>
                <c:pt idx="2">
                  <c:v>0.13125000000000001</c:v>
                </c:pt>
                <c:pt idx="3">
                  <c:v>0.12200293589952699</c:v>
                </c:pt>
                <c:pt idx="4">
                  <c:v>0.12769458614447918</c:v>
                </c:pt>
                <c:pt idx="5">
                  <c:v>0.12315270935960591</c:v>
                </c:pt>
                <c:pt idx="6">
                  <c:v>0.10816457730633237</c:v>
                </c:pt>
                <c:pt idx="7">
                  <c:v>0.12810763381105586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E2A-46F5-9950-0FF2130E17BB}"/>
            </c:ext>
          </c:extLst>
        </c:ser>
        <c:ser>
          <c:idx val="5"/>
          <c:order val="5"/>
          <c:tx>
            <c:strRef>
              <c:f>PK!$A$49:$B$49</c:f>
              <c:strCache>
                <c:ptCount val="2"/>
                <c:pt idx="0">
                  <c:v>6230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0.20880587058038694</c:v>
                </c:pt>
                <c:pt idx="1">
                  <c:v>0.22695035460992907</c:v>
                </c:pt>
                <c:pt idx="2">
                  <c:v>0.25558312655086851</c:v>
                </c:pt>
                <c:pt idx="3">
                  <c:v>0.23111979166666666</c:v>
                </c:pt>
                <c:pt idx="4">
                  <c:v>0.24556795797767564</c:v>
                </c:pt>
                <c:pt idx="5">
                  <c:v>0.23363774733637746</c:v>
                </c:pt>
                <c:pt idx="6">
                  <c:v>0.22315202231520223</c:v>
                </c:pt>
                <c:pt idx="7">
                  <c:v>0.24836601307189543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E2A-46F5-9950-0FF2130E1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989440"/>
        <c:axId val="253988880"/>
      </c:lineChart>
      <c:catAx>
        <c:axId val="253987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53988320"/>
        <c:crosses val="autoZero"/>
        <c:auto val="1"/>
        <c:lblAlgn val="ctr"/>
        <c:lblOffset val="100"/>
        <c:noMultiLvlLbl val="0"/>
      </c:catAx>
      <c:valAx>
        <c:axId val="253988320"/>
        <c:scaling>
          <c:orientation val="minMax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53987760"/>
        <c:crosses val="autoZero"/>
        <c:crossBetween val="between"/>
      </c:valAx>
      <c:valAx>
        <c:axId val="253988880"/>
        <c:scaling>
          <c:orientation val="minMax"/>
          <c:max val="0.26836228287841196"/>
          <c:min val="9.7321892875715021E-2"/>
        </c:scaling>
        <c:delete val="0"/>
        <c:axPos val="r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253989440"/>
        <c:crosses val="max"/>
        <c:crossBetween val="between"/>
      </c:valAx>
      <c:catAx>
        <c:axId val="253989440"/>
        <c:scaling>
          <c:orientation val="minMax"/>
        </c:scaling>
        <c:delete val="1"/>
        <c:axPos val="b"/>
        <c:majorTickMark val="out"/>
        <c:minorTickMark val="none"/>
        <c:tickLblPos val="none"/>
        <c:crossAx val="25398888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紅綠燈!$O$1:$O$3</c:f>
              <c:strCache>
                <c:ptCount val="3"/>
                <c:pt idx="0">
                  <c:v>1</c:v>
                </c:pt>
                <c:pt idx="1">
                  <c:v>Q-7</c:v>
                </c:pt>
                <c:pt idx="2">
                  <c:v>597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紅綠燈!$O$4:$O$36</c:f>
              <c:numCache>
                <c:formatCode>General</c:formatCode>
                <c:ptCount val="33"/>
                <c:pt idx="0">
                  <c:v>491</c:v>
                </c:pt>
                <c:pt idx="1">
                  <c:v>43</c:v>
                </c:pt>
                <c:pt idx="2">
                  <c:v>14</c:v>
                </c:pt>
                <c:pt idx="3">
                  <c:v>39</c:v>
                </c:pt>
                <c:pt idx="4">
                  <c:v>28</c:v>
                </c:pt>
                <c:pt idx="5">
                  <c:v>0.28000000000000003</c:v>
                </c:pt>
                <c:pt idx="6">
                  <c:v>464</c:v>
                </c:pt>
                <c:pt idx="7">
                  <c:v>375</c:v>
                </c:pt>
                <c:pt idx="8">
                  <c:v>231</c:v>
                </c:pt>
                <c:pt idx="9">
                  <c:v>663</c:v>
                </c:pt>
                <c:pt idx="10">
                  <c:v>2167</c:v>
                </c:pt>
                <c:pt idx="11">
                  <c:v>117</c:v>
                </c:pt>
                <c:pt idx="12">
                  <c:v>52</c:v>
                </c:pt>
                <c:pt idx="13">
                  <c:v>0</c:v>
                </c:pt>
                <c:pt idx="14">
                  <c:v>38</c:v>
                </c:pt>
                <c:pt idx="15">
                  <c:v>0</c:v>
                </c:pt>
                <c:pt idx="16">
                  <c:v>1503</c:v>
                </c:pt>
                <c:pt idx="17">
                  <c:v>1012</c:v>
                </c:pt>
                <c:pt idx="18" formatCode="0%">
                  <c:v>0.17755443886097153</c:v>
                </c:pt>
                <c:pt idx="19" formatCode="0%">
                  <c:v>4.690117252931323E-2</c:v>
                </c:pt>
                <c:pt idx="20" formatCode="0%">
                  <c:v>0.30595293031841253</c:v>
                </c:pt>
                <c:pt idx="21" formatCode="0_);[Red]\(0\)">
                  <c:v>48.289233576642339</c:v>
                </c:pt>
                <c:pt idx="22" formatCode="0_);[Red]\(0\)">
                  <c:v>79.14182692307692</c:v>
                </c:pt>
                <c:pt idx="23" formatCode="0_);[Red]\(0\)">
                  <c:v>82.147201946472023</c:v>
                </c:pt>
                <c:pt idx="24" formatCode="#,##0_);[Red]\(#,##0\)">
                  <c:v>161.28902886954893</c:v>
                </c:pt>
                <c:pt idx="25">
                  <c:v>38</c:v>
                </c:pt>
                <c:pt idx="26" formatCode="0%">
                  <c:v>8.0246913580246909E-2</c:v>
                </c:pt>
                <c:pt idx="27" formatCode="0%">
                  <c:v>7.7393075356415472E-2</c:v>
                </c:pt>
                <c:pt idx="28" formatCode="0.00_ ">
                  <c:v>4.1785714285714288</c:v>
                </c:pt>
                <c:pt idx="29" formatCode="0.00_ ">
                  <c:v>1.3528051464817272</c:v>
                </c:pt>
                <c:pt idx="30" formatCode="0_ ">
                  <c:v>43</c:v>
                </c:pt>
                <c:pt idx="31" formatCode="0%">
                  <c:v>1.1025641025641026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5A-415A-AD65-B1826B429417}"/>
            </c:ext>
          </c:extLst>
        </c:ser>
        <c:ser>
          <c:idx val="1"/>
          <c:order val="1"/>
          <c:tx>
            <c:strRef>
              <c:f>紅綠燈!$P$1:$P$3</c:f>
              <c:strCache>
                <c:ptCount val="3"/>
                <c:pt idx="0">
                  <c:v>1</c:v>
                </c:pt>
                <c:pt idx="1">
                  <c:v>Q-6</c:v>
                </c:pt>
                <c:pt idx="2">
                  <c:v>520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紅綠燈!$P$4:$P$36</c:f>
              <c:numCache>
                <c:formatCode>General</c:formatCode>
                <c:ptCount val="33"/>
                <c:pt idx="0">
                  <c:v>411</c:v>
                </c:pt>
                <c:pt idx="1">
                  <c:v>49</c:v>
                </c:pt>
                <c:pt idx="2">
                  <c:v>11</c:v>
                </c:pt>
                <c:pt idx="3">
                  <c:v>56</c:v>
                </c:pt>
                <c:pt idx="4">
                  <c:v>47</c:v>
                </c:pt>
                <c:pt idx="5">
                  <c:v>0.47</c:v>
                </c:pt>
                <c:pt idx="6">
                  <c:v>438</c:v>
                </c:pt>
                <c:pt idx="7">
                  <c:v>365</c:v>
                </c:pt>
                <c:pt idx="8">
                  <c:v>204</c:v>
                </c:pt>
                <c:pt idx="9">
                  <c:v>642</c:v>
                </c:pt>
                <c:pt idx="10">
                  <c:v>2194</c:v>
                </c:pt>
                <c:pt idx="11">
                  <c:v>97</c:v>
                </c:pt>
                <c:pt idx="12">
                  <c:v>5</c:v>
                </c:pt>
                <c:pt idx="13">
                  <c:v>0</c:v>
                </c:pt>
                <c:pt idx="14">
                  <c:v>39</c:v>
                </c:pt>
                <c:pt idx="15">
                  <c:v>0</c:v>
                </c:pt>
                <c:pt idx="16">
                  <c:v>1552</c:v>
                </c:pt>
                <c:pt idx="17">
                  <c:v>1012</c:v>
                </c:pt>
                <c:pt idx="18" formatCode="0%">
                  <c:v>0.20961538461538462</c:v>
                </c:pt>
                <c:pt idx="19" formatCode="0%">
                  <c:v>9.0384615384615383E-2</c:v>
                </c:pt>
                <c:pt idx="20" formatCode="0%">
                  <c:v>0.29261622607110299</c:v>
                </c:pt>
                <c:pt idx="21" formatCode="0_);[Red]\(0\)">
                  <c:v>48.289233576642339</c:v>
                </c:pt>
                <c:pt idx="22" formatCode="0_);[Red]\(0\)">
                  <c:v>79.14182692307692</c:v>
                </c:pt>
                <c:pt idx="23" formatCode="0_);[Red]\(0\)">
                  <c:v>82.147201946472023</c:v>
                </c:pt>
                <c:pt idx="24" formatCode="#,##0_);[Red]\(#,##0\)">
                  <c:v>161.28902886954893</c:v>
                </c:pt>
                <c:pt idx="25">
                  <c:v>39</c:v>
                </c:pt>
                <c:pt idx="26" formatCode="0%">
                  <c:v>8.0246913580246909E-2</c:v>
                </c:pt>
                <c:pt idx="27" formatCode="0%">
                  <c:v>9.4890510948905105E-2</c:v>
                </c:pt>
                <c:pt idx="28" formatCode="0.00_ ">
                  <c:v>2.0638297872340425</c:v>
                </c:pt>
                <c:pt idx="29" formatCode="0.00_ ">
                  <c:v>1.3528051464817272</c:v>
                </c:pt>
                <c:pt idx="30" formatCode="0_ ">
                  <c:v>49</c:v>
                </c:pt>
                <c:pt idx="31" formatCode="0%">
                  <c:v>0.875</c:v>
                </c:pt>
                <c:pt idx="32" formatCode="0%">
                  <c:v>7.7836411609498682E-2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5A-415A-AD65-B1826B429417}"/>
            </c:ext>
          </c:extLst>
        </c:ser>
        <c:ser>
          <c:idx val="2"/>
          <c:order val="2"/>
          <c:tx>
            <c:strRef>
              <c:f>紅綠燈!$Q$1:$Q$3</c:f>
              <c:strCache>
                <c:ptCount val="3"/>
                <c:pt idx="0">
                  <c:v>2</c:v>
                </c:pt>
                <c:pt idx="1">
                  <c:v>Q-5</c:v>
                </c:pt>
                <c:pt idx="2">
                  <c:v>592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紅綠燈!$Q$4:$Q$36</c:f>
              <c:numCache>
                <c:formatCode>General</c:formatCode>
                <c:ptCount val="33"/>
                <c:pt idx="0">
                  <c:v>435</c:v>
                </c:pt>
                <c:pt idx="1">
                  <c:v>90</c:v>
                </c:pt>
                <c:pt idx="2">
                  <c:v>-1</c:v>
                </c:pt>
                <c:pt idx="3">
                  <c:v>86</c:v>
                </c:pt>
                <c:pt idx="4">
                  <c:v>71</c:v>
                </c:pt>
                <c:pt idx="5">
                  <c:v>0.71</c:v>
                </c:pt>
                <c:pt idx="6">
                  <c:v>447</c:v>
                </c:pt>
                <c:pt idx="7">
                  <c:v>435</c:v>
                </c:pt>
                <c:pt idx="8">
                  <c:v>255</c:v>
                </c:pt>
                <c:pt idx="9">
                  <c:v>703</c:v>
                </c:pt>
                <c:pt idx="10">
                  <c:v>2232</c:v>
                </c:pt>
                <c:pt idx="11">
                  <c:v>99</c:v>
                </c:pt>
                <c:pt idx="12">
                  <c:v>6</c:v>
                </c:pt>
                <c:pt idx="13">
                  <c:v>0</c:v>
                </c:pt>
                <c:pt idx="14">
                  <c:v>39</c:v>
                </c:pt>
                <c:pt idx="15">
                  <c:v>0</c:v>
                </c:pt>
                <c:pt idx="16">
                  <c:v>1529</c:v>
                </c:pt>
                <c:pt idx="17">
                  <c:v>1011</c:v>
                </c:pt>
                <c:pt idx="18" formatCode="0%">
                  <c:v>0.26520270270270269</c:v>
                </c:pt>
                <c:pt idx="19" formatCode="0%">
                  <c:v>0.11993243243243243</c:v>
                </c:pt>
                <c:pt idx="20" formatCode="0%">
                  <c:v>0.31496415770609321</c:v>
                </c:pt>
                <c:pt idx="21" formatCode="0_);[Red]\(0\)">
                  <c:v>48.142241379310349</c:v>
                </c:pt>
                <c:pt idx="22" formatCode="0_);[Red]\(0\)">
                  <c:v>68.206292229729726</c:v>
                </c:pt>
                <c:pt idx="23" formatCode="0_);[Red]\(0\)">
                  <c:v>83.908045977011497</c:v>
                </c:pt>
                <c:pt idx="24" formatCode="#,##0_);[Red]\(#,##0\)">
                  <c:v>152.11433820674122</c:v>
                </c:pt>
                <c:pt idx="25">
                  <c:v>39</c:v>
                </c:pt>
                <c:pt idx="26" formatCode="0%">
                  <c:v>6.655290102389079E-2</c:v>
                </c:pt>
                <c:pt idx="27" formatCode="0%">
                  <c:v>8.9655172413793102E-2</c:v>
                </c:pt>
                <c:pt idx="28" formatCode="0.00_ ">
                  <c:v>1.3943661971830985</c:v>
                </c:pt>
                <c:pt idx="29" formatCode="0.00_ ">
                  <c:v>1.3528051464817272</c:v>
                </c:pt>
                <c:pt idx="30" formatCode="0_ ">
                  <c:v>90</c:v>
                </c:pt>
                <c:pt idx="31" formatCode="0%">
                  <c:v>1.0465116279069768</c:v>
                </c:pt>
                <c:pt idx="32" formatCode="0%">
                  <c:v>7.7836411609498682E-2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95A-415A-AD65-B1826B429417}"/>
            </c:ext>
          </c:extLst>
        </c:ser>
        <c:ser>
          <c:idx val="3"/>
          <c:order val="3"/>
          <c:tx>
            <c:strRef>
              <c:f>紅綠燈!$R$1:$R$3</c:f>
              <c:strCache>
                <c:ptCount val="3"/>
                <c:pt idx="0">
                  <c:v>1</c:v>
                </c:pt>
                <c:pt idx="1">
                  <c:v>913</c:v>
                </c:pt>
                <c:pt idx="2">
                  <c:v>564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紅綠燈!$R$4:$R$36</c:f>
              <c:numCache>
                <c:formatCode>General</c:formatCode>
                <c:ptCount val="33"/>
                <c:pt idx="0">
                  <c:v>421</c:v>
                </c:pt>
                <c:pt idx="1">
                  <c:v>69</c:v>
                </c:pt>
                <c:pt idx="2">
                  <c:v>10</c:v>
                </c:pt>
                <c:pt idx="3">
                  <c:v>78</c:v>
                </c:pt>
                <c:pt idx="4">
                  <c:v>65</c:v>
                </c:pt>
                <c:pt idx="5">
                  <c:v>0.65</c:v>
                </c:pt>
                <c:pt idx="6">
                  <c:v>434</c:v>
                </c:pt>
                <c:pt idx="7">
                  <c:v>515</c:v>
                </c:pt>
                <c:pt idx="8">
                  <c:v>254</c:v>
                </c:pt>
                <c:pt idx="9">
                  <c:v>696</c:v>
                </c:pt>
                <c:pt idx="10">
                  <c:v>2295</c:v>
                </c:pt>
                <c:pt idx="11">
                  <c:v>51</c:v>
                </c:pt>
                <c:pt idx="12">
                  <c:v>36</c:v>
                </c:pt>
                <c:pt idx="13">
                  <c:v>0</c:v>
                </c:pt>
                <c:pt idx="14">
                  <c:v>37</c:v>
                </c:pt>
                <c:pt idx="15">
                  <c:v>0</c:v>
                </c:pt>
                <c:pt idx="16">
                  <c:v>1599</c:v>
                </c:pt>
                <c:pt idx="17">
                  <c:v>1011</c:v>
                </c:pt>
                <c:pt idx="18" formatCode="0%">
                  <c:v>0.25354609929078015</c:v>
                </c:pt>
                <c:pt idx="19" formatCode="0%">
                  <c:v>0.11524822695035461</c:v>
                </c:pt>
                <c:pt idx="20" formatCode="0%">
                  <c:v>0.30326797385620913</c:v>
                </c:pt>
                <c:pt idx="21" formatCode="0_);[Red]\(0\)">
                  <c:v>55.161817102137768</c:v>
                </c:pt>
                <c:pt idx="22" formatCode="0_);[Red]\(0\)">
                  <c:v>71.268838652482273</c:v>
                </c:pt>
                <c:pt idx="23" formatCode="0_);[Red]\(0\)">
                  <c:v>102.95427553444181</c:v>
                </c:pt>
                <c:pt idx="24" formatCode="#,##0_);[Red]\(#,##0\)">
                  <c:v>174.22311418692408</c:v>
                </c:pt>
                <c:pt idx="25">
                  <c:v>37</c:v>
                </c:pt>
                <c:pt idx="26" formatCode="0%">
                  <c:v>9.2731829573934832E-2</c:v>
                </c:pt>
                <c:pt idx="27" formatCode="0%">
                  <c:v>8.7885985748218529E-2</c:v>
                </c:pt>
                <c:pt idx="28" formatCode="0.00_ ">
                  <c:v>0</c:v>
                </c:pt>
                <c:pt idx="29" formatCode="0.00_ ">
                  <c:v>1.3528051464817272</c:v>
                </c:pt>
                <c:pt idx="30" formatCode="0_ ">
                  <c:v>69</c:v>
                </c:pt>
                <c:pt idx="31" formatCode="0%">
                  <c:v>0.88461538461538458</c:v>
                </c:pt>
                <c:pt idx="32" formatCode="0%">
                  <c:v>8.6321802602348466E-2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95A-415A-AD65-B1826B429417}"/>
            </c:ext>
          </c:extLst>
        </c:ser>
        <c:ser>
          <c:idx val="4"/>
          <c:order val="4"/>
          <c:tx>
            <c:strRef>
              <c:f>紅綠燈!$S$1:$S$3</c:f>
              <c:strCache>
                <c:ptCount val="3"/>
                <c:pt idx="0">
                  <c:v>1</c:v>
                </c:pt>
                <c:pt idx="1">
                  <c:v>Q-3</c:v>
                </c:pt>
                <c:pt idx="2">
                  <c:v>730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紅綠燈!$S$4:$S$36</c:f>
              <c:numCache>
                <c:formatCode>General</c:formatCode>
                <c:ptCount val="33"/>
                <c:pt idx="0">
                  <c:v>532</c:v>
                </c:pt>
                <c:pt idx="1">
                  <c:v>125</c:v>
                </c:pt>
                <c:pt idx="2">
                  <c:v>19</c:v>
                </c:pt>
                <c:pt idx="3">
                  <c:v>129</c:v>
                </c:pt>
                <c:pt idx="4">
                  <c:v>107</c:v>
                </c:pt>
                <c:pt idx="5">
                  <c:v>1.08</c:v>
                </c:pt>
                <c:pt idx="6">
                  <c:v>616</c:v>
                </c:pt>
                <c:pt idx="7">
                  <c:v>531</c:v>
                </c:pt>
                <c:pt idx="8">
                  <c:v>278</c:v>
                </c:pt>
                <c:pt idx="9">
                  <c:v>861</c:v>
                </c:pt>
                <c:pt idx="10">
                  <c:v>2434</c:v>
                </c:pt>
                <c:pt idx="11">
                  <c:v>20</c:v>
                </c:pt>
                <c:pt idx="12">
                  <c:v>39</c:v>
                </c:pt>
                <c:pt idx="13">
                  <c:v>0</c:v>
                </c:pt>
                <c:pt idx="14">
                  <c:v>36</c:v>
                </c:pt>
                <c:pt idx="15">
                  <c:v>0</c:v>
                </c:pt>
                <c:pt idx="16">
                  <c:v>1573</c:v>
                </c:pt>
                <c:pt idx="17">
                  <c:v>1010</c:v>
                </c:pt>
                <c:pt idx="18" formatCode="0%">
                  <c:v>0.27123287671232876</c:v>
                </c:pt>
                <c:pt idx="19" formatCode="0%">
                  <c:v>0.14657534246575343</c:v>
                </c:pt>
                <c:pt idx="20" formatCode="0%">
                  <c:v>0.35373870172555466</c:v>
                </c:pt>
                <c:pt idx="21" formatCode="0_);[Red]\(0\)">
                  <c:v>45.625</c:v>
                </c:pt>
                <c:pt idx="22" formatCode="0_);[Red]\(0\)">
                  <c:v>65.625</c:v>
                </c:pt>
                <c:pt idx="23" formatCode="0_);[Red]\(0\)">
                  <c:v>89.706296992481199</c:v>
                </c:pt>
                <c:pt idx="24" formatCode="#,##0_);[Red]\(#,##0\)">
                  <c:v>155.33129699248121</c:v>
                </c:pt>
                <c:pt idx="25">
                  <c:v>36</c:v>
                </c:pt>
                <c:pt idx="26" formatCode="0%">
                  <c:v>5.2098408104196817E-2</c:v>
                </c:pt>
                <c:pt idx="27" formatCode="0%">
                  <c:v>6.7669172932330823E-2</c:v>
                </c:pt>
                <c:pt idx="28" formatCode="0.00_ ">
                  <c:v>0</c:v>
                </c:pt>
                <c:pt idx="29" formatCode="0.00_ ">
                  <c:v>1.3528051464817272</c:v>
                </c:pt>
                <c:pt idx="30" formatCode="0_ ">
                  <c:v>125</c:v>
                </c:pt>
                <c:pt idx="31" formatCode="0%">
                  <c:v>0.96899224806201545</c:v>
                </c:pt>
                <c:pt idx="32" formatCode="0%">
                  <c:v>9.4278283485045508E-2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95A-415A-AD65-B1826B429417}"/>
            </c:ext>
          </c:extLst>
        </c:ser>
        <c:ser>
          <c:idx val="5"/>
          <c:order val="5"/>
          <c:tx>
            <c:strRef>
              <c:f>紅綠燈!$T$1:$T$3</c:f>
              <c:strCache>
                <c:ptCount val="3"/>
                <c:pt idx="0">
                  <c:v>    合計     6 分    </c:v>
                </c:pt>
                <c:pt idx="1">
                  <c:v>Q-2</c:v>
                </c:pt>
                <c:pt idx="2">
                  <c:v>729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紅綠燈!$T$4:$T$36</c:f>
              <c:numCache>
                <c:formatCode>General</c:formatCode>
                <c:ptCount val="33"/>
                <c:pt idx="0">
                  <c:v>543</c:v>
                </c:pt>
                <c:pt idx="1">
                  <c:v>112</c:v>
                </c:pt>
                <c:pt idx="2">
                  <c:v>3</c:v>
                </c:pt>
                <c:pt idx="3">
                  <c:v>110</c:v>
                </c:pt>
                <c:pt idx="4">
                  <c:v>94</c:v>
                </c:pt>
                <c:pt idx="5">
                  <c:v>0.99</c:v>
                </c:pt>
                <c:pt idx="6">
                  <c:v>618</c:v>
                </c:pt>
                <c:pt idx="7">
                  <c:v>586</c:v>
                </c:pt>
                <c:pt idx="8">
                  <c:v>304</c:v>
                </c:pt>
                <c:pt idx="9">
                  <c:v>1071</c:v>
                </c:pt>
                <c:pt idx="10">
                  <c:v>2740</c:v>
                </c:pt>
                <c:pt idx="11">
                  <c:v>129</c:v>
                </c:pt>
                <c:pt idx="12">
                  <c:v>174</c:v>
                </c:pt>
                <c:pt idx="13">
                  <c:v>0</c:v>
                </c:pt>
                <c:pt idx="14">
                  <c:v>36</c:v>
                </c:pt>
                <c:pt idx="15">
                  <c:v>0</c:v>
                </c:pt>
                <c:pt idx="16">
                  <c:v>1669</c:v>
                </c:pt>
                <c:pt idx="17">
                  <c:v>1010</c:v>
                </c:pt>
                <c:pt idx="18" formatCode="0%">
                  <c:v>0.2551440329218107</c:v>
                </c:pt>
                <c:pt idx="19" formatCode="0%">
                  <c:v>0.12894375857338819</c:v>
                </c:pt>
                <c:pt idx="20" formatCode="0%">
                  <c:v>0.39087591240875913</c:v>
                </c:pt>
                <c:pt idx="21" formatCode="0_);[Red]\(0\)">
                  <c:v>48.901933701657455</c:v>
                </c:pt>
                <c:pt idx="22" formatCode="0_);[Red]\(0\)">
                  <c:v>77.230795610425233</c:v>
                </c:pt>
                <c:pt idx="23" formatCode="0_);[Red]\(0\)">
                  <c:v>93.854742173112342</c:v>
                </c:pt>
                <c:pt idx="24" formatCode="#,##0_);[Red]\(#,##0\)">
                  <c:v>171.08553778353757</c:v>
                </c:pt>
                <c:pt idx="25">
                  <c:v>36</c:v>
                </c:pt>
                <c:pt idx="26" formatCode="0%">
                  <c:v>0.1005586592178771</c:v>
                </c:pt>
                <c:pt idx="27" formatCode="0%">
                  <c:v>6.6298342541436461E-2</c:v>
                </c:pt>
                <c:pt idx="28" formatCode="0.00_ ">
                  <c:v>1.3723404255319149</c:v>
                </c:pt>
                <c:pt idx="29" formatCode="0.00_ ">
                  <c:v>1.3528051464817272</c:v>
                </c:pt>
                <c:pt idx="30" formatCode="0_ ">
                  <c:v>112</c:v>
                </c:pt>
                <c:pt idx="31" formatCode="0%">
                  <c:v>1.0181818181818181</c:v>
                </c:pt>
                <c:pt idx="32" formatCode="0%">
                  <c:v>0.10462589257994412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95A-415A-AD65-B1826B429417}"/>
            </c:ext>
          </c:extLst>
        </c:ser>
        <c:ser>
          <c:idx val="6"/>
          <c:order val="6"/>
          <c:tx>
            <c:strRef>
              <c:f>紅綠燈!$U$1:$U$3</c:f>
              <c:strCache>
                <c:ptCount val="3"/>
                <c:pt idx="0">
                  <c:v>    合計     6 分    </c:v>
                </c:pt>
                <c:pt idx="1">
                  <c:v>Q-1</c:v>
                </c:pt>
                <c:pt idx="2">
                  <c:v>960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紅綠燈!$U$4:$U$36</c:f>
              <c:numCache>
                <c:formatCode>General</c:formatCode>
                <c:ptCount val="33"/>
                <c:pt idx="0">
                  <c:v>695</c:v>
                </c:pt>
                <c:pt idx="1">
                  <c:v>72</c:v>
                </c:pt>
                <c:pt idx="2">
                  <c:v>9</c:v>
                </c:pt>
                <c:pt idx="3">
                  <c:v>79</c:v>
                </c:pt>
                <c:pt idx="4">
                  <c:v>75</c:v>
                </c:pt>
                <c:pt idx="5">
                  <c:v>0.77</c:v>
                </c:pt>
                <c:pt idx="6">
                  <c:v>742</c:v>
                </c:pt>
                <c:pt idx="7">
                  <c:v>670</c:v>
                </c:pt>
                <c:pt idx="8">
                  <c:v>395</c:v>
                </c:pt>
                <c:pt idx="9">
                  <c:v>1432</c:v>
                </c:pt>
                <c:pt idx="10">
                  <c:v>3076</c:v>
                </c:pt>
                <c:pt idx="11">
                  <c:v>136</c:v>
                </c:pt>
                <c:pt idx="12">
                  <c:v>300</c:v>
                </c:pt>
                <c:pt idx="13">
                  <c:v>0</c:v>
                </c:pt>
                <c:pt idx="14">
                  <c:v>41</c:v>
                </c:pt>
                <c:pt idx="15">
                  <c:v>0</c:v>
                </c:pt>
                <c:pt idx="16">
                  <c:v>1644</c:v>
                </c:pt>
                <c:pt idx="17">
                  <c:v>1039</c:v>
                </c:pt>
                <c:pt idx="18" formatCode="0%">
                  <c:v>0.27604166666666669</c:v>
                </c:pt>
                <c:pt idx="19" formatCode="0%">
                  <c:v>7.8125E-2</c:v>
                </c:pt>
                <c:pt idx="20" formatCode="0%">
                  <c:v>0.46553966189856955</c:v>
                </c:pt>
                <c:pt idx="21" formatCode="0_);[Red]\(0\)">
                  <c:v>45.887589928057558</c:v>
                </c:pt>
                <c:pt idx="22" formatCode="0_);[Red]\(0\)">
                  <c:v>64.635416666666657</c:v>
                </c:pt>
                <c:pt idx="23" formatCode="0_);[Red]\(0\)">
                  <c:v>82.453237410071949</c:v>
                </c:pt>
                <c:pt idx="24" formatCode="#,##0_);[Red]\(#,##0\)">
                  <c:v>147.08865407673861</c:v>
                </c:pt>
                <c:pt idx="25">
                  <c:v>41</c:v>
                </c:pt>
                <c:pt idx="26" formatCode="0%">
                  <c:v>6.2121212121212119E-2</c:v>
                </c:pt>
                <c:pt idx="27" formatCode="0%">
                  <c:v>5.8992805755395686E-2</c:v>
                </c:pt>
                <c:pt idx="28" formatCode="0.00_ ">
                  <c:v>1.8133333333333332</c:v>
                </c:pt>
                <c:pt idx="29" formatCode="0.00_ ">
                  <c:v>1.3528051464817272</c:v>
                </c:pt>
                <c:pt idx="30" formatCode="0_ ">
                  <c:v>72</c:v>
                </c:pt>
                <c:pt idx="31" formatCode="0%">
                  <c:v>0.91139240506329111</c:v>
                </c:pt>
                <c:pt idx="32" formatCode="0%">
                  <c:v>0.10746927198235108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95A-415A-AD65-B1826B429417}"/>
            </c:ext>
          </c:extLst>
        </c:ser>
        <c:ser>
          <c:idx val="7"/>
          <c:order val="7"/>
          <c:tx>
            <c:strRef>
              <c:f>紅綠燈!$V$1:$V$3</c:f>
              <c:strCache>
                <c:ptCount val="3"/>
                <c:pt idx="0">
                  <c:v>    合計     6 分    </c:v>
                </c:pt>
                <c:pt idx="1">
                  <c:v>Q</c:v>
                </c:pt>
                <c:pt idx="2">
                  <c:v>1266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紅綠燈!$V$4:$V$36</c:f>
              <c:numCache>
                <c:formatCode>General</c:formatCode>
                <c:ptCount val="33"/>
                <c:pt idx="0">
                  <c:v>796</c:v>
                </c:pt>
                <c:pt idx="1">
                  <c:v>338</c:v>
                </c:pt>
                <c:pt idx="2">
                  <c:v>13</c:v>
                </c:pt>
                <c:pt idx="3">
                  <c:v>350</c:v>
                </c:pt>
                <c:pt idx="4">
                  <c:v>293</c:v>
                </c:pt>
                <c:pt idx="5">
                  <c:v>3</c:v>
                </c:pt>
                <c:pt idx="6">
                  <c:v>906</c:v>
                </c:pt>
                <c:pt idx="7">
                  <c:v>748</c:v>
                </c:pt>
                <c:pt idx="8">
                  <c:v>477</c:v>
                </c:pt>
                <c:pt idx="9">
                  <c:v>1605</c:v>
                </c:pt>
                <c:pt idx="10">
                  <c:v>3572</c:v>
                </c:pt>
                <c:pt idx="11">
                  <c:v>257</c:v>
                </c:pt>
                <c:pt idx="12">
                  <c:v>337</c:v>
                </c:pt>
                <c:pt idx="13">
                  <c:v>0</c:v>
                </c:pt>
                <c:pt idx="14">
                  <c:v>53</c:v>
                </c:pt>
                <c:pt idx="15">
                  <c:v>0</c:v>
                </c:pt>
                <c:pt idx="16">
                  <c:v>1966</c:v>
                </c:pt>
                <c:pt idx="17">
                  <c:v>1038</c:v>
                </c:pt>
                <c:pt idx="18" formatCode="0%">
                  <c:v>0.37124802527646128</c:v>
                </c:pt>
                <c:pt idx="19" formatCode="0%">
                  <c:v>0.23143759873617695</c:v>
                </c:pt>
                <c:pt idx="20" formatCode="0%">
                  <c:v>0.44932810750279956</c:v>
                </c:pt>
                <c:pt idx="21" formatCode="0_);[Red]\(0\)">
                  <c:v>49.981155778894475</c:v>
                </c:pt>
                <c:pt idx="22" formatCode="0_);[Red]\(0\)">
                  <c:v>59.391785150078988</c:v>
                </c:pt>
                <c:pt idx="23" formatCode="0_);[Red]\(0\)">
                  <c:v>81.2766959798995</c:v>
                </c:pt>
                <c:pt idx="24" formatCode="#,##0_);[Red]\(#,##0\)">
                  <c:v>140.66848112997849</c:v>
                </c:pt>
                <c:pt idx="25">
                  <c:v>53</c:v>
                </c:pt>
                <c:pt idx="26" formatCode="0%">
                  <c:v>5.7050592034445638E-2</c:v>
                </c:pt>
                <c:pt idx="27" formatCode="0%">
                  <c:v>6.6582914572864318E-2</c:v>
                </c:pt>
                <c:pt idx="28" formatCode="0.00_ ">
                  <c:v>0</c:v>
                </c:pt>
                <c:pt idx="29" formatCode="0.00_ ">
                  <c:v>1.3528051464817272</c:v>
                </c:pt>
                <c:pt idx="30" formatCode="0_ ">
                  <c:v>338</c:v>
                </c:pt>
                <c:pt idx="31" formatCode="0%">
                  <c:v>0.96571428571428575</c:v>
                </c:pt>
                <c:pt idx="32" formatCode="0%">
                  <c:v>0.15960729312762972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95A-415A-AD65-B1826B429417}"/>
            </c:ext>
          </c:extLst>
        </c:ser>
        <c:ser>
          <c:idx val="8"/>
          <c:order val="8"/>
          <c:tx>
            <c:strRef>
              <c:f>紅綠燈!$W$1:$W$3</c:f>
              <c:strCache>
                <c:ptCount val="3"/>
                <c:pt idx="0">
                  <c:v>    合計     6 分    </c:v>
                </c:pt>
                <c:pt idx="1">
                  <c:v>極營業額端值</c:v>
                </c:pt>
                <c:pt idx="2">
                  <c:v>1266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紅綠燈!$W$4:$W$36</c:f>
              <c:numCache>
                <c:formatCode>General</c:formatCode>
                <c:ptCount val="33"/>
                <c:pt idx="5">
                  <c:v>3</c:v>
                </c:pt>
                <c:pt idx="11" formatCode="_-* #,##0_-;\-* #,##0_-;_-* &quot;-&quot;??_-;_-@_-">
                  <c:v>118.6</c:v>
                </c:pt>
                <c:pt idx="12" formatCode="_-* #,##0_-;\-* #,##0_-;_-* &quot;-&quot;??_-;_-@_-">
                  <c:v>337</c:v>
                </c:pt>
                <c:pt idx="18" formatCode="0%">
                  <c:v>4.690117252931323E-2</c:v>
                </c:pt>
                <c:pt idx="20" formatCode="0%">
                  <c:v>0.29261622607110299</c:v>
                </c:pt>
                <c:pt idx="21" formatCode="0_);[Red]\(0\)">
                  <c:v>45.625</c:v>
                </c:pt>
                <c:pt idx="24" formatCode="0_ ">
                  <c:v>140.66848112997849</c:v>
                </c:pt>
                <c:pt idx="27" formatCode="0.00_ ">
                  <c:v>1.3528051464817272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95A-415A-AD65-B1826B429417}"/>
            </c:ext>
          </c:extLst>
        </c:ser>
        <c:ser>
          <c:idx val="9"/>
          <c:order val="9"/>
          <c:tx>
            <c:strRef>
              <c:f>紅綠燈!$X$1:$X$3</c:f>
              <c:strCache>
                <c:ptCount val="3"/>
                <c:pt idx="0">
                  <c:v>    合計     6 分    </c:v>
                </c:pt>
                <c:pt idx="1">
                  <c:v>極營業額端值</c:v>
                </c:pt>
                <c:pt idx="2">
                  <c:v>1266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紅綠燈!$X$4:$X$36</c:f>
              <c:numCache>
                <c:formatCode>General</c:formatCode>
                <c:ptCount val="33"/>
                <c:pt idx="11" formatCode="_-* #,##0_-;\-* #,##0_-;_-* &quot;-&quot;??_-;_-@_-">
                  <c:v>196.5</c:v>
                </c:pt>
                <c:pt idx="12" formatCode="_-* #,##0_-;\-* #,##0_-;_-* &quot;-&quot;??_-;_-@_-">
                  <c:v>318.5</c:v>
                </c:pt>
                <c:pt idx="18" formatCode="0%">
                  <c:v>0.37124802527646128</c:v>
                </c:pt>
                <c:pt idx="20" formatCode="0%">
                  <c:v>0.46553966189856955</c:v>
                </c:pt>
                <c:pt idx="21" formatCode="0_ ">
                  <c:v>102.95427553444181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F95A-415A-AD65-B1826B429417}"/>
            </c:ext>
          </c:extLst>
        </c:ser>
        <c:ser>
          <c:idx val="10"/>
          <c:order val="10"/>
          <c:tx>
            <c:strRef>
              <c:f>紅綠燈!$Y$1:$Y$3</c:f>
              <c:strCache>
                <c:ptCount val="3"/>
                <c:pt idx="0">
                  <c:v>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紅綠燈!$Y$4:$Y$36</c:f>
              <c:numCache>
                <c:formatCode>General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F95A-415A-AD65-B1826B429417}"/>
            </c:ext>
          </c:extLst>
        </c:ser>
        <c:ser>
          <c:idx val="11"/>
          <c:order val="11"/>
          <c:tx>
            <c:strRef>
              <c:f>紅綠燈!$Z$1:$Z$3</c:f>
              <c:strCache>
                <c:ptCount val="3"/>
                <c:pt idx="0">
                  <c:v>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紅綠燈!$Z$4:$Z$36</c:f>
              <c:numCache>
                <c:formatCode>General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F95A-415A-AD65-B1826B429417}"/>
            </c:ext>
          </c:extLst>
        </c:ser>
        <c:ser>
          <c:idx val="12"/>
          <c:order val="12"/>
          <c:tx>
            <c:strRef>
              <c:f>紅綠燈!$AA$1:$AA$3</c:f>
              <c:strCache>
                <c:ptCount val="3"/>
                <c:pt idx="0">
                  <c:v>0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紅綠燈!$AA$4:$AA$36</c:f>
              <c:numCache>
                <c:formatCode>General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F95A-415A-AD65-B1826B429417}"/>
            </c:ext>
          </c:extLst>
        </c:ser>
        <c:ser>
          <c:idx val="13"/>
          <c:order val="13"/>
          <c:tx>
            <c:strRef>
              <c:f>紅綠燈!$AB$1:$AB$3</c:f>
              <c:strCache>
                <c:ptCount val="3"/>
                <c:pt idx="0">
                  <c:v>0</c:v>
                </c:pt>
                <c:pt idx="1">
                  <c:v>營業額</c:v>
                </c:pt>
                <c:pt idx="2">
                  <c:v>比較值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紅綠燈!$AB$4:$AB$36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 formatCode="0.00%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F95A-415A-AD65-B1826B429417}"/>
            </c:ext>
          </c:extLst>
        </c:ser>
        <c:ser>
          <c:idx val="14"/>
          <c:order val="14"/>
          <c:tx>
            <c:strRef>
              <c:f>紅綠燈!$AC$1:$AC$3</c:f>
              <c:strCache>
                <c:ptCount val="3"/>
                <c:pt idx="0">
                  <c:v>查詢日期 : </c:v>
                </c:pt>
                <c:pt idx="1">
                  <c:v> 1,266,000 </c:v>
                </c:pt>
                <c:pt idx="2">
                  <c:v> 163,915 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紅綠燈!$AC$4:$AC$36</c:f>
              <c:numCache>
                <c:formatCode>0.00_ </c:formatCode>
                <c:ptCount val="33"/>
                <c:pt idx="0" formatCode="0.00%">
                  <c:v>0.231437598736177</c:v>
                </c:pt>
                <c:pt idx="1">
                  <c:v>2.9</c:v>
                </c:pt>
                <c:pt idx="2" formatCode="_(* #,##0_);_(* \(#,##0\);_(* &quot;-&quot;??_);_(@_)">
                  <c:v>103800000</c:v>
                </c:pt>
                <c:pt idx="3" formatCode="_(* #,##0.00_);_(* \(#,##0.00\);_(* &quot;-&quot;??_);_(@_)">
                  <c:v>9.94</c:v>
                </c:pt>
                <c:pt idx="4" formatCode="_(* #,##0.00_);_(* \(#,##0.00\);_(* &quot;-&quot;??_);_(@_)">
                  <c:v>1.8125773283843167</c:v>
                </c:pt>
                <c:pt idx="5" formatCode="_(* #,##0_);_(* \(#,##0\);_(* &quot;-&quot;??_);_(@_)">
                  <c:v>10.27</c:v>
                </c:pt>
                <c:pt idx="6" formatCode="_(* #,##0_);_(* \(#,##0\);_(* &quot;-&quot;??_);_(@_)">
                  <c:v>4</c:v>
                </c:pt>
                <c:pt idx="10" formatCode="General">
                  <c:v>0</c:v>
                </c:pt>
                <c:pt idx="11" formatCode="@">
                  <c:v>32342</c:v>
                </c:pt>
                <c:pt idx="12" formatCode="0%">
                  <c:v>1</c:v>
                </c:pt>
                <c:pt idx="13" formatCode="_(* #,##0_);_(* \(#,##0\);_(* &quot;-&quot;??_);_(@_)">
                  <c:v>913</c:v>
                </c:pt>
                <c:pt idx="14" formatCode="_(* #,##0.00_);_(* \(#,##0.00\);_(* &quot;-&quot;??_);_(@_)">
                  <c:v>107</c:v>
                </c:pt>
                <c:pt idx="15" formatCode="_(* #,##0.00_);_(* \(#,##0.00\);_(* &quot;-&quot;??_);_(@_)">
                  <c:v>117.1960569550931</c:v>
                </c:pt>
                <c:pt idx="16" formatCode="_(* #,##0.00_);_(* \(#,##0.00\);_(* &quot;-&quot;??_);_(@_)">
                  <c:v>109.5</c:v>
                </c:pt>
                <c:pt idx="17" formatCode="0%">
                  <c:v>-0.13350000000000001</c:v>
                </c:pt>
                <c:pt idx="18" formatCode="#,##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F95A-415A-AD65-B1826B429417}"/>
            </c:ext>
          </c:extLst>
        </c:ser>
        <c:ser>
          <c:idx val="15"/>
          <c:order val="15"/>
          <c:tx>
            <c:strRef>
              <c:f>紅綠燈!$AD$1:$AD$3</c:f>
              <c:strCache>
                <c:ptCount val="3"/>
                <c:pt idx="0">
                  <c:v>2016/3/9</c:v>
                </c:pt>
                <c:pt idx="1">
                  <c:v>1,429,915</c:v>
                </c:pt>
                <c:pt idx="2">
                  <c:v>↗  13%</c:v>
                </c:pt>
              </c:strCache>
            </c:strRef>
          </c:tx>
          <c:invertIfNegative val="0"/>
          <c:cat>
            <c:multiLvlStrRef>
              <c:f>紅綠燈!$A$4:$N$36</c:f>
              <c:multiLvlStrCache>
                <c:ptCount val="23"/>
                <c:lvl>
                  <c:pt idx="10">
                    <c:v>資本支出/折舊率/現增與公司債</c:v>
                  </c:pt>
                  <c:pt idx="22">
                    <c:v>本業EPS/業外/本業比率</c:v>
                  </c:pt>
                </c:lvl>
                <c:lvl>
                  <c:pt idx="10">
                    <c:v>應收/存貨/應付周轉天數</c:v>
                  </c:pt>
                  <c:pt idx="22">
                    <c:v>營業活動現金/自由現金/負債比</c:v>
                  </c:pt>
                </c:lvl>
              </c:multiLvlStrCache>
            </c:multiLvlStrRef>
          </c:cat>
          <c:val>
            <c:numRef>
              <c:f>紅綠燈!$AD$4:$AD$36</c:f>
              <c:numCache>
                <c:formatCode>General</c:formatCode>
                <c:ptCount val="33"/>
                <c:pt idx="0" formatCode="0.00%">
                  <c:v>0.96571428571428597</c:v>
                </c:pt>
                <c:pt idx="1">
                  <c:v>0.1</c:v>
                </c:pt>
                <c:pt idx="2">
                  <c:v>3.27</c:v>
                </c:pt>
                <c:pt idx="3" formatCode="0%">
                  <c:v>0.12758620689655176</c:v>
                </c:pt>
                <c:pt idx="4" formatCode="0.00">
                  <c:v>0</c:v>
                </c:pt>
                <c:pt idx="5" formatCode="0.00">
                  <c:v>0</c:v>
                </c:pt>
                <c:pt idx="6" formatCode="0.00">
                  <c:v>5</c:v>
                </c:pt>
                <c:pt idx="11" formatCode="@">
                  <c:v>32341</c:v>
                </c:pt>
                <c:pt idx="12" formatCode="0%">
                  <c:v>1</c:v>
                </c:pt>
                <c:pt idx="13" formatCode="_(* #,##0_);_(* \(#,##0\);_(* &quot;-&quot;??_);_(@_)">
                  <c:v>915</c:v>
                </c:pt>
                <c:pt idx="14" formatCode="_(* #,##0.00_);_(* \(#,##0.00\);_(* &quot;-&quot;??_);_(@_)">
                  <c:v>109.3</c:v>
                </c:pt>
                <c:pt idx="15" formatCode="_(* #,##0.00_);_(* \(#,##0.00\);_(* &quot;-&quot;??_);_(@_)">
                  <c:v>119.4535519125683</c:v>
                </c:pt>
                <c:pt idx="16" formatCode="_(* #,##0.00_);_(* \(#,##0.00\);_(* &quot;-&quot;??_);_(@_)">
                  <c:v>109.3</c:v>
                </c:pt>
                <c:pt idx="17" formatCode="0%">
                  <c:v>-0.13150000000000001</c:v>
                </c:pt>
                <c:pt idx="18" formatCode="#,##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F95A-415A-AD65-B1826B429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451616"/>
        <c:axId val="253452176"/>
      </c:barChart>
      <c:catAx>
        <c:axId val="25345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3452176"/>
        <c:crosses val="autoZero"/>
        <c:auto val="1"/>
        <c:lblAlgn val="ctr"/>
        <c:lblOffset val="100"/>
        <c:noMultiLvlLbl val="0"/>
      </c:catAx>
      <c:valAx>
        <c:axId val="25345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451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2"/>
  <sheetViews>
    <sheetView zoomScale="9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26.emf"/><Relationship Id="rId26" Type="http://schemas.openxmlformats.org/officeDocument/2006/relationships/image" Target="../media/image4.emf"/><Relationship Id="rId3" Type="http://schemas.openxmlformats.org/officeDocument/2006/relationships/image" Target="../media/image20.emf"/><Relationship Id="rId21" Type="http://schemas.openxmlformats.org/officeDocument/2006/relationships/image" Target="../media/image8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24.emf"/><Relationship Id="rId25" Type="http://schemas.openxmlformats.org/officeDocument/2006/relationships/image" Target="../media/image5.emf"/><Relationship Id="rId2" Type="http://schemas.openxmlformats.org/officeDocument/2006/relationships/image" Target="../media/image21.emf"/><Relationship Id="rId16" Type="http://schemas.openxmlformats.org/officeDocument/2006/relationships/image" Target="../media/image25.emf"/><Relationship Id="rId20" Type="http://schemas.openxmlformats.org/officeDocument/2006/relationships/image" Target="../media/image9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3.emf"/><Relationship Id="rId24" Type="http://schemas.openxmlformats.org/officeDocument/2006/relationships/image" Target="../media/image29.emf"/><Relationship Id="rId5" Type="http://schemas.openxmlformats.org/officeDocument/2006/relationships/image" Target="../media/image18.emf"/><Relationship Id="rId15" Type="http://schemas.openxmlformats.org/officeDocument/2006/relationships/image" Target="../media/image10.emf"/><Relationship Id="rId23" Type="http://schemas.openxmlformats.org/officeDocument/2006/relationships/image" Target="../media/image6.emf"/><Relationship Id="rId10" Type="http://schemas.openxmlformats.org/officeDocument/2006/relationships/image" Target="../media/image23.emf"/><Relationship Id="rId19" Type="http://schemas.openxmlformats.org/officeDocument/2006/relationships/image" Target="../media/image27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28.emf"/><Relationship Id="rId22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11" Type="http://schemas.openxmlformats.org/officeDocument/2006/relationships/image" Target="../media/image50.emf"/><Relationship Id="rId5" Type="http://schemas.openxmlformats.org/officeDocument/2006/relationships/image" Target="../media/image44.emf"/><Relationship Id="rId15" Type="http://schemas.openxmlformats.org/officeDocument/2006/relationships/image" Target="../media/image51.emf"/><Relationship Id="rId10" Type="http://schemas.openxmlformats.org/officeDocument/2006/relationships/image" Target="../media/image49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Relationship Id="rId1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56.emf"/><Relationship Id="rId5" Type="http://schemas.openxmlformats.org/officeDocument/2006/relationships/image" Target="../media/image57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5" Type="http://schemas.openxmlformats.org/officeDocument/2006/relationships/image" Target="../media/image62.emf"/><Relationship Id="rId4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2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78.emf"/><Relationship Id="rId7" Type="http://schemas.openxmlformats.org/officeDocument/2006/relationships/image" Target="../media/image81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0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13" Type="http://schemas.openxmlformats.org/officeDocument/2006/relationships/image" Target="../media/image94.emf"/><Relationship Id="rId3" Type="http://schemas.openxmlformats.org/officeDocument/2006/relationships/image" Target="../media/image99.emf"/><Relationship Id="rId7" Type="http://schemas.openxmlformats.org/officeDocument/2006/relationships/image" Target="../media/image96.emf"/><Relationship Id="rId12" Type="http://schemas.openxmlformats.org/officeDocument/2006/relationships/image" Target="../media/image106.emf"/><Relationship Id="rId2" Type="http://schemas.openxmlformats.org/officeDocument/2006/relationships/image" Target="../media/image100.emf"/><Relationship Id="rId16" Type="http://schemas.openxmlformats.org/officeDocument/2006/relationships/image" Target="../media/image91.emf"/><Relationship Id="rId1" Type="http://schemas.openxmlformats.org/officeDocument/2006/relationships/image" Target="../media/image101.emf"/><Relationship Id="rId6" Type="http://schemas.openxmlformats.org/officeDocument/2006/relationships/image" Target="../media/image102.emf"/><Relationship Id="rId11" Type="http://schemas.openxmlformats.org/officeDocument/2006/relationships/image" Target="../media/image105.emf"/><Relationship Id="rId5" Type="http://schemas.openxmlformats.org/officeDocument/2006/relationships/image" Target="../media/image97.emf"/><Relationship Id="rId15" Type="http://schemas.openxmlformats.org/officeDocument/2006/relationships/image" Target="../media/image92.emf"/><Relationship Id="rId10" Type="http://schemas.openxmlformats.org/officeDocument/2006/relationships/image" Target="../media/image104.emf"/><Relationship Id="rId4" Type="http://schemas.openxmlformats.org/officeDocument/2006/relationships/image" Target="../media/image98.emf"/><Relationship Id="rId9" Type="http://schemas.openxmlformats.org/officeDocument/2006/relationships/image" Target="../media/image103.emf"/><Relationship Id="rId14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257175</xdr:colOff>
          <xdr:row>2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0</xdr:rowOff>
        </xdr:from>
        <xdr:to>
          <xdr:col>8</xdr:col>
          <xdr:colOff>962025</xdr:colOff>
          <xdr:row>0</xdr:row>
          <xdr:rowOff>295275</xdr:rowOff>
        </xdr:to>
        <xdr:sp macro="" textlink="">
          <xdr:nvSpPr>
            <xdr:cNvPr id="32771" name="CommandButton2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11</xdr:row>
          <xdr:rowOff>47625</xdr:rowOff>
        </xdr:from>
        <xdr:to>
          <xdr:col>0</xdr:col>
          <xdr:colOff>619125</xdr:colOff>
          <xdr:row>11</xdr:row>
          <xdr:rowOff>228600</xdr:rowOff>
        </xdr:to>
        <xdr:sp macro="" textlink="">
          <xdr:nvSpPr>
            <xdr:cNvPr id="32772" name="CommandButton3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12</xdr:row>
          <xdr:rowOff>47625</xdr:rowOff>
        </xdr:from>
        <xdr:to>
          <xdr:col>0</xdr:col>
          <xdr:colOff>619125</xdr:colOff>
          <xdr:row>12</xdr:row>
          <xdr:rowOff>228600</xdr:rowOff>
        </xdr:to>
        <xdr:sp macro="" textlink="">
          <xdr:nvSpPr>
            <xdr:cNvPr id="32774" name="CommandButton4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13</xdr:row>
          <xdr:rowOff>47625</xdr:rowOff>
        </xdr:from>
        <xdr:to>
          <xdr:col>0</xdr:col>
          <xdr:colOff>619125</xdr:colOff>
          <xdr:row>13</xdr:row>
          <xdr:rowOff>228600</xdr:rowOff>
        </xdr:to>
        <xdr:sp macro="" textlink="">
          <xdr:nvSpPr>
            <xdr:cNvPr id="32776" name="CommandButton5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47625</xdr:rowOff>
        </xdr:from>
        <xdr:to>
          <xdr:col>0</xdr:col>
          <xdr:colOff>619125</xdr:colOff>
          <xdr:row>14</xdr:row>
          <xdr:rowOff>228600</xdr:rowOff>
        </xdr:to>
        <xdr:sp macro="" textlink="">
          <xdr:nvSpPr>
            <xdr:cNvPr id="32778" name="CommandButton6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15</xdr:row>
          <xdr:rowOff>47625</xdr:rowOff>
        </xdr:from>
        <xdr:to>
          <xdr:col>0</xdr:col>
          <xdr:colOff>619125</xdr:colOff>
          <xdr:row>15</xdr:row>
          <xdr:rowOff>228600</xdr:rowOff>
        </xdr:to>
        <xdr:sp macro="" textlink="">
          <xdr:nvSpPr>
            <xdr:cNvPr id="32780" name="CommandButton7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18</xdr:row>
          <xdr:rowOff>47625</xdr:rowOff>
        </xdr:from>
        <xdr:to>
          <xdr:col>0</xdr:col>
          <xdr:colOff>619125</xdr:colOff>
          <xdr:row>18</xdr:row>
          <xdr:rowOff>228600</xdr:rowOff>
        </xdr:to>
        <xdr:sp macro="" textlink="">
          <xdr:nvSpPr>
            <xdr:cNvPr id="32782" name="CommandButton8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19</xdr:row>
          <xdr:rowOff>47625</xdr:rowOff>
        </xdr:from>
        <xdr:to>
          <xdr:col>0</xdr:col>
          <xdr:colOff>619125</xdr:colOff>
          <xdr:row>19</xdr:row>
          <xdr:rowOff>228600</xdr:rowOff>
        </xdr:to>
        <xdr:sp macro="" textlink="">
          <xdr:nvSpPr>
            <xdr:cNvPr id="32784" name="CommandButton9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20</xdr:row>
          <xdr:rowOff>47625</xdr:rowOff>
        </xdr:from>
        <xdr:to>
          <xdr:col>0</xdr:col>
          <xdr:colOff>619125</xdr:colOff>
          <xdr:row>20</xdr:row>
          <xdr:rowOff>228600</xdr:rowOff>
        </xdr:to>
        <xdr:sp macro="" textlink="">
          <xdr:nvSpPr>
            <xdr:cNvPr id="32786" name="CommandButton10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21</xdr:row>
          <xdr:rowOff>47625</xdr:rowOff>
        </xdr:from>
        <xdr:to>
          <xdr:col>0</xdr:col>
          <xdr:colOff>619125</xdr:colOff>
          <xdr:row>21</xdr:row>
          <xdr:rowOff>228600</xdr:rowOff>
        </xdr:to>
        <xdr:sp macro="" textlink="">
          <xdr:nvSpPr>
            <xdr:cNvPr id="32787" name="CommandButton11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22</xdr:row>
          <xdr:rowOff>47625</xdr:rowOff>
        </xdr:from>
        <xdr:to>
          <xdr:col>0</xdr:col>
          <xdr:colOff>619125</xdr:colOff>
          <xdr:row>22</xdr:row>
          <xdr:rowOff>228600</xdr:rowOff>
        </xdr:to>
        <xdr:sp macro="" textlink="">
          <xdr:nvSpPr>
            <xdr:cNvPr id="32789" name="CommandButton12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25</xdr:row>
          <xdr:rowOff>47625</xdr:rowOff>
        </xdr:from>
        <xdr:to>
          <xdr:col>0</xdr:col>
          <xdr:colOff>619125</xdr:colOff>
          <xdr:row>25</xdr:row>
          <xdr:rowOff>228600</xdr:rowOff>
        </xdr:to>
        <xdr:sp macro="" textlink="">
          <xdr:nvSpPr>
            <xdr:cNvPr id="32790" name="CommandButton13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26</xdr:row>
          <xdr:rowOff>47625</xdr:rowOff>
        </xdr:from>
        <xdr:to>
          <xdr:col>0</xdr:col>
          <xdr:colOff>619125</xdr:colOff>
          <xdr:row>26</xdr:row>
          <xdr:rowOff>228600</xdr:rowOff>
        </xdr:to>
        <xdr:sp macro="" textlink="">
          <xdr:nvSpPr>
            <xdr:cNvPr id="32791" name="CommandButton14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27</xdr:row>
          <xdr:rowOff>47625</xdr:rowOff>
        </xdr:from>
        <xdr:to>
          <xdr:col>0</xdr:col>
          <xdr:colOff>619125</xdr:colOff>
          <xdr:row>27</xdr:row>
          <xdr:rowOff>228600</xdr:rowOff>
        </xdr:to>
        <xdr:sp macro="" textlink="">
          <xdr:nvSpPr>
            <xdr:cNvPr id="32792" name="CommandButton15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28</xdr:row>
          <xdr:rowOff>47625</xdr:rowOff>
        </xdr:from>
        <xdr:to>
          <xdr:col>0</xdr:col>
          <xdr:colOff>619125</xdr:colOff>
          <xdr:row>28</xdr:row>
          <xdr:rowOff>228600</xdr:rowOff>
        </xdr:to>
        <xdr:sp macro="" textlink="">
          <xdr:nvSpPr>
            <xdr:cNvPr id="32794" name="CommandButton1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29</xdr:row>
          <xdr:rowOff>47625</xdr:rowOff>
        </xdr:from>
        <xdr:to>
          <xdr:col>0</xdr:col>
          <xdr:colOff>619125</xdr:colOff>
          <xdr:row>29</xdr:row>
          <xdr:rowOff>228600</xdr:rowOff>
        </xdr:to>
        <xdr:sp macro="" textlink="">
          <xdr:nvSpPr>
            <xdr:cNvPr id="32795" name="CommandButton1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32</xdr:row>
          <xdr:rowOff>47625</xdr:rowOff>
        </xdr:from>
        <xdr:to>
          <xdr:col>0</xdr:col>
          <xdr:colOff>619125</xdr:colOff>
          <xdr:row>32</xdr:row>
          <xdr:rowOff>228600</xdr:rowOff>
        </xdr:to>
        <xdr:sp macro="" textlink="">
          <xdr:nvSpPr>
            <xdr:cNvPr id="32797" name="CommandButton18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33</xdr:row>
          <xdr:rowOff>47625</xdr:rowOff>
        </xdr:from>
        <xdr:to>
          <xdr:col>0</xdr:col>
          <xdr:colOff>619125</xdr:colOff>
          <xdr:row>33</xdr:row>
          <xdr:rowOff>228600</xdr:rowOff>
        </xdr:to>
        <xdr:sp macro="" textlink="">
          <xdr:nvSpPr>
            <xdr:cNvPr id="32799" name="CommandButton19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34</xdr:row>
          <xdr:rowOff>47625</xdr:rowOff>
        </xdr:from>
        <xdr:to>
          <xdr:col>0</xdr:col>
          <xdr:colOff>619125</xdr:colOff>
          <xdr:row>34</xdr:row>
          <xdr:rowOff>228600</xdr:rowOff>
        </xdr:to>
        <xdr:sp macro="" textlink="">
          <xdr:nvSpPr>
            <xdr:cNvPr id="32800" name="CommandButton20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35</xdr:row>
          <xdr:rowOff>47625</xdr:rowOff>
        </xdr:from>
        <xdr:to>
          <xdr:col>0</xdr:col>
          <xdr:colOff>619125</xdr:colOff>
          <xdr:row>35</xdr:row>
          <xdr:rowOff>228600</xdr:rowOff>
        </xdr:to>
        <xdr:sp macro="" textlink="">
          <xdr:nvSpPr>
            <xdr:cNvPr id="32801" name="CommandButton21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36</xdr:row>
          <xdr:rowOff>47625</xdr:rowOff>
        </xdr:from>
        <xdr:to>
          <xdr:col>0</xdr:col>
          <xdr:colOff>619125</xdr:colOff>
          <xdr:row>36</xdr:row>
          <xdr:rowOff>228600</xdr:rowOff>
        </xdr:to>
        <xdr:sp macro="" textlink="">
          <xdr:nvSpPr>
            <xdr:cNvPr id="32802" name="CommandButton22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740410</xdr:colOff>
      <xdr:row>11</xdr:row>
      <xdr:rowOff>191770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740410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740410</xdr:colOff>
      <xdr:row>35</xdr:row>
      <xdr:rowOff>203200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740410</xdr:colOff>
      <xdr:row>11</xdr:row>
      <xdr:rowOff>191770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740410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9525</xdr:rowOff>
        </xdr:from>
        <xdr:to>
          <xdr:col>1</xdr:col>
          <xdr:colOff>314325</xdr:colOff>
          <xdr:row>0</xdr:row>
          <xdr:rowOff>323850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66675</xdr:colOff>
          <xdr:row>27</xdr:row>
          <xdr:rowOff>190500</xdr:rowOff>
        </xdr:from>
        <xdr:to>
          <xdr:col>28</xdr:col>
          <xdr:colOff>1238250</xdr:colOff>
          <xdr:row>31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</xdr:rowOff>
        </xdr:from>
        <xdr:to>
          <xdr:col>5</xdr:col>
          <xdr:colOff>904875</xdr:colOff>
          <xdr:row>0</xdr:row>
          <xdr:rowOff>342900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0</xdr:row>
          <xdr:rowOff>9525</xdr:rowOff>
        </xdr:from>
        <xdr:to>
          <xdr:col>7</xdr:col>
          <xdr:colOff>323850</xdr:colOff>
          <xdr:row>0</xdr:row>
          <xdr:rowOff>342900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933450</xdr:colOff>
          <xdr:row>0</xdr:row>
          <xdr:rowOff>9525</xdr:rowOff>
        </xdr:from>
        <xdr:to>
          <xdr:col>6</xdr:col>
          <xdr:colOff>581025</xdr:colOff>
          <xdr:row>0</xdr:row>
          <xdr:rowOff>342900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9525</xdr:rowOff>
        </xdr:from>
        <xdr:to>
          <xdr:col>8</xdr:col>
          <xdr:colOff>76200</xdr:colOff>
          <xdr:row>0</xdr:row>
          <xdr:rowOff>342900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0</xdr:row>
          <xdr:rowOff>9525</xdr:rowOff>
        </xdr:from>
        <xdr:to>
          <xdr:col>8</xdr:col>
          <xdr:colOff>819150</xdr:colOff>
          <xdr:row>0</xdr:row>
          <xdr:rowOff>342900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31</xdr:row>
          <xdr:rowOff>142875</xdr:rowOff>
        </xdr:from>
        <xdr:to>
          <xdr:col>29</xdr:col>
          <xdr:colOff>1352550</xdr:colOff>
          <xdr:row>35</xdr:row>
          <xdr:rowOff>200025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1123950</xdr:colOff>
          <xdr:row>23</xdr:row>
          <xdr:rowOff>28575</xdr:rowOff>
        </xdr:from>
        <xdr:to>
          <xdr:col>27</xdr:col>
          <xdr:colOff>1457325</xdr:colOff>
          <xdr:row>27</xdr:row>
          <xdr:rowOff>76200</xdr:rowOff>
        </xdr:to>
        <xdr:sp macro="" textlink="">
          <xdr:nvSpPr>
            <xdr:cNvPr id="1034" name="CommandButton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161925</xdr:colOff>
          <xdr:row>0</xdr:row>
          <xdr:rowOff>342900</xdr:rowOff>
        </xdr:to>
        <xdr:sp macro="" textlink="">
          <xdr:nvSpPr>
            <xdr:cNvPr id="1040" name="CommandButton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1323975</xdr:colOff>
          <xdr:row>27</xdr:row>
          <xdr:rowOff>133350</xdr:rowOff>
        </xdr:from>
        <xdr:to>
          <xdr:col>29</xdr:col>
          <xdr:colOff>1333500</xdr:colOff>
          <xdr:row>31</xdr:row>
          <xdr:rowOff>85725</xdr:rowOff>
        </xdr:to>
        <xdr:sp macro="" textlink="">
          <xdr:nvSpPr>
            <xdr:cNvPr id="1044" name="CommandButto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23</xdr:row>
          <xdr:rowOff>38100</xdr:rowOff>
        </xdr:from>
        <xdr:to>
          <xdr:col>29</xdr:col>
          <xdr:colOff>1371600</xdr:colOff>
          <xdr:row>25</xdr:row>
          <xdr:rowOff>161925</xdr:rowOff>
        </xdr:to>
        <xdr:sp macro="" textlink="">
          <xdr:nvSpPr>
            <xdr:cNvPr id="1045" name="CommandButto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25</xdr:row>
          <xdr:rowOff>209550</xdr:rowOff>
        </xdr:from>
        <xdr:to>
          <xdr:col>29</xdr:col>
          <xdr:colOff>1343025</xdr:colOff>
          <xdr:row>27</xdr:row>
          <xdr:rowOff>85725</xdr:rowOff>
        </xdr:to>
        <xdr:sp macro="" textlink="">
          <xdr:nvSpPr>
            <xdr:cNvPr id="1055" name="CommandButton2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38100</xdr:colOff>
      <xdr:row>1</xdr:row>
      <xdr:rowOff>38100</xdr:rowOff>
    </xdr:from>
    <xdr:to>
      <xdr:col>22</xdr:col>
      <xdr:colOff>0</xdr:colOff>
      <xdr:row>18</xdr:row>
      <xdr:rowOff>166686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38101</xdr:colOff>
      <xdr:row>19</xdr:row>
      <xdr:rowOff>38102</xdr:rowOff>
    </xdr:from>
    <xdr:to>
      <xdr:col>22</xdr:col>
      <xdr:colOff>1</xdr:colOff>
      <xdr:row>35</xdr:row>
      <xdr:rowOff>228602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104775</xdr:rowOff>
        </xdr:from>
        <xdr:to>
          <xdr:col>27</xdr:col>
          <xdr:colOff>1447800</xdr:colOff>
          <xdr:row>29</xdr:row>
          <xdr:rowOff>66675</xdr:rowOff>
        </xdr:to>
        <xdr:sp macro="" textlink="">
          <xdr:nvSpPr>
            <xdr:cNvPr id="1060" name="CommandButton25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85725</xdr:colOff>
          <xdr:row>18</xdr:row>
          <xdr:rowOff>57150</xdr:rowOff>
        </xdr:from>
        <xdr:to>
          <xdr:col>36</xdr:col>
          <xdr:colOff>152400</xdr:colOff>
          <xdr:row>21</xdr:row>
          <xdr:rowOff>209550</xdr:rowOff>
        </xdr:to>
        <xdr:sp macro="" textlink="">
          <xdr:nvSpPr>
            <xdr:cNvPr id="1061" name="CommandButton26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23</xdr:row>
          <xdr:rowOff>38100</xdr:rowOff>
        </xdr:from>
        <xdr:to>
          <xdr:col>27</xdr:col>
          <xdr:colOff>542925</xdr:colOff>
          <xdr:row>25</xdr:row>
          <xdr:rowOff>161925</xdr:rowOff>
        </xdr:to>
        <xdr:sp macro="" textlink="">
          <xdr:nvSpPr>
            <xdr:cNvPr id="1057" name="CommandButton2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571500</xdr:colOff>
          <xdr:row>23</xdr:row>
          <xdr:rowOff>28575</xdr:rowOff>
        </xdr:from>
        <xdr:to>
          <xdr:col>27</xdr:col>
          <xdr:colOff>1085850</xdr:colOff>
          <xdr:row>25</xdr:row>
          <xdr:rowOff>152400</xdr:rowOff>
        </xdr:to>
        <xdr:sp macro="" textlink="">
          <xdr:nvSpPr>
            <xdr:cNvPr id="1056" name="CommandButton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25</xdr:row>
          <xdr:rowOff>190500</xdr:rowOff>
        </xdr:from>
        <xdr:to>
          <xdr:col>27</xdr:col>
          <xdr:colOff>542925</xdr:colOff>
          <xdr:row>27</xdr:row>
          <xdr:rowOff>66675</xdr:rowOff>
        </xdr:to>
        <xdr:sp macro="" textlink="">
          <xdr:nvSpPr>
            <xdr:cNvPr id="1058" name="CommandButton2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571500</xdr:colOff>
          <xdr:row>25</xdr:row>
          <xdr:rowOff>200025</xdr:rowOff>
        </xdr:from>
        <xdr:to>
          <xdr:col>27</xdr:col>
          <xdr:colOff>1085850</xdr:colOff>
          <xdr:row>27</xdr:row>
          <xdr:rowOff>76200</xdr:rowOff>
        </xdr:to>
        <xdr:sp macro="" textlink="">
          <xdr:nvSpPr>
            <xdr:cNvPr id="1059" name="CommandButton2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819150</xdr:colOff>
          <xdr:row>0</xdr:row>
          <xdr:rowOff>9525</xdr:rowOff>
        </xdr:from>
        <xdr:to>
          <xdr:col>9</xdr:col>
          <xdr:colOff>714375</xdr:colOff>
          <xdr:row>0</xdr:row>
          <xdr:rowOff>342900</xdr:rowOff>
        </xdr:to>
        <xdr:sp macro="" textlink="">
          <xdr:nvSpPr>
            <xdr:cNvPr id="1065" name="CommandButton28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828675</xdr:colOff>
          <xdr:row>0</xdr:row>
          <xdr:rowOff>9525</xdr:rowOff>
        </xdr:from>
        <xdr:to>
          <xdr:col>28</xdr:col>
          <xdr:colOff>19050</xdr:colOff>
          <xdr:row>0</xdr:row>
          <xdr:rowOff>342900</xdr:rowOff>
        </xdr:to>
        <xdr:sp macro="" textlink="">
          <xdr:nvSpPr>
            <xdr:cNvPr id="1066" name="CommandButton29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0</xdr:row>
          <xdr:rowOff>9525</xdr:rowOff>
        </xdr:from>
        <xdr:to>
          <xdr:col>27</xdr:col>
          <xdr:colOff>819150</xdr:colOff>
          <xdr:row>0</xdr:row>
          <xdr:rowOff>342900</xdr:rowOff>
        </xdr:to>
        <xdr:sp macro="" textlink="">
          <xdr:nvSpPr>
            <xdr:cNvPr id="1068" name="CommandButton3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22</xdr:row>
          <xdr:rowOff>19050</xdr:rowOff>
        </xdr:from>
        <xdr:to>
          <xdr:col>29</xdr:col>
          <xdr:colOff>0</xdr:colOff>
          <xdr:row>22</xdr:row>
          <xdr:rowOff>190500</xdr:rowOff>
        </xdr:to>
        <xdr:sp macro="" textlink="">
          <xdr:nvSpPr>
            <xdr:cNvPr id="1071" name="CommandButton18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57150</xdr:colOff>
          <xdr:row>22</xdr:row>
          <xdr:rowOff>38100</xdr:rowOff>
        </xdr:from>
        <xdr:to>
          <xdr:col>29</xdr:col>
          <xdr:colOff>1390650</xdr:colOff>
          <xdr:row>22</xdr:row>
          <xdr:rowOff>190500</xdr:rowOff>
        </xdr:to>
        <xdr:sp macro="" textlink="">
          <xdr:nvSpPr>
            <xdr:cNvPr id="1072" name="CommandButton31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38100</xdr:colOff>
      <xdr:row>26</xdr:row>
      <xdr:rowOff>38100</xdr:rowOff>
    </xdr:from>
    <xdr:to>
      <xdr:col>9</xdr:col>
      <xdr:colOff>740410</xdr:colOff>
      <xdr:row>35</xdr:row>
      <xdr:rowOff>203200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22</xdr:row>
          <xdr:rowOff>19050</xdr:rowOff>
        </xdr:from>
        <xdr:to>
          <xdr:col>27</xdr:col>
          <xdr:colOff>1438275</xdr:colOff>
          <xdr:row>22</xdr:row>
          <xdr:rowOff>190500</xdr:rowOff>
        </xdr:to>
        <xdr:sp macro="" textlink="">
          <xdr:nvSpPr>
            <xdr:cNvPr id="1074" name="CommandButton8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29</xdr:row>
          <xdr:rowOff>133350</xdr:rowOff>
        </xdr:from>
        <xdr:to>
          <xdr:col>27</xdr:col>
          <xdr:colOff>1447800</xdr:colOff>
          <xdr:row>31</xdr:row>
          <xdr:rowOff>95250</xdr:rowOff>
        </xdr:to>
        <xdr:sp macro="" textlink="">
          <xdr:nvSpPr>
            <xdr:cNvPr id="1075" name="CommandButton1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9525</xdr:rowOff>
        </xdr:from>
        <xdr:to>
          <xdr:col>5</xdr:col>
          <xdr:colOff>95250</xdr:colOff>
          <xdr:row>0</xdr:row>
          <xdr:rowOff>342900</xdr:rowOff>
        </xdr:to>
        <xdr:sp macro="" textlink="">
          <xdr:nvSpPr>
            <xdr:cNvPr id="1077" name="CommandButton14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27</xdr:col>
      <xdr:colOff>77390</xdr:colOff>
      <xdr:row>23</xdr:row>
      <xdr:rowOff>51196</xdr:rowOff>
    </xdr:from>
    <xdr:to>
      <xdr:col>29</xdr:col>
      <xdr:colOff>1452562</xdr:colOff>
      <xdr:row>35</xdr:row>
      <xdr:rowOff>166688</xdr:rowOff>
    </xdr:to>
    <xdr:graphicFrame macro="">
      <xdr:nvGraphicFramePr>
        <xdr:cNvPr id="6" name="圖表 5" hidden="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0</xdr:rowOff>
        </xdr:from>
        <xdr:to>
          <xdr:col>1</xdr:col>
          <xdr:colOff>914400</xdr:colOff>
          <xdr:row>0</xdr:row>
          <xdr:rowOff>381000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0</xdr:row>
          <xdr:rowOff>85725</xdr:rowOff>
        </xdr:from>
        <xdr:to>
          <xdr:col>12</xdr:col>
          <xdr:colOff>381000</xdr:colOff>
          <xdr:row>0</xdr:row>
          <xdr:rowOff>552450</xdr:rowOff>
        </xdr:to>
        <xdr:sp macro="" textlink="">
          <xdr:nvSpPr>
            <xdr:cNvPr id="104450" name="CommandButton1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2</xdr:col>
          <xdr:colOff>0</xdr:colOff>
          <xdr:row>0</xdr:row>
          <xdr:rowOff>361950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0</xdr:rowOff>
        </xdr:from>
        <xdr:to>
          <xdr:col>3</xdr:col>
          <xdr:colOff>0</xdr:colOff>
          <xdr:row>0</xdr:row>
          <xdr:rowOff>352425</xdr:rowOff>
        </xdr:to>
        <xdr:sp macro="" textlink="">
          <xdr:nvSpPr>
            <xdr:cNvPr id="74755" name="CommandButton2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0</xdr:rowOff>
        </xdr:from>
        <xdr:to>
          <xdr:col>17</xdr:col>
          <xdr:colOff>990600</xdr:colOff>
          <xdr:row>0</xdr:row>
          <xdr:rowOff>342900</xdr:rowOff>
        </xdr:to>
        <xdr:sp macro="" textlink="">
          <xdr:nvSpPr>
            <xdr:cNvPr id="74756" name="CommandButton3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0</xdr:rowOff>
        </xdr:from>
        <xdr:to>
          <xdr:col>17</xdr:col>
          <xdr:colOff>28575</xdr:colOff>
          <xdr:row>0</xdr:row>
          <xdr:rowOff>342900</xdr:rowOff>
        </xdr:to>
        <xdr:sp macro="" textlink="">
          <xdr:nvSpPr>
            <xdr:cNvPr id="74757" name="CommandButton4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0</xdr:row>
          <xdr:rowOff>0</xdr:rowOff>
        </xdr:from>
        <xdr:to>
          <xdr:col>18</xdr:col>
          <xdr:colOff>1009650</xdr:colOff>
          <xdr:row>0</xdr:row>
          <xdr:rowOff>342900</xdr:rowOff>
        </xdr:to>
        <xdr:sp macro="" textlink="">
          <xdr:nvSpPr>
            <xdr:cNvPr id="74759" name="CommandButton5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0</xdr:col>
          <xdr:colOff>981075</xdr:colOff>
          <xdr:row>0</xdr:row>
          <xdr:rowOff>361950</xdr:rowOff>
        </xdr:to>
        <xdr:sp macro="" textlink="">
          <xdr:nvSpPr>
            <xdr:cNvPr id="74760" name="CommandButton6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800100</xdr:colOff>
          <xdr:row>1</xdr:row>
          <xdr:rowOff>9525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800100</xdr:colOff>
          <xdr:row>1</xdr:row>
          <xdr:rowOff>9525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19050</xdr:rowOff>
        </xdr:from>
        <xdr:to>
          <xdr:col>7</xdr:col>
          <xdr:colOff>0</xdr:colOff>
          <xdr:row>1</xdr:row>
          <xdr:rowOff>9525</xdr:rowOff>
        </xdr:to>
        <xdr:sp macro="" textlink="">
          <xdr:nvSpPr>
            <xdr:cNvPr id="4099" name="CommandButton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4105" name="CommandButton10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0</xdr:col>
          <xdr:colOff>781050</xdr:colOff>
          <xdr:row>1</xdr:row>
          <xdr:rowOff>0</xdr:rowOff>
        </xdr:to>
        <xdr:sp macro="" textlink="">
          <xdr:nvSpPr>
            <xdr:cNvPr id="4107" name="CommandButton12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19050</xdr:rowOff>
        </xdr:from>
        <xdr:to>
          <xdr:col>7</xdr:col>
          <xdr:colOff>800100</xdr:colOff>
          <xdr:row>1</xdr:row>
          <xdr:rowOff>9525</xdr:rowOff>
        </xdr:to>
        <xdr:sp macro="" textlink="">
          <xdr:nvSpPr>
            <xdr:cNvPr id="4108" name="CommandButton13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3</xdr:col>
          <xdr:colOff>19050</xdr:colOff>
          <xdr:row>1</xdr:row>
          <xdr:rowOff>9525</xdr:rowOff>
        </xdr:to>
        <xdr:sp macro="" textlink="">
          <xdr:nvSpPr>
            <xdr:cNvPr id="4109" name="CommandButton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9525</xdr:rowOff>
        </xdr:from>
        <xdr:to>
          <xdr:col>12</xdr:col>
          <xdr:colOff>800100</xdr:colOff>
          <xdr:row>0</xdr:row>
          <xdr:rowOff>419100</xdr:rowOff>
        </xdr:to>
        <xdr:sp macro="" textlink="">
          <xdr:nvSpPr>
            <xdr:cNvPr id="4111" name="CommandButton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19050</xdr:rowOff>
        </xdr:from>
        <xdr:to>
          <xdr:col>4</xdr:col>
          <xdr:colOff>809625</xdr:colOff>
          <xdr:row>1</xdr:row>
          <xdr:rowOff>9525</xdr:rowOff>
        </xdr:to>
        <xdr:sp macro="" textlink="">
          <xdr:nvSpPr>
            <xdr:cNvPr id="4112" name="CommandButton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19050</xdr:rowOff>
        </xdr:from>
        <xdr:to>
          <xdr:col>12</xdr:col>
          <xdr:colOff>0</xdr:colOff>
          <xdr:row>0</xdr:row>
          <xdr:rowOff>419100</xdr:rowOff>
        </xdr:to>
        <xdr:sp macro="" textlink="">
          <xdr:nvSpPr>
            <xdr:cNvPr id="4113" name="CommandButton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9525</xdr:rowOff>
        </xdr:from>
        <xdr:to>
          <xdr:col>8</xdr:col>
          <xdr:colOff>800100</xdr:colOff>
          <xdr:row>1</xdr:row>
          <xdr:rowOff>0</xdr:rowOff>
        </xdr:to>
        <xdr:sp macro="" textlink="">
          <xdr:nvSpPr>
            <xdr:cNvPr id="4114" name="CommandButton5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9525</xdr:rowOff>
        </xdr:from>
        <xdr:to>
          <xdr:col>9</xdr:col>
          <xdr:colOff>800100</xdr:colOff>
          <xdr:row>1</xdr:row>
          <xdr:rowOff>0</xdr:rowOff>
        </xdr:to>
        <xdr:sp macro="" textlink="">
          <xdr:nvSpPr>
            <xdr:cNvPr id="4116" name="CommandButton6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0</xdr:row>
          <xdr:rowOff>19050</xdr:rowOff>
        </xdr:from>
        <xdr:to>
          <xdr:col>1</xdr:col>
          <xdr:colOff>800100</xdr:colOff>
          <xdr:row>1</xdr:row>
          <xdr:rowOff>9525</xdr:rowOff>
        </xdr:to>
        <xdr:sp macro="" textlink="">
          <xdr:nvSpPr>
            <xdr:cNvPr id="4117" name="CommandButton7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0</xdr:row>
          <xdr:rowOff>19050</xdr:rowOff>
        </xdr:from>
        <xdr:to>
          <xdr:col>14</xdr:col>
          <xdr:colOff>0</xdr:colOff>
          <xdr:row>0</xdr:row>
          <xdr:rowOff>419100</xdr:rowOff>
        </xdr:to>
        <xdr:sp macro="" textlink="">
          <xdr:nvSpPr>
            <xdr:cNvPr id="4119" name="CommandButton8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19050</xdr:rowOff>
        </xdr:from>
        <xdr:to>
          <xdr:col>15</xdr:col>
          <xdr:colOff>0</xdr:colOff>
          <xdr:row>0</xdr:row>
          <xdr:rowOff>419100</xdr:rowOff>
        </xdr:to>
        <xdr:sp macro="" textlink="">
          <xdr:nvSpPr>
            <xdr:cNvPr id="4121" name="CommandButton9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914400</xdr:colOff>
          <xdr:row>1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5</xdr:col>
          <xdr:colOff>885825</xdr:colOff>
          <xdr:row>1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38100</xdr:rowOff>
        </xdr:from>
        <xdr:to>
          <xdr:col>8</xdr:col>
          <xdr:colOff>9525</xdr:colOff>
          <xdr:row>0</xdr:row>
          <xdr:rowOff>342900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0</xdr:row>
          <xdr:rowOff>38100</xdr:rowOff>
        </xdr:from>
        <xdr:to>
          <xdr:col>11</xdr:col>
          <xdr:colOff>904875</xdr:colOff>
          <xdr:row>0</xdr:row>
          <xdr:rowOff>342900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38100</xdr:rowOff>
        </xdr:from>
        <xdr:to>
          <xdr:col>13</xdr:col>
          <xdr:colOff>228600</xdr:colOff>
          <xdr:row>0</xdr:row>
          <xdr:rowOff>342900</xdr:rowOff>
        </xdr:to>
        <xdr:sp macro="" textlink="">
          <xdr:nvSpPr>
            <xdr:cNvPr id="7174" name="Command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276225</xdr:colOff>
          <xdr:row>0</xdr:row>
          <xdr:rowOff>38100</xdr:rowOff>
        </xdr:from>
        <xdr:to>
          <xdr:col>14</xdr:col>
          <xdr:colOff>504825</xdr:colOff>
          <xdr:row>0</xdr:row>
          <xdr:rowOff>342900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38100</xdr:rowOff>
        </xdr:from>
        <xdr:to>
          <xdr:col>15</xdr:col>
          <xdr:colOff>781050</xdr:colOff>
          <xdr:row>0</xdr:row>
          <xdr:rowOff>342900</xdr:rowOff>
        </xdr:to>
        <xdr:sp macro="" textlink="">
          <xdr:nvSpPr>
            <xdr:cNvPr id="7176" name="Command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38100</xdr:rowOff>
        </xdr:from>
        <xdr:to>
          <xdr:col>10</xdr:col>
          <xdr:colOff>561975</xdr:colOff>
          <xdr:row>0</xdr:row>
          <xdr:rowOff>342900</xdr:rowOff>
        </xdr:to>
        <xdr:sp macro="" textlink="">
          <xdr:nvSpPr>
            <xdr:cNvPr id="7178" name="CommandButton7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19050</xdr:rowOff>
        </xdr:from>
        <xdr:to>
          <xdr:col>11</xdr:col>
          <xdr:colOff>9525</xdr:colOff>
          <xdr:row>1</xdr:row>
          <xdr:rowOff>0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0</xdr:rowOff>
        </xdr:from>
        <xdr:to>
          <xdr:col>11</xdr:col>
          <xdr:colOff>800100</xdr:colOff>
          <xdr:row>1</xdr:row>
          <xdr:rowOff>0</xdr:rowOff>
        </xdr:to>
        <xdr:sp macro="" textlink="">
          <xdr:nvSpPr>
            <xdr:cNvPr id="12293" name="CommandButton4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0</xdr:rowOff>
        </xdr:from>
        <xdr:to>
          <xdr:col>12</xdr:col>
          <xdr:colOff>742950</xdr:colOff>
          <xdr:row>1</xdr:row>
          <xdr:rowOff>0</xdr:rowOff>
        </xdr:to>
        <xdr:sp macro="" textlink="">
          <xdr:nvSpPr>
            <xdr:cNvPr id="12295" name="CommandButton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38100</xdr:rowOff>
        </xdr:from>
        <xdr:to>
          <xdr:col>1</xdr:col>
          <xdr:colOff>0</xdr:colOff>
          <xdr:row>0</xdr:row>
          <xdr:rowOff>476250</xdr:rowOff>
        </xdr:to>
        <xdr:sp macro="" textlink="">
          <xdr:nvSpPr>
            <xdr:cNvPr id="12296" name="CommandButton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809625</xdr:colOff>
          <xdr:row>0</xdr:row>
          <xdr:rowOff>0</xdr:rowOff>
        </xdr:from>
        <xdr:to>
          <xdr:col>12</xdr:col>
          <xdr:colOff>0</xdr:colOff>
          <xdr:row>0</xdr:row>
          <xdr:rowOff>323850</xdr:rowOff>
        </xdr:to>
        <xdr:sp macro="" textlink="">
          <xdr:nvSpPr>
            <xdr:cNvPr id="12297" name="CommandButton1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28575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62466" name="CommandButton1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19050</xdr:rowOff>
        </xdr:from>
        <xdr:to>
          <xdr:col>3</xdr:col>
          <xdr:colOff>942975</xdr:colOff>
          <xdr:row>3</xdr:row>
          <xdr:rowOff>304800</xdr:rowOff>
        </xdr:to>
        <xdr:sp macro="" textlink="">
          <xdr:nvSpPr>
            <xdr:cNvPr id="62468" name="CommandButton2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19050</xdr:rowOff>
        </xdr:from>
        <xdr:to>
          <xdr:col>1</xdr:col>
          <xdr:colOff>1143000</xdr:colOff>
          <xdr:row>3</xdr:row>
          <xdr:rowOff>295275</xdr:rowOff>
        </xdr:to>
        <xdr:sp macro="" textlink="">
          <xdr:nvSpPr>
            <xdr:cNvPr id="62470" name="ComboBox1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3</xdr:row>
          <xdr:rowOff>19050</xdr:rowOff>
        </xdr:from>
        <xdr:to>
          <xdr:col>1</xdr:col>
          <xdr:colOff>2419350</xdr:colOff>
          <xdr:row>3</xdr:row>
          <xdr:rowOff>295275</xdr:rowOff>
        </xdr:to>
        <xdr:sp macro="" textlink="">
          <xdr:nvSpPr>
            <xdr:cNvPr id="62472" name="ComboBox2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2447925</xdr:colOff>
          <xdr:row>3</xdr:row>
          <xdr:rowOff>19050</xdr:rowOff>
        </xdr:from>
        <xdr:to>
          <xdr:col>1</xdr:col>
          <xdr:colOff>4048125</xdr:colOff>
          <xdr:row>3</xdr:row>
          <xdr:rowOff>295275</xdr:rowOff>
        </xdr:to>
        <xdr:sp macro="" textlink="">
          <xdr:nvSpPr>
            <xdr:cNvPr id="62473" name="ComboBox3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28575</xdr:rowOff>
        </xdr:from>
        <xdr:to>
          <xdr:col>4</xdr:col>
          <xdr:colOff>152400</xdr:colOff>
          <xdr:row>18</xdr:row>
          <xdr:rowOff>9525</xdr:rowOff>
        </xdr:to>
        <xdr:sp macro="" textlink="">
          <xdr:nvSpPr>
            <xdr:cNvPr id="62474" name="CommandButton3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152400</xdr:rowOff>
        </xdr:from>
        <xdr:to>
          <xdr:col>7</xdr:col>
          <xdr:colOff>723900</xdr:colOff>
          <xdr:row>2</xdr:row>
          <xdr:rowOff>161925</xdr:rowOff>
        </xdr:to>
        <xdr:sp macro="" textlink="">
          <xdr:nvSpPr>
            <xdr:cNvPr id="62475" name="CommandButton4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0</xdr:rowOff>
        </xdr:from>
        <xdr:to>
          <xdr:col>4</xdr:col>
          <xdr:colOff>933450</xdr:colOff>
          <xdr:row>0</xdr:row>
          <xdr:rowOff>409575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0</xdr:colOff>
          <xdr:row>0</xdr:row>
          <xdr:rowOff>409575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0</xdr:rowOff>
        </xdr:from>
        <xdr:to>
          <xdr:col>5</xdr:col>
          <xdr:colOff>1066800</xdr:colOff>
          <xdr:row>0</xdr:row>
          <xdr:rowOff>409575</xdr:rowOff>
        </xdr:to>
        <xdr:sp macro="" textlink="">
          <xdr:nvSpPr>
            <xdr:cNvPr id="3079" name="CommandButton5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0</xdr:rowOff>
        </xdr:from>
        <xdr:to>
          <xdr:col>11</xdr:col>
          <xdr:colOff>676275</xdr:colOff>
          <xdr:row>0</xdr:row>
          <xdr:rowOff>409575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10</xdr:col>
          <xdr:colOff>685800</xdr:colOff>
          <xdr:row>0</xdr:row>
          <xdr:rowOff>409575</xdr:rowOff>
        </xdr:to>
        <xdr:sp macro="" textlink="">
          <xdr:nvSpPr>
            <xdr:cNvPr id="3085" name="CommandButton9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0</xdr:rowOff>
        </xdr:from>
        <xdr:to>
          <xdr:col>12</xdr:col>
          <xdr:colOff>676275</xdr:colOff>
          <xdr:row>0</xdr:row>
          <xdr:rowOff>409575</xdr:rowOff>
        </xdr:to>
        <xdr:sp macro="" textlink="">
          <xdr:nvSpPr>
            <xdr:cNvPr id="3086" name="CommandButton10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0</xdr:rowOff>
        </xdr:from>
        <xdr:to>
          <xdr:col>9</xdr:col>
          <xdr:colOff>0</xdr:colOff>
          <xdr:row>0</xdr:row>
          <xdr:rowOff>409575</xdr:rowOff>
        </xdr:to>
        <xdr:sp macro="" textlink="">
          <xdr:nvSpPr>
            <xdr:cNvPr id="3087" name="CommandButton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1</xdr:col>
          <xdr:colOff>0</xdr:colOff>
          <xdr:row>0</xdr:row>
          <xdr:rowOff>409575</xdr:rowOff>
        </xdr:to>
        <xdr:sp macro="" textlink="">
          <xdr:nvSpPr>
            <xdr:cNvPr id="3088" name="CommandButton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0</xdr:row>
          <xdr:rowOff>0</xdr:rowOff>
        </xdr:from>
        <xdr:to>
          <xdr:col>14</xdr:col>
          <xdr:colOff>257175</xdr:colOff>
          <xdr:row>0</xdr:row>
          <xdr:rowOff>409575</xdr:rowOff>
        </xdr:to>
        <xdr:sp macro="" textlink="">
          <xdr:nvSpPr>
            <xdr:cNvPr id="3089" name="CommandButton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19050</xdr:rowOff>
        </xdr:from>
        <xdr:to>
          <xdr:col>0</xdr:col>
          <xdr:colOff>466725</xdr:colOff>
          <xdr:row>0</xdr:row>
          <xdr:rowOff>180975</xdr:rowOff>
        </xdr:to>
        <xdr:sp macro="" textlink="">
          <xdr:nvSpPr>
            <xdr:cNvPr id="86017" name="CommandButton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0</xdr:row>
          <xdr:rowOff>66675</xdr:rowOff>
        </xdr:from>
        <xdr:to>
          <xdr:col>5</xdr:col>
          <xdr:colOff>1057275</xdr:colOff>
          <xdr:row>0</xdr:row>
          <xdr:rowOff>447675</xdr:rowOff>
        </xdr:to>
        <xdr:sp macro="" textlink="">
          <xdr:nvSpPr>
            <xdr:cNvPr id="50178" name="CommandButton1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0</xdr:row>
          <xdr:rowOff>66675</xdr:rowOff>
        </xdr:from>
        <xdr:to>
          <xdr:col>6</xdr:col>
          <xdr:colOff>1085850</xdr:colOff>
          <xdr:row>0</xdr:row>
          <xdr:rowOff>447675</xdr:rowOff>
        </xdr:to>
        <xdr:sp macro="" textlink="">
          <xdr:nvSpPr>
            <xdr:cNvPr id="50179" name="CommandButton2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28575</xdr:rowOff>
        </xdr:from>
        <xdr:to>
          <xdr:col>11</xdr:col>
          <xdr:colOff>447675</xdr:colOff>
          <xdr:row>0</xdr:row>
          <xdr:rowOff>400050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1</xdr:col>
          <xdr:colOff>9525</xdr:colOff>
          <xdr:row>0</xdr:row>
          <xdr:rowOff>409575</xdr:rowOff>
        </xdr:to>
        <xdr:sp macro="" textlink="">
          <xdr:nvSpPr>
            <xdr:cNvPr id="50183" name="CommandButton5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66675</xdr:rowOff>
        </xdr:from>
        <xdr:to>
          <xdr:col>1</xdr:col>
          <xdr:colOff>819150</xdr:colOff>
          <xdr:row>0</xdr:row>
          <xdr:rowOff>381000</xdr:rowOff>
        </xdr:to>
        <xdr:sp macro="" textlink="">
          <xdr:nvSpPr>
            <xdr:cNvPr id="50184" name="CommandButton6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</xdr:rowOff>
        </xdr:from>
        <xdr:to>
          <xdr:col>2</xdr:col>
          <xdr:colOff>552450</xdr:colOff>
          <xdr:row>0</xdr:row>
          <xdr:rowOff>371475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0</xdr:row>
          <xdr:rowOff>47625</xdr:rowOff>
        </xdr:from>
        <xdr:to>
          <xdr:col>17</xdr:col>
          <xdr:colOff>428625</xdr:colOff>
          <xdr:row>0</xdr:row>
          <xdr:rowOff>295275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19050</xdr:rowOff>
        </xdr:from>
        <xdr:to>
          <xdr:col>6</xdr:col>
          <xdr:colOff>180975</xdr:colOff>
          <xdr:row>1</xdr:row>
          <xdr:rowOff>342900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38100</xdr:rowOff>
        </xdr:from>
        <xdr:to>
          <xdr:col>11</xdr:col>
          <xdr:colOff>419100</xdr:colOff>
          <xdr:row>0</xdr:row>
          <xdr:rowOff>295275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371475</xdr:colOff>
          <xdr:row>0</xdr:row>
          <xdr:rowOff>295275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38100</xdr:rowOff>
        </xdr:from>
        <xdr:to>
          <xdr:col>8</xdr:col>
          <xdr:colOff>381000</xdr:colOff>
          <xdr:row>0</xdr:row>
          <xdr:rowOff>295275</xdr:rowOff>
        </xdr:to>
        <xdr:sp macro="" textlink="">
          <xdr:nvSpPr>
            <xdr:cNvPr id="2052" name="CommandButton5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28575</xdr:rowOff>
        </xdr:from>
        <xdr:to>
          <xdr:col>1</xdr:col>
          <xdr:colOff>800100</xdr:colOff>
          <xdr:row>1</xdr:row>
          <xdr:rowOff>342900</xdr:rowOff>
        </xdr:to>
        <xdr:sp macro="" textlink="">
          <xdr:nvSpPr>
            <xdr:cNvPr id="2053" name="CommandButton6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38100</xdr:rowOff>
        </xdr:from>
        <xdr:to>
          <xdr:col>10</xdr:col>
          <xdr:colOff>419100</xdr:colOff>
          <xdr:row>0</xdr:row>
          <xdr:rowOff>295275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38100</xdr:rowOff>
        </xdr:from>
        <xdr:to>
          <xdr:col>7</xdr:col>
          <xdr:colOff>390525</xdr:colOff>
          <xdr:row>0</xdr:row>
          <xdr:rowOff>295275</xdr:rowOff>
        </xdr:to>
        <xdr:sp macro="" textlink="">
          <xdr:nvSpPr>
            <xdr:cNvPr id="2059" name="CommandButto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19050</xdr:rowOff>
        </xdr:from>
        <xdr:to>
          <xdr:col>15</xdr:col>
          <xdr:colOff>609600</xdr:colOff>
          <xdr:row>1</xdr:row>
          <xdr:rowOff>342900</xdr:rowOff>
        </xdr:to>
        <xdr:sp macro="" textlink="">
          <xdr:nvSpPr>
            <xdr:cNvPr id="2062" name="CommandButton9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0</xdr:col>
          <xdr:colOff>695325</xdr:colOff>
          <xdr:row>1</xdr:row>
          <xdr:rowOff>342900</xdr:rowOff>
        </xdr:to>
        <xdr:sp macro="" textlink="">
          <xdr:nvSpPr>
            <xdr:cNvPr id="2063" name="CommandButton8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38100</xdr:rowOff>
        </xdr:from>
        <xdr:to>
          <xdr:col>12</xdr:col>
          <xdr:colOff>390525</xdr:colOff>
          <xdr:row>0</xdr:row>
          <xdr:rowOff>295275</xdr:rowOff>
        </xdr:to>
        <xdr:sp macro="" textlink="">
          <xdr:nvSpPr>
            <xdr:cNvPr id="2064" name="CommandButton10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19050</xdr:rowOff>
        </xdr:from>
        <xdr:to>
          <xdr:col>18</xdr:col>
          <xdr:colOff>561975</xdr:colOff>
          <xdr:row>1</xdr:row>
          <xdr:rowOff>342900</xdr:rowOff>
        </xdr:to>
        <xdr:sp macro="" textlink="">
          <xdr:nvSpPr>
            <xdr:cNvPr id="2065" name="CommandButton11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19050</xdr:rowOff>
        </xdr:from>
        <xdr:to>
          <xdr:col>12</xdr:col>
          <xdr:colOff>428625</xdr:colOff>
          <xdr:row>1</xdr:row>
          <xdr:rowOff>342900</xdr:rowOff>
        </xdr:to>
        <xdr:sp macro="" textlink="">
          <xdr:nvSpPr>
            <xdr:cNvPr id="2067" name="CommandButton12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0</xdr:rowOff>
        </xdr:from>
        <xdr:to>
          <xdr:col>18</xdr:col>
          <xdr:colOff>9525</xdr:colOff>
          <xdr:row>0</xdr:row>
          <xdr:rowOff>276225</xdr:rowOff>
        </xdr:to>
        <xdr:sp macro="" textlink="">
          <xdr:nvSpPr>
            <xdr:cNvPr id="2068" name="CommandButton13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0</xdr:row>
          <xdr:rowOff>28575</xdr:rowOff>
        </xdr:from>
        <xdr:to>
          <xdr:col>18</xdr:col>
          <xdr:colOff>581025</xdr:colOff>
          <xdr:row>0</xdr:row>
          <xdr:rowOff>285750</xdr:rowOff>
        </xdr:to>
        <xdr:sp macro="" textlink="">
          <xdr:nvSpPr>
            <xdr:cNvPr id="2069" name="CommandButton14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</xdr:row>
          <xdr:rowOff>28575</xdr:rowOff>
        </xdr:from>
        <xdr:to>
          <xdr:col>18</xdr:col>
          <xdr:colOff>47625</xdr:colOff>
          <xdr:row>1</xdr:row>
          <xdr:rowOff>342900</xdr:rowOff>
        </xdr:to>
        <xdr:sp macro="" textlink="">
          <xdr:nvSpPr>
            <xdr:cNvPr id="2070" name="CommandButton15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</xdr:row>
          <xdr:rowOff>38100</xdr:rowOff>
        </xdr:from>
        <xdr:to>
          <xdr:col>6</xdr:col>
          <xdr:colOff>466725</xdr:colOff>
          <xdr:row>1</xdr:row>
          <xdr:rowOff>342900</xdr:rowOff>
        </xdr:to>
        <xdr:sp macro="" textlink="">
          <xdr:nvSpPr>
            <xdr:cNvPr id="2071" name="CommandButton16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1941" cy="6069654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21447619" cy="7961905"/>
        </a:xfrm>
        <a:prstGeom xmlns:a="http://schemas.openxmlformats.org/drawingml/2006/main" prst="rect">
          <a:avLst/>
        </a:prstGeom>
      </cdr:spPr>
    </cdr:pic>
  </cdr:relSizeAnchor>
</c:userShapes>
</file>

<file path=xl/queryTables/queryTable1.xml><?xml version="1.0" encoding="utf-8"?>
<queryTable xmlns="http://schemas.openxmlformats.org/spreadsheetml/2006/main" name="外部資料_252" headers="0" growShrinkType="overwriteClear" fillFormulas="1" connectionId="2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251" headers="0" growShrinkType="overwriteClear" fillFormulas="1" connectionId="2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250" headers="0" growShrinkType="overwriteClear" fillFormulas="1" connectionId="20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249" headers="0" growShrinkType="overwriteClear" fillFormulas="1" connectionId="20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248" headers="0" growShrinkType="overwriteClear" fillFormulas="1" connectionId="20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247" headers="0" growShrinkType="overwriteClear" fillFormulas="1" connectionId="20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754" headers="0" growShrinkType="insertClear" fillFormulas="1" connectionId="17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756" headers="0" growShrinkType="insertClear" fillFormulas="1" connectionId="1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755" headers="0" growShrinkType="insertClear" fillFormulas="1" connectionId="18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758" headers="0" growShrinkType="insertClear" fillFormulas="1" connectionId="1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760" headers="0" growShrinkType="insertClear" fillFormulas="1" connectionId="1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759" headers="0" growShrinkType="insertClear" fillFormulas="1" connectionId="18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602" headers="0" growShrinkType="insertClear" fillFormulas="1" connectionId="19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601" headers="0" growShrinkType="insertClear" fillFormulas="1" connectionId="18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603" headers="0" growShrinkType="insertClear" fillFormulas="1" connectionId="19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5.x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9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4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8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7.xml"/><Relationship Id="rId28" Type="http://schemas.openxmlformats.org/officeDocument/2006/relationships/control" Target="../activeX/activeX22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6.xml"/><Relationship Id="rId27" Type="http://schemas.openxmlformats.org/officeDocument/2006/relationships/control" Target="../activeX/activeX2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38.xml"/><Relationship Id="rId21" Type="http://schemas.openxmlformats.org/officeDocument/2006/relationships/control" Target="../activeX/activeX2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42.xml"/><Relationship Id="rId50" Type="http://schemas.openxmlformats.org/officeDocument/2006/relationships/image" Target="../media/image23.emf"/><Relationship Id="rId55" Type="http://schemas.openxmlformats.org/officeDocument/2006/relationships/control" Target="../activeX/activeX46.xml"/><Relationship Id="rId63" Type="http://schemas.openxmlformats.org/officeDocument/2006/relationships/comments" Target="../comments2.xm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tw.stock.yahoo.com/pf/pfsel?stocklist=3234;" TargetMode="External"/><Relationship Id="rId16" Type="http://schemas.openxmlformats.org/officeDocument/2006/relationships/control" Target="../activeX/activeX26.xml"/><Relationship Id="rId29" Type="http://schemas.openxmlformats.org/officeDocument/2006/relationships/control" Target="../activeX/activeX33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37.xml"/><Relationship Id="rId40" Type="http://schemas.openxmlformats.org/officeDocument/2006/relationships/image" Target="../media/image18.emf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5.xml"/><Relationship Id="rId58" Type="http://schemas.openxmlformats.org/officeDocument/2006/relationships/image" Target="../media/image27.emf"/><Relationship Id="rId5" Type="http://schemas.openxmlformats.org/officeDocument/2006/relationships/hyperlink" Target="https://tw.rd.yahoo.com/referurl/stock/other/SIG=125v47s73/**https:/tw.screener.finance.yahoo.net/screener/check.html?symid=3234" TargetMode="External"/><Relationship Id="rId61" Type="http://schemas.openxmlformats.org/officeDocument/2006/relationships/control" Target="../activeX/activeX49.xml"/><Relationship Id="rId19" Type="http://schemas.openxmlformats.org/officeDocument/2006/relationships/control" Target="../activeX/activeX28.xml"/><Relationship Id="rId14" Type="http://schemas.openxmlformats.org/officeDocument/2006/relationships/control" Target="../activeX/activeX25.xml"/><Relationship Id="rId22" Type="http://schemas.openxmlformats.org/officeDocument/2006/relationships/image" Target="../media/image9.emf"/><Relationship Id="rId27" Type="http://schemas.openxmlformats.org/officeDocument/2006/relationships/control" Target="../activeX/activeX32.xml"/><Relationship Id="rId30" Type="http://schemas.openxmlformats.org/officeDocument/2006/relationships/image" Target="../media/image13.emf"/><Relationship Id="rId35" Type="http://schemas.openxmlformats.org/officeDocument/2006/relationships/control" Target="../activeX/activeX36.xml"/><Relationship Id="rId43" Type="http://schemas.openxmlformats.org/officeDocument/2006/relationships/control" Target="../activeX/activeX4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8" Type="http://schemas.openxmlformats.org/officeDocument/2006/relationships/drawing" Target="../drawings/drawing2.xml"/><Relationship Id="rId51" Type="http://schemas.openxmlformats.org/officeDocument/2006/relationships/control" Target="../activeX/activeX44.xml"/><Relationship Id="rId3" Type="http://schemas.openxmlformats.org/officeDocument/2006/relationships/hyperlink" Target="https://tw.stock.yahoo.com/pf/pfsel?stocklist=3234;" TargetMode="External"/><Relationship Id="rId12" Type="http://schemas.openxmlformats.org/officeDocument/2006/relationships/control" Target="../activeX/activeX24.xml"/><Relationship Id="rId17" Type="http://schemas.openxmlformats.org/officeDocument/2006/relationships/control" Target="../activeX/activeX27.xml"/><Relationship Id="rId25" Type="http://schemas.openxmlformats.org/officeDocument/2006/relationships/control" Target="../activeX/activeX31.xml"/><Relationship Id="rId33" Type="http://schemas.openxmlformats.org/officeDocument/2006/relationships/control" Target="../activeX/activeX3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48.xml"/><Relationship Id="rId20" Type="http://schemas.openxmlformats.org/officeDocument/2006/relationships/image" Target="../media/image8.emf"/><Relationship Id="rId41" Type="http://schemas.openxmlformats.org/officeDocument/2006/relationships/control" Target="../activeX/activeX3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1" Type="http://schemas.openxmlformats.org/officeDocument/2006/relationships/hyperlink" Target="https://tw.stock.yahoo.com/q/bc?s=3234" TargetMode="External"/><Relationship Id="rId6" Type="http://schemas.openxmlformats.org/officeDocument/2006/relationships/hyperlink" Target="javascript:%20CheckP(document.orderform,%20'Z',%20'/fcgi-bin/orderpage.fcg');" TargetMode="External"/><Relationship Id="rId15" Type="http://schemas.openxmlformats.org/officeDocument/2006/relationships/image" Target="../media/image6.emf"/><Relationship Id="rId23" Type="http://schemas.openxmlformats.org/officeDocument/2006/relationships/control" Target="../activeX/activeX3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43.xml"/><Relationship Id="rId57" Type="http://schemas.openxmlformats.org/officeDocument/2006/relationships/control" Target="../activeX/activeX47.xml"/><Relationship Id="rId10" Type="http://schemas.openxmlformats.org/officeDocument/2006/relationships/control" Target="../activeX/activeX23.xml"/><Relationship Id="rId31" Type="http://schemas.openxmlformats.org/officeDocument/2006/relationships/control" Target="../activeX/activeX3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4" Type="http://schemas.openxmlformats.org/officeDocument/2006/relationships/hyperlink" Target="https://tw.stock.yahoo.com/q/ts?s=3234" TargetMode="External"/><Relationship Id="rId9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1.emf"/><Relationship Id="rId4" Type="http://schemas.openxmlformats.org/officeDocument/2006/relationships/control" Target="../activeX/activeX5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control" Target="../activeX/activeX57.xml"/><Relationship Id="rId3" Type="http://schemas.openxmlformats.org/officeDocument/2006/relationships/control" Target="../activeX/activeX52.xml"/><Relationship Id="rId7" Type="http://schemas.openxmlformats.org/officeDocument/2006/relationships/control" Target="../activeX/activeX54.xml"/><Relationship Id="rId12" Type="http://schemas.openxmlformats.org/officeDocument/2006/relationships/image" Target="../media/image36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3.emf"/><Relationship Id="rId11" Type="http://schemas.openxmlformats.org/officeDocument/2006/relationships/control" Target="../activeX/activeX56.xml"/><Relationship Id="rId5" Type="http://schemas.openxmlformats.org/officeDocument/2006/relationships/control" Target="../activeX/activeX53.xml"/><Relationship Id="rId10" Type="http://schemas.openxmlformats.org/officeDocument/2006/relationships/image" Target="../media/image35.emf"/><Relationship Id="rId4" Type="http://schemas.openxmlformats.org/officeDocument/2006/relationships/image" Target="../media/image32.emf"/><Relationship Id="rId9" Type="http://schemas.openxmlformats.org/officeDocument/2006/relationships/control" Target="../activeX/activeX55.xml"/><Relationship Id="rId14" Type="http://schemas.openxmlformats.org/officeDocument/2006/relationships/image" Target="../media/image37.emf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jsjustweb.jihsun.com.tw/z/zc/zco/zco0/zco0.djhtm?a=2428&amp;b=6110" TargetMode="External"/><Relationship Id="rId21" Type="http://schemas.openxmlformats.org/officeDocument/2006/relationships/hyperlink" Target="http://jsjustweb.jihsun.com.tw/z/zc/zco/zco0/zco0.djhtm?a=2428&amp;b=5260" TargetMode="External"/><Relationship Id="rId42" Type="http://schemas.openxmlformats.org/officeDocument/2006/relationships/hyperlink" Target="http://jsjustweb.jihsun.com.tw/z/zc/zco/zco0/zco0.djhtm?a=2428&amp;b=9600" TargetMode="External"/><Relationship Id="rId47" Type="http://schemas.openxmlformats.org/officeDocument/2006/relationships/hyperlink" Target="http://jsjustweb.jihsun.com.tw/z/zc/zco/zco0/zco0.djhtm?a=2428&amp;b=1040" TargetMode="External"/><Relationship Id="rId63" Type="http://schemas.openxmlformats.org/officeDocument/2006/relationships/image" Target="../media/image43.emf"/><Relationship Id="rId68" Type="http://schemas.openxmlformats.org/officeDocument/2006/relationships/control" Target="../activeX/activeX66.xml"/><Relationship Id="rId16" Type="http://schemas.openxmlformats.org/officeDocument/2006/relationships/hyperlink" Target="http://jsjustweb.jihsun.com.tw/z/zc/zco/zco0/zco0.djhtm?a=2428&amp;b=1570" TargetMode="External"/><Relationship Id="rId11" Type="http://schemas.openxmlformats.org/officeDocument/2006/relationships/hyperlink" Target="http://jsjustweb.jihsun.com.tw/z/zc/zco/zco0/zco0.djhtm?a=2428&amp;b=1470" TargetMode="External"/><Relationship Id="rId32" Type="http://schemas.openxmlformats.org/officeDocument/2006/relationships/hyperlink" Target="http://jsjustweb.jihsun.com.tw/z/zc/zco/zco0/zco0.djhtm?a=2428&amp;b=1020" TargetMode="External"/><Relationship Id="rId37" Type="http://schemas.openxmlformats.org/officeDocument/2006/relationships/hyperlink" Target="http://jsjustweb.jihsun.com.tw/z/zc/zco/zco0/zco0.djhtm?a=2428&amp;b=7790" TargetMode="External"/><Relationship Id="rId53" Type="http://schemas.openxmlformats.org/officeDocument/2006/relationships/image" Target="../media/image38.emf"/><Relationship Id="rId58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image" Target="../media/image51.emf"/><Relationship Id="rId5" Type="http://schemas.openxmlformats.org/officeDocument/2006/relationships/hyperlink" Target="https://tw.stock.yahoo.com/d/s/earning_3205.html" TargetMode="External"/><Relationship Id="rId61" Type="http://schemas.openxmlformats.org/officeDocument/2006/relationships/image" Target="../media/image42.emf"/><Relationship Id="rId19" Type="http://schemas.openxmlformats.org/officeDocument/2006/relationships/hyperlink" Target="http://jsjustweb.jihsun.com.tw/z/zc/zco/zco0/zco0.djhtm?a=2428&amp;b=5050" TargetMode="External"/><Relationship Id="rId14" Type="http://schemas.openxmlformats.org/officeDocument/2006/relationships/hyperlink" Target="http://jsjustweb.jihsun.com.tw/z/zc/zco/zco0/zco0.djhtm?a=2428&amp;b=1380" TargetMode="External"/><Relationship Id="rId22" Type="http://schemas.openxmlformats.org/officeDocument/2006/relationships/hyperlink" Target="http://jsjustweb.jihsun.com.tw/z/zc/zco/zco0/zco0.djhtm?a=2428&amp;b=6160" TargetMode="External"/><Relationship Id="rId27" Type="http://schemas.openxmlformats.org/officeDocument/2006/relationships/hyperlink" Target="http://jsjustweb.jihsun.com.tw/z/zc/zco/zco0/zco0.djhtm?a=2428&amp;b=8150" TargetMode="External"/><Relationship Id="rId30" Type="http://schemas.openxmlformats.org/officeDocument/2006/relationships/hyperlink" Target="http://jsjustweb.jihsun.com.tw/z/zc/zco/zco0/zco0.djhtm?a=2428&amp;b=8840" TargetMode="External"/><Relationship Id="rId35" Type="http://schemas.openxmlformats.org/officeDocument/2006/relationships/hyperlink" Target="http://jsjustweb.jihsun.com.tw/z/zc/zco/zco0/zco0.djhtm?a=2428&amp;b=7030" TargetMode="External"/><Relationship Id="rId43" Type="http://schemas.openxmlformats.org/officeDocument/2006/relationships/hyperlink" Target="http://jsjustweb.jihsun.com.tw/z/zc/zco/zco0/zco0.djhtm?a=2428&amp;b=9300" TargetMode="External"/><Relationship Id="rId48" Type="http://schemas.openxmlformats.org/officeDocument/2006/relationships/hyperlink" Target="http://jsjustweb.jihsun.com.tw/z/zc/zco/zco0/zco0.djhtm?a=2428&amp;b=6910" TargetMode="External"/><Relationship Id="rId56" Type="http://schemas.openxmlformats.org/officeDocument/2006/relationships/control" Target="../activeX/activeX60.xml"/><Relationship Id="rId64" Type="http://schemas.openxmlformats.org/officeDocument/2006/relationships/control" Target="../activeX/activeX64.xml"/><Relationship Id="rId69" Type="http://schemas.openxmlformats.org/officeDocument/2006/relationships/image" Target="../media/image46.emf"/><Relationship Id="rId77" Type="http://schemas.openxmlformats.org/officeDocument/2006/relationships/image" Target="../media/image50.emf"/><Relationship Id="rId8" Type="http://schemas.openxmlformats.org/officeDocument/2006/relationships/hyperlink" Target="http://jsjustweb.jihsun.com.tw/z/zc/zco/zco0/zco0.djhtm?a=2428&amp;b=1530" TargetMode="External"/><Relationship Id="rId51" Type="http://schemas.openxmlformats.org/officeDocument/2006/relationships/vmlDrawing" Target="../drawings/vmlDrawing6.v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2.xml"/><Relationship Id="rId3" Type="http://schemas.openxmlformats.org/officeDocument/2006/relationships/hyperlink" Target="https://tw.stock.yahoo.com/d/s/earning_3152.html" TargetMode="External"/><Relationship Id="rId12" Type="http://schemas.openxmlformats.org/officeDocument/2006/relationships/hyperlink" Target="http://jsjustweb.jihsun.com.tw/z/zc/zco/zco0/zco0.djhtm?a=2428&amp;b=1480" TargetMode="External"/><Relationship Id="rId17" Type="http://schemas.openxmlformats.org/officeDocument/2006/relationships/hyperlink" Target="http://jsjustweb.jihsun.com.tw/z/zc/zco/zco0/zco0.djhtm?a=2428&amp;b=1560" TargetMode="External"/><Relationship Id="rId25" Type="http://schemas.openxmlformats.org/officeDocument/2006/relationships/hyperlink" Target="http://jsjustweb.jihsun.com.tw/z/zc/zco/zco0/zco0.djhtm?a=2428&amp;b=1160" TargetMode="External"/><Relationship Id="rId33" Type="http://schemas.openxmlformats.org/officeDocument/2006/relationships/hyperlink" Target="http://jsjustweb.jihsun.com.tw/z/zc/zco/zco0/zco0.djhtm?a=2428&amp;b=1260" TargetMode="External"/><Relationship Id="rId38" Type="http://schemas.openxmlformats.org/officeDocument/2006/relationships/hyperlink" Target="http://jsjustweb.jihsun.com.tw/z/zc/zco/zco0/zco0.djhtm?a=2428&amp;b=8450" TargetMode="External"/><Relationship Id="rId46" Type="http://schemas.openxmlformats.org/officeDocument/2006/relationships/hyperlink" Target="http://jsjustweb.jihsun.com.tw/z/zc/zco/zco0/zco0.djhtm?a=2428&amp;b=6480" TargetMode="External"/><Relationship Id="rId59" Type="http://schemas.openxmlformats.org/officeDocument/2006/relationships/image" Target="../media/image41.emf"/><Relationship Id="rId67" Type="http://schemas.openxmlformats.org/officeDocument/2006/relationships/image" Target="../media/image45.emf"/><Relationship Id="rId20" Type="http://schemas.openxmlformats.org/officeDocument/2006/relationships/hyperlink" Target="http://jsjustweb.jihsun.com.tw/z/zc/zco/zco0/zco0.djhtm?a=2428&amp;b=6530" TargetMode="External"/><Relationship Id="rId41" Type="http://schemas.openxmlformats.org/officeDocument/2006/relationships/hyperlink" Target="http://jsjustweb.jihsun.com.tw/z/zc/zco/zco0/zco0.djhtm?a=2428&amp;b=9200" TargetMode="External"/><Relationship Id="rId54" Type="http://schemas.openxmlformats.org/officeDocument/2006/relationships/control" Target="../activeX/activeX59.xml"/><Relationship Id="rId62" Type="http://schemas.openxmlformats.org/officeDocument/2006/relationships/control" Target="../activeX/activeX63.xml"/><Relationship Id="rId70" Type="http://schemas.openxmlformats.org/officeDocument/2006/relationships/control" Target="../activeX/activeX67.xml"/><Relationship Id="rId75" Type="http://schemas.openxmlformats.org/officeDocument/2006/relationships/image" Target="../media/image49.emf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://jsjustweb.jihsun.com.tw/z/zc/zco/zco0/zco0.djhtm?a=2428&amp;b=1590" TargetMode="External"/><Relationship Id="rId23" Type="http://schemas.openxmlformats.org/officeDocument/2006/relationships/hyperlink" Target="http://jsjustweb.jihsun.com.tw/z/zc/zco/zco0/zco0.djhtm?a=2428&amp;b=9800" TargetMode="External"/><Relationship Id="rId28" Type="http://schemas.openxmlformats.org/officeDocument/2006/relationships/hyperlink" Target="http://jsjustweb.jihsun.com.tw/z/zc/zco/zco0/zco0.djhtm?a=2428&amp;b=1090" TargetMode="External"/><Relationship Id="rId36" Type="http://schemas.openxmlformats.org/officeDocument/2006/relationships/hyperlink" Target="http://jsjustweb.jihsun.com.tw/z/zc/zco/zco0/zco0.djhtm?a=2428&amp;b=8880" TargetMode="External"/><Relationship Id="rId49" Type="http://schemas.openxmlformats.org/officeDocument/2006/relationships/printerSettings" Target="../printerSettings/printerSettings4.bin"/><Relationship Id="rId57" Type="http://schemas.openxmlformats.org/officeDocument/2006/relationships/image" Target="../media/image40.emf"/><Relationship Id="rId10" Type="http://schemas.openxmlformats.org/officeDocument/2006/relationships/hyperlink" Target="http://jsjustweb.jihsun.com.tw/z/zc/zco/zco0/zco0.djhtm?a=2428&amp;b=1440" TargetMode="External"/><Relationship Id="rId31" Type="http://schemas.openxmlformats.org/officeDocument/2006/relationships/hyperlink" Target="http://jsjustweb.jihsun.com.tw/z/zc/zco/zco0/zco0.djhtm?a=2428&amp;b=7000" TargetMode="External"/><Relationship Id="rId44" Type="http://schemas.openxmlformats.org/officeDocument/2006/relationships/hyperlink" Target="http://jsjustweb.jihsun.com.tw/z/zc/zco/zco0/zco0.djhtm?a=2428&amp;b=8560" TargetMode="External"/><Relationship Id="rId52" Type="http://schemas.openxmlformats.org/officeDocument/2006/relationships/control" Target="../activeX/activeX58.xml"/><Relationship Id="rId60" Type="http://schemas.openxmlformats.org/officeDocument/2006/relationships/control" Target="../activeX/activeX62.xml"/><Relationship Id="rId65" Type="http://schemas.openxmlformats.org/officeDocument/2006/relationships/image" Target="../media/image44.emf"/><Relationship Id="rId73" Type="http://schemas.openxmlformats.org/officeDocument/2006/relationships/image" Target="../media/image48.emf"/><Relationship Id="rId78" Type="http://schemas.openxmlformats.org/officeDocument/2006/relationships/control" Target="../activeX/activeX71.xml"/><Relationship Id="rId81" Type="http://schemas.openxmlformats.org/officeDocument/2006/relationships/image" Target="../media/image52.emf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://jsjustweb.jihsun.com.tw/z/zc/zco/zco0/zco0.djhtm?a=2428&amp;b=1520" TargetMode="External"/><Relationship Id="rId13" Type="http://schemas.openxmlformats.org/officeDocument/2006/relationships/hyperlink" Target="http://jsjustweb.jihsun.com.tw/z/zc/zco/zco0/zco0.djhtm?a=2428&amp;b=8440" TargetMode="External"/><Relationship Id="rId18" Type="http://schemas.openxmlformats.org/officeDocument/2006/relationships/hyperlink" Target="http://jsjustweb.jihsun.com.tw/z/zc/zco/zco0/zco0.djhtm?a=2428&amp;b=6010" TargetMode="External"/><Relationship Id="rId39" Type="http://schemas.openxmlformats.org/officeDocument/2006/relationships/hyperlink" Target="http://jsjustweb.jihsun.com.tw/z/zc/zco/zco0/zco0.djhtm?a=2428&amp;b=5380" TargetMode="External"/><Relationship Id="rId34" Type="http://schemas.openxmlformats.org/officeDocument/2006/relationships/hyperlink" Target="http://jsjustweb.jihsun.com.tw/z/zc/zco/zco0/zco0.djhtm?a=2428&amp;b=2180" TargetMode="External"/><Relationship Id="rId50" Type="http://schemas.openxmlformats.org/officeDocument/2006/relationships/drawing" Target="../drawings/drawing6.xml"/><Relationship Id="rId55" Type="http://schemas.openxmlformats.org/officeDocument/2006/relationships/image" Target="../media/image39.emf"/><Relationship Id="rId76" Type="http://schemas.openxmlformats.org/officeDocument/2006/relationships/control" Target="../activeX/activeX70.xml"/><Relationship Id="rId7" Type="http://schemas.openxmlformats.org/officeDocument/2006/relationships/hyperlink" Target="http://jsjustweb.jihsun.com.tw/z/zc/zco/zco0/zco0.djhtm?a=2428&amp;b=1650" TargetMode="External"/><Relationship Id="rId71" Type="http://schemas.openxmlformats.org/officeDocument/2006/relationships/image" Target="../media/image47.emf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hyperlink" Target="http://jsjustweb.jihsun.com.tw/z/zc/zco/zco0/zco0.djhtm?a=2428&amp;b=9A00" TargetMode="External"/><Relationship Id="rId24" Type="http://schemas.openxmlformats.org/officeDocument/2006/relationships/hyperlink" Target="http://jsjustweb.jihsun.com.tw/z/zc/zco/zco0/zco0.djhtm?a=2428&amp;b=5920" TargetMode="External"/><Relationship Id="rId40" Type="http://schemas.openxmlformats.org/officeDocument/2006/relationships/hyperlink" Target="http://jsjustweb.jihsun.com.tw/z/zc/zco/zco0/zco0.djhtm?a=2428&amp;b=5850" TargetMode="External"/><Relationship Id="rId45" Type="http://schemas.openxmlformats.org/officeDocument/2006/relationships/hyperlink" Target="http://jsjustweb.jihsun.com.tw/z/zc/zco/zco0/zco0.djhtm?a=2428&amp;b=9100" TargetMode="External"/><Relationship Id="rId66" Type="http://schemas.openxmlformats.org/officeDocument/2006/relationships/control" Target="../activeX/activeX6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image" Target="../media/image57.emf"/><Relationship Id="rId18" Type="http://schemas.openxmlformats.org/officeDocument/2006/relationships/control" Target="../activeX/activeX8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61.emf"/><Relationship Id="rId7" Type="http://schemas.openxmlformats.org/officeDocument/2006/relationships/image" Target="../media/image54.emf"/><Relationship Id="rId12" Type="http://schemas.openxmlformats.org/officeDocument/2006/relationships/control" Target="../activeX/activeX77.xml"/><Relationship Id="rId17" Type="http://schemas.openxmlformats.org/officeDocument/2006/relationships/image" Target="../media/image5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9.xml"/><Relationship Id="rId20" Type="http://schemas.openxmlformats.org/officeDocument/2006/relationships/control" Target="../activeX/activeX8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4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10" Type="http://schemas.openxmlformats.org/officeDocument/2006/relationships/control" Target="../activeX/activeX76.xml"/><Relationship Id="rId19" Type="http://schemas.openxmlformats.org/officeDocument/2006/relationships/image" Target="../media/image60.emf"/><Relationship Id="rId4" Type="http://schemas.openxmlformats.org/officeDocument/2006/relationships/control" Target="../activeX/activeX73.xml"/><Relationship Id="rId9" Type="http://schemas.openxmlformats.org/officeDocument/2006/relationships/image" Target="../media/image55.emf"/><Relationship Id="rId14" Type="http://schemas.openxmlformats.org/officeDocument/2006/relationships/control" Target="../activeX/activeX7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66.emf"/><Relationship Id="rId18" Type="http://schemas.openxmlformats.org/officeDocument/2006/relationships/queryTable" Target="../queryTables/queryTable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3.emf"/><Relationship Id="rId12" Type="http://schemas.openxmlformats.org/officeDocument/2006/relationships/control" Target="../activeX/activeX86.xml"/><Relationship Id="rId17" Type="http://schemas.openxmlformats.org/officeDocument/2006/relationships/queryTable" Target="../queryTables/queryTable4.xml"/><Relationship Id="rId2" Type="http://schemas.openxmlformats.org/officeDocument/2006/relationships/drawing" Target="../drawings/drawing8.x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3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5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82.xml"/><Relationship Id="rId9" Type="http://schemas.openxmlformats.org/officeDocument/2006/relationships/image" Target="../media/image64.emf"/><Relationship Id="rId14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68.emf"/><Relationship Id="rId12" Type="http://schemas.openxmlformats.org/officeDocument/2006/relationships/control" Target="../activeX/activeX91.xml"/><Relationship Id="rId17" Type="http://schemas.openxmlformats.org/officeDocument/2006/relationships/image" Target="../media/image7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9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8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69.emf"/><Relationship Id="rId14" Type="http://schemas.openxmlformats.org/officeDocument/2006/relationships/control" Target="../activeX/activeX9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13" Type="http://schemas.openxmlformats.org/officeDocument/2006/relationships/image" Target="../media/image78.emf"/><Relationship Id="rId18" Type="http://schemas.openxmlformats.org/officeDocument/2006/relationships/control" Target="../activeX/activeX101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2.emf"/><Relationship Id="rId7" Type="http://schemas.openxmlformats.org/officeDocument/2006/relationships/image" Target="../media/image75.emf"/><Relationship Id="rId12" Type="http://schemas.openxmlformats.org/officeDocument/2006/relationships/control" Target="../activeX/activeX98.xml"/><Relationship Id="rId1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0.xml"/><Relationship Id="rId20" Type="http://schemas.openxmlformats.org/officeDocument/2006/relationships/control" Target="../activeX/activeX10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5" Type="http://schemas.openxmlformats.org/officeDocument/2006/relationships/image" Target="../media/image79.emf"/><Relationship Id="rId10" Type="http://schemas.openxmlformats.org/officeDocument/2006/relationships/control" Target="../activeX/activeX97.xml"/><Relationship Id="rId19" Type="http://schemas.openxmlformats.org/officeDocument/2006/relationships/image" Target="../media/image81.emf"/><Relationship Id="rId4" Type="http://schemas.openxmlformats.org/officeDocument/2006/relationships/control" Target="../activeX/activeX94.xml"/><Relationship Id="rId9" Type="http://schemas.openxmlformats.org/officeDocument/2006/relationships/image" Target="../media/image76.emf"/><Relationship Id="rId14" Type="http://schemas.openxmlformats.org/officeDocument/2006/relationships/control" Target="../activeX/activeX9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3.emf"/><Relationship Id="rId4" Type="http://schemas.openxmlformats.org/officeDocument/2006/relationships/control" Target="../activeX/activeX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control" Target="../activeX/activeX104.xml"/><Relationship Id="rId7" Type="http://schemas.openxmlformats.org/officeDocument/2006/relationships/control" Target="../activeX/activeX106.xml"/><Relationship Id="rId12" Type="http://schemas.openxmlformats.org/officeDocument/2006/relationships/image" Target="../media/image88.emf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85.emf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5.xml"/><Relationship Id="rId10" Type="http://schemas.openxmlformats.org/officeDocument/2006/relationships/image" Target="../media/image87.emf"/><Relationship Id="rId4" Type="http://schemas.openxmlformats.org/officeDocument/2006/relationships/image" Target="../media/image84.emf"/><Relationship Id="rId9" Type="http://schemas.openxmlformats.org/officeDocument/2006/relationships/control" Target="../activeX/activeX10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8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90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5.emf"/><Relationship Id="rId18" Type="http://schemas.openxmlformats.org/officeDocument/2006/relationships/control" Target="../activeX/activeX118.xml"/><Relationship Id="rId26" Type="http://schemas.openxmlformats.org/officeDocument/2006/relationships/control" Target="../activeX/activeX122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99.emf"/><Relationship Id="rId34" Type="http://schemas.openxmlformats.org/officeDocument/2006/relationships/control" Target="../activeX/activeX126.xml"/><Relationship Id="rId7" Type="http://schemas.openxmlformats.org/officeDocument/2006/relationships/image" Target="../media/image92.emf"/><Relationship Id="rId12" Type="http://schemas.openxmlformats.org/officeDocument/2006/relationships/control" Target="../activeX/activeX115.xml"/><Relationship Id="rId17" Type="http://schemas.openxmlformats.org/officeDocument/2006/relationships/image" Target="../media/image97.emf"/><Relationship Id="rId25" Type="http://schemas.openxmlformats.org/officeDocument/2006/relationships/image" Target="../media/image101.emf"/><Relationship Id="rId33" Type="http://schemas.openxmlformats.org/officeDocument/2006/relationships/image" Target="../media/image10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7.xml"/><Relationship Id="rId20" Type="http://schemas.openxmlformats.org/officeDocument/2006/relationships/control" Target="../activeX/activeX119.xml"/><Relationship Id="rId29" Type="http://schemas.openxmlformats.org/officeDocument/2006/relationships/image" Target="../media/image10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12.xml"/><Relationship Id="rId11" Type="http://schemas.openxmlformats.org/officeDocument/2006/relationships/image" Target="../media/image94.emf"/><Relationship Id="rId24" Type="http://schemas.openxmlformats.org/officeDocument/2006/relationships/control" Target="../activeX/activeX121.xml"/><Relationship Id="rId32" Type="http://schemas.openxmlformats.org/officeDocument/2006/relationships/control" Target="../activeX/activeX125.xml"/><Relationship Id="rId5" Type="http://schemas.openxmlformats.org/officeDocument/2006/relationships/image" Target="../media/image91.emf"/><Relationship Id="rId15" Type="http://schemas.openxmlformats.org/officeDocument/2006/relationships/image" Target="../media/image96.emf"/><Relationship Id="rId23" Type="http://schemas.openxmlformats.org/officeDocument/2006/relationships/image" Target="../media/image100.emf"/><Relationship Id="rId28" Type="http://schemas.openxmlformats.org/officeDocument/2006/relationships/control" Target="../activeX/activeX123.xml"/><Relationship Id="rId36" Type="http://schemas.openxmlformats.org/officeDocument/2006/relationships/comments" Target="../comments3.xml"/><Relationship Id="rId10" Type="http://schemas.openxmlformats.org/officeDocument/2006/relationships/control" Target="../activeX/activeX114.xml"/><Relationship Id="rId19" Type="http://schemas.openxmlformats.org/officeDocument/2006/relationships/image" Target="../media/image98.emf"/><Relationship Id="rId31" Type="http://schemas.openxmlformats.org/officeDocument/2006/relationships/image" Target="../media/image104.emf"/><Relationship Id="rId4" Type="http://schemas.openxmlformats.org/officeDocument/2006/relationships/control" Target="../activeX/activeX111.xml"/><Relationship Id="rId9" Type="http://schemas.openxmlformats.org/officeDocument/2006/relationships/image" Target="../media/image93.emf"/><Relationship Id="rId14" Type="http://schemas.openxmlformats.org/officeDocument/2006/relationships/control" Target="../activeX/activeX116.xml"/><Relationship Id="rId22" Type="http://schemas.openxmlformats.org/officeDocument/2006/relationships/control" Target="../activeX/activeX120.xml"/><Relationship Id="rId27" Type="http://schemas.openxmlformats.org/officeDocument/2006/relationships/image" Target="../media/image102.emf"/><Relationship Id="rId30" Type="http://schemas.openxmlformats.org/officeDocument/2006/relationships/control" Target="../activeX/activeX124.xml"/><Relationship Id="rId35" Type="http://schemas.openxmlformats.org/officeDocument/2006/relationships/image" Target="../media/image106.emf"/><Relationship Id="rId8" Type="http://schemas.openxmlformats.org/officeDocument/2006/relationships/control" Target="../activeX/activeX1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http://w.wantgoo.com/Stock/aStock/TechChart?StockNo=2465&amp;m=dk" TargetMode="External"/><Relationship Id="rId671" Type="http://schemas.openxmlformats.org/officeDocument/2006/relationships/hyperlink" Target="http://jsjustweb.jihsun.com.tw/z/zc/zco/zco0/zco0.djhtm?a=4126&amp;b=1650" TargetMode="External"/><Relationship Id="rId21" Type="http://schemas.openxmlformats.org/officeDocument/2006/relationships/hyperlink" Target="https://tw.stock.yahoo.com/d/s/earning_8077.html" TargetMode="External"/><Relationship Id="rId324" Type="http://schemas.openxmlformats.org/officeDocument/2006/relationships/hyperlink" Target="https://tw.stock.yahoo.com/d/s/earning_2465.html" TargetMode="External"/><Relationship Id="rId531" Type="http://schemas.openxmlformats.org/officeDocument/2006/relationships/hyperlink" Target="http://w.wantgoo.com/Stock/aStock/TechChart?StockNo=6184&amp;m=dk" TargetMode="External"/><Relationship Id="rId629" Type="http://schemas.openxmlformats.org/officeDocument/2006/relationships/hyperlink" Target="http://jsjustweb.jihsun.com.tw/z/zc/zco/zco0/zco0.djhtm?a=1215&amp;b=1650" TargetMode="External"/><Relationship Id="rId170" Type="http://schemas.openxmlformats.org/officeDocument/2006/relationships/hyperlink" Target="https://tw.stock.yahoo.com/d/s/earning_4137.html" TargetMode="External"/><Relationship Id="rId268" Type="http://schemas.openxmlformats.org/officeDocument/2006/relationships/hyperlink" Target="https://tw.stock.yahoo.com/d/s/earning_1527.html" TargetMode="External"/><Relationship Id="rId475" Type="http://schemas.openxmlformats.org/officeDocument/2006/relationships/hyperlink" Target="http://w.wantgoo.com/Stock/aStock/TechChart?StockNo=4746&amp;m=dk" TargetMode="External"/><Relationship Id="rId682" Type="http://schemas.openxmlformats.org/officeDocument/2006/relationships/printerSettings" Target="../printerSettings/printerSettings13.bin"/><Relationship Id="rId32" Type="http://schemas.openxmlformats.org/officeDocument/2006/relationships/hyperlink" Target="https://tw.stock.yahoo.com/d/s/earning_2442.html" TargetMode="External"/><Relationship Id="rId128" Type="http://schemas.openxmlformats.org/officeDocument/2006/relationships/hyperlink" Target="https://tw.stock.yahoo.com/d/s/earning_2929.html" TargetMode="External"/><Relationship Id="rId335" Type="http://schemas.openxmlformats.org/officeDocument/2006/relationships/hyperlink" Target="http://w.wantgoo.com/Stock/aStock/TechChart?StockNo=2637&amp;m=dk" TargetMode="External"/><Relationship Id="rId542" Type="http://schemas.openxmlformats.org/officeDocument/2006/relationships/hyperlink" Target="https://tw.stock.yahoo.com/d/s/earning_6239.html" TargetMode="External"/><Relationship Id="rId181" Type="http://schemas.openxmlformats.org/officeDocument/2006/relationships/hyperlink" Target="http://w.wantgoo.com/Stock/aStock/TechChart?StockNo=4164&amp;m=dk" TargetMode="External"/><Relationship Id="rId402" Type="http://schemas.openxmlformats.org/officeDocument/2006/relationships/hyperlink" Target="https://tw.stock.yahoo.com/d/s/earning_3529.html" TargetMode="External"/><Relationship Id="rId279" Type="http://schemas.openxmlformats.org/officeDocument/2006/relationships/hyperlink" Target="http://w.wantgoo.com/Stock/aStock/TechChart?StockNo=1603&amp;m=dk" TargetMode="External"/><Relationship Id="rId486" Type="http://schemas.openxmlformats.org/officeDocument/2006/relationships/hyperlink" Target="https://tw.stock.yahoo.com/d/s/earning_4966.html" TargetMode="External"/><Relationship Id="rId43" Type="http://schemas.openxmlformats.org/officeDocument/2006/relationships/hyperlink" Target="https://tw.stock.yahoo.com/d/s/earning_4415.html" TargetMode="External"/><Relationship Id="rId139" Type="http://schemas.openxmlformats.org/officeDocument/2006/relationships/hyperlink" Target="http://w.wantgoo.com/Stock/aStock/TechChart?StockNo=3169&amp;m=dk" TargetMode="External"/><Relationship Id="rId346" Type="http://schemas.openxmlformats.org/officeDocument/2006/relationships/hyperlink" Target="https://tw.stock.yahoo.com/d/s/earning_3032.html" TargetMode="External"/><Relationship Id="rId553" Type="http://schemas.openxmlformats.org/officeDocument/2006/relationships/hyperlink" Target="http://w.wantgoo.com/Stock/aStock/TechChart?StockNo=6404&amp;m=dk" TargetMode="External"/><Relationship Id="rId192" Type="http://schemas.openxmlformats.org/officeDocument/2006/relationships/hyperlink" Target="https://tw.stock.yahoo.com/d/s/earning_4979.html" TargetMode="External"/><Relationship Id="rId206" Type="http://schemas.openxmlformats.org/officeDocument/2006/relationships/hyperlink" Target="https://tw.stock.yahoo.com/d/s/earning_5395.html" TargetMode="External"/><Relationship Id="rId413" Type="http://schemas.openxmlformats.org/officeDocument/2006/relationships/hyperlink" Target="http://w.wantgoo.com/Stock/aStock/TechChart?StockNo=3587&amp;m=dk" TargetMode="External"/><Relationship Id="rId497" Type="http://schemas.openxmlformats.org/officeDocument/2006/relationships/hyperlink" Target="http://w.wantgoo.com/Stock/aStock/TechChart?StockNo=5206&amp;m=dk" TargetMode="External"/><Relationship Id="rId620" Type="http://schemas.openxmlformats.org/officeDocument/2006/relationships/hyperlink" Target="http://norway.twsthr.info/StockHolders.aspx?stock=2636" TargetMode="External"/><Relationship Id="rId357" Type="http://schemas.openxmlformats.org/officeDocument/2006/relationships/hyperlink" Target="http://w.wantgoo.com/Stock/aStock/TechChart?StockNo=3094&amp;m=dk" TargetMode="External"/><Relationship Id="rId54" Type="http://schemas.openxmlformats.org/officeDocument/2006/relationships/hyperlink" Target="https://tw.stock.yahoo.com/d/s/earning_8077.html" TargetMode="External"/><Relationship Id="rId217" Type="http://schemas.openxmlformats.org/officeDocument/2006/relationships/hyperlink" Target="http://w.wantgoo.com/Stock/aStock/TechChart?StockNo=6144&amp;m=dk" TargetMode="External"/><Relationship Id="rId564" Type="http://schemas.openxmlformats.org/officeDocument/2006/relationships/hyperlink" Target="https://tw.stock.yahoo.com/d/s/earning_8040.html" TargetMode="External"/><Relationship Id="rId424" Type="http://schemas.openxmlformats.org/officeDocument/2006/relationships/hyperlink" Target="https://tw.stock.yahoo.com/d/s/earning_3687.html" TargetMode="External"/><Relationship Id="rId631" Type="http://schemas.openxmlformats.org/officeDocument/2006/relationships/hyperlink" Target="http://jsjustweb.jihsun.com.tw/z/zc/zco/zco0/zco0.djhtm?a=1340&amp;b=1650" TargetMode="External"/><Relationship Id="rId270" Type="http://schemas.openxmlformats.org/officeDocument/2006/relationships/hyperlink" Target="https://tw.stock.yahoo.com/d/s/earning_1536.html" TargetMode="External"/><Relationship Id="rId65" Type="http://schemas.openxmlformats.org/officeDocument/2006/relationships/hyperlink" Target="https://tw.stock.yahoo.com/d/s/earning_2496.html" TargetMode="External"/><Relationship Id="rId130" Type="http://schemas.openxmlformats.org/officeDocument/2006/relationships/hyperlink" Target="https://tw.stock.yahoo.com/d/s/earning_3004.html" TargetMode="External"/><Relationship Id="rId368" Type="http://schemas.openxmlformats.org/officeDocument/2006/relationships/hyperlink" Target="https://tw.stock.yahoo.com/d/s/earning_3169.html" TargetMode="External"/><Relationship Id="rId575" Type="http://schemas.openxmlformats.org/officeDocument/2006/relationships/hyperlink" Target="http://w.wantgoo.com/Stock/aStock/TechChart?StockNo=8091&amp;m=dk" TargetMode="External"/><Relationship Id="rId228" Type="http://schemas.openxmlformats.org/officeDocument/2006/relationships/hyperlink" Target="https://tw.stock.yahoo.com/d/s/earning_6422.html" TargetMode="External"/><Relationship Id="rId435" Type="http://schemas.openxmlformats.org/officeDocument/2006/relationships/hyperlink" Target="http://w.wantgoo.com/Stock/aStock/TechChart?StockNo=4114&amp;m=dk" TargetMode="External"/><Relationship Id="rId642" Type="http://schemas.openxmlformats.org/officeDocument/2006/relationships/hyperlink" Target="http://jsjustweb.jihsun.com.tw/z/zc/zco/zco0/zco0.djhtm?a=2456&amp;b=1650" TargetMode="External"/><Relationship Id="rId281" Type="http://schemas.openxmlformats.org/officeDocument/2006/relationships/hyperlink" Target="http://w.wantgoo.com/Stock/aStock/TechChart?StockNo=1618&amp;m=dk" TargetMode="External"/><Relationship Id="rId502" Type="http://schemas.openxmlformats.org/officeDocument/2006/relationships/hyperlink" Target="https://tw.stock.yahoo.com/d/s/earning_5230.html" TargetMode="External"/><Relationship Id="rId76" Type="http://schemas.openxmlformats.org/officeDocument/2006/relationships/hyperlink" Target="https://tw.stock.yahoo.com/d/s/earning_6184.html" TargetMode="External"/><Relationship Id="rId141" Type="http://schemas.openxmlformats.org/officeDocument/2006/relationships/hyperlink" Target="http://w.wantgoo.com/Stock/aStock/TechChart?StockNo=3205&amp;m=dk" TargetMode="External"/><Relationship Id="rId379" Type="http://schemas.openxmlformats.org/officeDocument/2006/relationships/hyperlink" Target="http://w.wantgoo.com/Stock/aStock/TechChart?StockNo=3293&amp;m=dk" TargetMode="External"/><Relationship Id="rId586" Type="http://schemas.openxmlformats.org/officeDocument/2006/relationships/hyperlink" Target="https://tw.stock.yahoo.com/d/s/earning_8406.html" TargetMode="External"/><Relationship Id="rId7" Type="http://schemas.openxmlformats.org/officeDocument/2006/relationships/hyperlink" Target="https://tw.stock.yahoo.com/d/s/earning_2419.html" TargetMode="External"/><Relationship Id="rId239" Type="http://schemas.openxmlformats.org/officeDocument/2006/relationships/hyperlink" Target="http://w.wantgoo.com/Stock/aStock/TechChart?StockNo=8091&amp;m=dk" TargetMode="External"/><Relationship Id="rId446" Type="http://schemas.openxmlformats.org/officeDocument/2006/relationships/hyperlink" Target="https://tw.stock.yahoo.com/d/s/earning_4139.html" TargetMode="External"/><Relationship Id="rId653" Type="http://schemas.openxmlformats.org/officeDocument/2006/relationships/hyperlink" Target="http://jsjustweb.jihsun.com.tw/z/zc/zco/zco0/zco0.djhtm?a=5469&amp;b=1650" TargetMode="External"/><Relationship Id="rId292" Type="http://schemas.openxmlformats.org/officeDocument/2006/relationships/hyperlink" Target="https://tw.stock.yahoo.com/d/s/earning_1783.html" TargetMode="External"/><Relationship Id="rId306" Type="http://schemas.openxmlformats.org/officeDocument/2006/relationships/hyperlink" Target="https://tw.stock.yahoo.com/d/s/earning_2379.html" TargetMode="External"/><Relationship Id="rId87" Type="http://schemas.openxmlformats.org/officeDocument/2006/relationships/hyperlink" Target="http://w.wantgoo.com/Stock/aStock/TechChart?StockNo=1464&amp;m=dk" TargetMode="External"/><Relationship Id="rId513" Type="http://schemas.openxmlformats.org/officeDocument/2006/relationships/hyperlink" Target="http://w.wantgoo.com/Stock/aStock/TechChart?StockNo=5388&amp;m=dk" TargetMode="External"/><Relationship Id="rId597" Type="http://schemas.openxmlformats.org/officeDocument/2006/relationships/hyperlink" Target="http://w.wantgoo.com/Stock/aStock/TechChart?StockNo=8422&amp;m=dk" TargetMode="External"/><Relationship Id="rId152" Type="http://schemas.openxmlformats.org/officeDocument/2006/relationships/hyperlink" Target="https://tw.stock.yahoo.com/d/s/earning_3521.html" TargetMode="External"/><Relationship Id="rId457" Type="http://schemas.openxmlformats.org/officeDocument/2006/relationships/hyperlink" Target="http://w.wantgoo.com/Stock/aStock/TechChart?StockNo=4192&amp;m=dk" TargetMode="External"/><Relationship Id="rId664" Type="http://schemas.openxmlformats.org/officeDocument/2006/relationships/hyperlink" Target="http://jsjustweb.jihsun.com.tw/z/zc/zco/zco0/zco0.djhtm?a=1785&amp;b=1650" TargetMode="External"/><Relationship Id="rId14" Type="http://schemas.openxmlformats.org/officeDocument/2006/relationships/hyperlink" Target="https://tw.stock.yahoo.com/d/s/earning_4137.html" TargetMode="External"/><Relationship Id="rId317" Type="http://schemas.openxmlformats.org/officeDocument/2006/relationships/hyperlink" Target="http://w.wantgoo.com/Stock/aStock/TechChart?StockNo=2433&amp;m=dk" TargetMode="External"/><Relationship Id="rId524" Type="http://schemas.openxmlformats.org/officeDocument/2006/relationships/hyperlink" Target="https://tw.stock.yahoo.com/d/s/earning_6111.html" TargetMode="External"/><Relationship Id="rId98" Type="http://schemas.openxmlformats.org/officeDocument/2006/relationships/hyperlink" Target="https://tw.stock.yahoo.com/d/s/earning_1762.html" TargetMode="External"/><Relationship Id="rId163" Type="http://schemas.openxmlformats.org/officeDocument/2006/relationships/hyperlink" Target="http://w.wantgoo.com/Stock/aStock/TechChart?StockNo=3687&amp;m=dk" TargetMode="External"/><Relationship Id="rId370" Type="http://schemas.openxmlformats.org/officeDocument/2006/relationships/hyperlink" Target="https://tw.stock.yahoo.com/d/s/earning_3205.html" TargetMode="External"/><Relationship Id="rId230" Type="http://schemas.openxmlformats.org/officeDocument/2006/relationships/hyperlink" Target="https://tw.stock.yahoo.com/d/s/earning_6451.html" TargetMode="External"/><Relationship Id="rId468" Type="http://schemas.openxmlformats.org/officeDocument/2006/relationships/hyperlink" Target="https://tw.stock.yahoo.com/d/s/earning_4527.html" TargetMode="External"/><Relationship Id="rId675" Type="http://schemas.openxmlformats.org/officeDocument/2006/relationships/hyperlink" Target="http://jsjustweb.jihsun.com.tw/z/zc/zco/zco0/zco0.djhtm?a=5536&amp;b=1650" TargetMode="External"/><Relationship Id="rId25" Type="http://schemas.openxmlformats.org/officeDocument/2006/relationships/hyperlink" Target="https://tw.stock.yahoo.com/d/s/earning_9951.html" TargetMode="External"/><Relationship Id="rId328" Type="http://schemas.openxmlformats.org/officeDocument/2006/relationships/hyperlink" Target="https://tw.stock.yahoo.com/d/s/earning_2485.html" TargetMode="External"/><Relationship Id="rId535" Type="http://schemas.openxmlformats.org/officeDocument/2006/relationships/hyperlink" Target="http://w.wantgoo.com/Stock/aStock/TechChart?StockNo=6227&amp;m=dk" TargetMode="External"/><Relationship Id="rId174" Type="http://schemas.openxmlformats.org/officeDocument/2006/relationships/hyperlink" Target="https://tw.stock.yahoo.com/d/s/earning_4141.html" TargetMode="External"/><Relationship Id="rId381" Type="http://schemas.openxmlformats.org/officeDocument/2006/relationships/hyperlink" Target="http://w.wantgoo.com/Stock/aStock/TechChart?StockNo=3310&amp;m=dk" TargetMode="External"/><Relationship Id="rId602" Type="http://schemas.openxmlformats.org/officeDocument/2006/relationships/hyperlink" Target="https://tw.stock.yahoo.com/d/s/earning_8446.html" TargetMode="External"/><Relationship Id="rId241" Type="http://schemas.openxmlformats.org/officeDocument/2006/relationships/hyperlink" Target="http://w.wantgoo.com/Stock/aStock/TechChart?StockNo=8147&amp;m=dk" TargetMode="External"/><Relationship Id="rId479" Type="http://schemas.openxmlformats.org/officeDocument/2006/relationships/hyperlink" Target="http://w.wantgoo.com/Stock/aStock/TechChart?StockNo=4915&amp;m=dk" TargetMode="External"/><Relationship Id="rId36" Type="http://schemas.openxmlformats.org/officeDocument/2006/relationships/hyperlink" Target="https://tw.stock.yahoo.com/d/s/earning_3205.html" TargetMode="External"/><Relationship Id="rId339" Type="http://schemas.openxmlformats.org/officeDocument/2006/relationships/hyperlink" Target="http://w.wantgoo.com/Stock/aStock/TechChart?StockNo=2729&amp;m=dk" TargetMode="External"/><Relationship Id="rId546" Type="http://schemas.openxmlformats.org/officeDocument/2006/relationships/hyperlink" Target="https://tw.stock.yahoo.com/d/s/earning_6245.html" TargetMode="External"/><Relationship Id="rId101" Type="http://schemas.openxmlformats.org/officeDocument/2006/relationships/hyperlink" Target="http://w.wantgoo.com/Stock/aStock/TechChart?StockNo=1810&amp;m=dk" TargetMode="External"/><Relationship Id="rId185" Type="http://schemas.openxmlformats.org/officeDocument/2006/relationships/hyperlink" Target="http://w.wantgoo.com/Stock/aStock/TechChart?StockNo=4527&amp;m=dk" TargetMode="External"/><Relationship Id="rId406" Type="http://schemas.openxmlformats.org/officeDocument/2006/relationships/hyperlink" Target="https://tw.stock.yahoo.com/d/s/earning_3545.html" TargetMode="External"/><Relationship Id="rId392" Type="http://schemas.openxmlformats.org/officeDocument/2006/relationships/hyperlink" Target="https://tw.stock.yahoo.com/d/s/earning_3450.html" TargetMode="External"/><Relationship Id="rId613" Type="http://schemas.openxmlformats.org/officeDocument/2006/relationships/hyperlink" Target="http://w.wantgoo.com/Stock/aStock/TechChart?StockNo=9958&amp;m=dk" TargetMode="External"/><Relationship Id="rId252" Type="http://schemas.openxmlformats.org/officeDocument/2006/relationships/hyperlink" Target="https://tw.stock.yahoo.com/d/s/earning_9911.html" TargetMode="External"/><Relationship Id="rId47" Type="http://schemas.openxmlformats.org/officeDocument/2006/relationships/hyperlink" Target="https://tw.stock.yahoo.com/d/s/earning_5392.html" TargetMode="External"/><Relationship Id="rId112" Type="http://schemas.openxmlformats.org/officeDocument/2006/relationships/hyperlink" Target="https://tw.stock.yahoo.com/d/s/earning_2419.html" TargetMode="External"/><Relationship Id="rId557" Type="http://schemas.openxmlformats.org/officeDocument/2006/relationships/hyperlink" Target="http://w.wantgoo.com/Stock/aStock/TechChart?StockNo=6414&amp;m=dk" TargetMode="External"/><Relationship Id="rId196" Type="http://schemas.openxmlformats.org/officeDocument/2006/relationships/hyperlink" Target="https://tw.stock.yahoo.com/d/s/earning_5206.html" TargetMode="External"/><Relationship Id="rId417" Type="http://schemas.openxmlformats.org/officeDocument/2006/relationships/hyperlink" Target="http://w.wantgoo.com/Stock/aStock/TechChart?StockNo=3617&amp;m=dk" TargetMode="External"/><Relationship Id="rId624" Type="http://schemas.openxmlformats.org/officeDocument/2006/relationships/hyperlink" Target="http://norway.twsthr.info/StockHolders.aspx?stock=3573" TargetMode="External"/><Relationship Id="rId263" Type="http://schemas.openxmlformats.org/officeDocument/2006/relationships/hyperlink" Target="http://w.wantgoo.com/Stock/aStock/TechChart?StockNo=1432&amp;m=dk" TargetMode="External"/><Relationship Id="rId470" Type="http://schemas.openxmlformats.org/officeDocument/2006/relationships/hyperlink" Target="https://tw.stock.yahoo.com/d/s/earning_4529.html" TargetMode="External"/><Relationship Id="rId58" Type="http://schemas.openxmlformats.org/officeDocument/2006/relationships/hyperlink" Target="https://tw.stock.yahoo.com/d/s/earning_9951.html" TargetMode="External"/><Relationship Id="rId123" Type="http://schemas.openxmlformats.org/officeDocument/2006/relationships/hyperlink" Target="http://w.wantgoo.com/Stock/aStock/TechChart?StockNo=2702&amp;m=dk" TargetMode="External"/><Relationship Id="rId330" Type="http://schemas.openxmlformats.org/officeDocument/2006/relationships/hyperlink" Target="https://tw.stock.yahoo.com/d/s/earning_2488.html" TargetMode="External"/><Relationship Id="rId568" Type="http://schemas.openxmlformats.org/officeDocument/2006/relationships/hyperlink" Target="https://tw.stock.yahoo.com/d/s/earning_8048.html" TargetMode="External"/><Relationship Id="rId428" Type="http://schemas.openxmlformats.org/officeDocument/2006/relationships/hyperlink" Target="https://tw.stock.yahoo.com/d/s/earning_3694.html" TargetMode="External"/><Relationship Id="rId635" Type="http://schemas.openxmlformats.org/officeDocument/2006/relationships/hyperlink" Target="http://jsjustweb.jihsun.com.tw/z/zc/zco/zco0/zco0.djhtm?a=1762&amp;b=1650" TargetMode="External"/><Relationship Id="rId274" Type="http://schemas.openxmlformats.org/officeDocument/2006/relationships/hyperlink" Target="https://tw.stock.yahoo.com/d/s/earning_1566.html" TargetMode="External"/><Relationship Id="rId481" Type="http://schemas.openxmlformats.org/officeDocument/2006/relationships/hyperlink" Target="http://w.wantgoo.com/Stock/aStock/TechChart?StockNo=4919&amp;m=dk" TargetMode="External"/><Relationship Id="rId69" Type="http://schemas.openxmlformats.org/officeDocument/2006/relationships/hyperlink" Target="https://tw.stock.yahoo.com/d/s/earning_3691.html" TargetMode="External"/><Relationship Id="rId134" Type="http://schemas.openxmlformats.org/officeDocument/2006/relationships/hyperlink" Target="https://tw.stock.yahoo.com/d/s/earning_3122.html" TargetMode="External"/><Relationship Id="rId579" Type="http://schemas.openxmlformats.org/officeDocument/2006/relationships/hyperlink" Target="http://w.wantgoo.com/Stock/aStock/TechChart?StockNo=8147&amp;m=dk" TargetMode="External"/><Relationship Id="rId341" Type="http://schemas.openxmlformats.org/officeDocument/2006/relationships/hyperlink" Target="http://w.wantgoo.com/Stock/aStock/TechChart?StockNo=2926&amp;m=dk" TargetMode="External"/><Relationship Id="rId439" Type="http://schemas.openxmlformats.org/officeDocument/2006/relationships/hyperlink" Target="http://w.wantgoo.com/Stock/aStock/TechChart?StockNo=4126&amp;m=dk" TargetMode="External"/><Relationship Id="rId646" Type="http://schemas.openxmlformats.org/officeDocument/2006/relationships/hyperlink" Target="http://jsjustweb.jihsun.com.tw/z/zc/zco/zco0/zco0.djhtm?a=3028&amp;b=1650" TargetMode="External"/><Relationship Id="rId201" Type="http://schemas.openxmlformats.org/officeDocument/2006/relationships/hyperlink" Target="http://w.wantgoo.com/Stock/aStock/TechChart?StockNo=5215&amp;m=dk" TargetMode="External"/><Relationship Id="rId285" Type="http://schemas.openxmlformats.org/officeDocument/2006/relationships/hyperlink" Target="http://w.wantgoo.com/Stock/aStock/TechChart?StockNo=1730&amp;m=dk" TargetMode="External"/><Relationship Id="rId506" Type="http://schemas.openxmlformats.org/officeDocument/2006/relationships/hyperlink" Target="https://tw.stock.yahoo.com/d/s/earning_5284.html" TargetMode="External"/><Relationship Id="rId492" Type="http://schemas.openxmlformats.org/officeDocument/2006/relationships/hyperlink" Target="https://tw.stock.yahoo.com/d/s/earning_4991.html" TargetMode="External"/><Relationship Id="rId91" Type="http://schemas.openxmlformats.org/officeDocument/2006/relationships/hyperlink" Target="http://w.wantgoo.com/Stock/aStock/TechChart?StockNo=1519&amp;m=dk" TargetMode="External"/><Relationship Id="rId145" Type="http://schemas.openxmlformats.org/officeDocument/2006/relationships/hyperlink" Target="http://w.wantgoo.com/Stock/aStock/TechChart?StockNo=3325&amp;m=dk" TargetMode="External"/><Relationship Id="rId187" Type="http://schemas.openxmlformats.org/officeDocument/2006/relationships/hyperlink" Target="http://w.wantgoo.com/Stock/aStock/TechChart?StockNo=4735&amp;m=dk" TargetMode="External"/><Relationship Id="rId352" Type="http://schemas.openxmlformats.org/officeDocument/2006/relationships/hyperlink" Target="https://tw.stock.yahoo.com/d/s/earning_3078.html" TargetMode="External"/><Relationship Id="rId394" Type="http://schemas.openxmlformats.org/officeDocument/2006/relationships/hyperlink" Target="https://tw.stock.yahoo.com/d/s/earning_3454.html" TargetMode="External"/><Relationship Id="rId408" Type="http://schemas.openxmlformats.org/officeDocument/2006/relationships/hyperlink" Target="https://tw.stock.yahoo.com/d/s/earning_3548.html" TargetMode="External"/><Relationship Id="rId615" Type="http://schemas.openxmlformats.org/officeDocument/2006/relationships/hyperlink" Target="http://norway.twsthr.info/StockHolders.aspx?stock=1338" TargetMode="External"/><Relationship Id="rId212" Type="http://schemas.openxmlformats.org/officeDocument/2006/relationships/hyperlink" Target="https://tw.stock.yahoo.com/d/s/earning_5487.html" TargetMode="External"/><Relationship Id="rId254" Type="http://schemas.openxmlformats.org/officeDocument/2006/relationships/hyperlink" Target="https://tw.stock.yahoo.com/d/s/earning_1203.html" TargetMode="External"/><Relationship Id="rId657" Type="http://schemas.openxmlformats.org/officeDocument/2006/relationships/hyperlink" Target="http://jsjustweb.jihsun.com.tw/z/zc/zco/zco0/zco0.djhtm?a=8081&amp;b=1650" TargetMode="External"/><Relationship Id="rId49" Type="http://schemas.openxmlformats.org/officeDocument/2006/relationships/hyperlink" Target="https://tw.stock.yahoo.com/d/s/earning_6139.html" TargetMode="External"/><Relationship Id="rId114" Type="http://schemas.openxmlformats.org/officeDocument/2006/relationships/hyperlink" Target="https://tw.stock.yahoo.com/d/s/earning_2423.html" TargetMode="External"/><Relationship Id="rId296" Type="http://schemas.openxmlformats.org/officeDocument/2006/relationships/hyperlink" Target="https://tw.stock.yahoo.com/d/s/earning_1795.html" TargetMode="External"/><Relationship Id="rId461" Type="http://schemas.openxmlformats.org/officeDocument/2006/relationships/hyperlink" Target="http://w.wantgoo.com/Stock/aStock/TechChart?StockNo=4426&amp;m=dk" TargetMode="External"/><Relationship Id="rId517" Type="http://schemas.openxmlformats.org/officeDocument/2006/relationships/hyperlink" Target="http://w.wantgoo.com/Stock/aStock/TechChart?StockNo=5395&amp;m=dk" TargetMode="External"/><Relationship Id="rId559" Type="http://schemas.openxmlformats.org/officeDocument/2006/relationships/hyperlink" Target="http://w.wantgoo.com/Stock/aStock/TechChart?StockNo=6415&amp;m=dk" TargetMode="External"/><Relationship Id="rId60" Type="http://schemas.openxmlformats.org/officeDocument/2006/relationships/hyperlink" Target="https://tw.stock.yahoo.com/d/s/earning_2231.html" TargetMode="External"/><Relationship Id="rId156" Type="http://schemas.openxmlformats.org/officeDocument/2006/relationships/hyperlink" Target="https://tw.stock.yahoo.com/d/s/earning_3548.html" TargetMode="External"/><Relationship Id="rId198" Type="http://schemas.openxmlformats.org/officeDocument/2006/relationships/hyperlink" Target="https://tw.stock.yahoo.com/d/s/earning_5212.html" TargetMode="External"/><Relationship Id="rId321" Type="http://schemas.openxmlformats.org/officeDocument/2006/relationships/hyperlink" Target="http://w.wantgoo.com/Stock/aStock/TechChart?StockNo=2442&amp;m=dk" TargetMode="External"/><Relationship Id="rId363" Type="http://schemas.openxmlformats.org/officeDocument/2006/relationships/hyperlink" Target="http://w.wantgoo.com/Stock/aStock/TechChart?StockNo=3131&amp;m=dk" TargetMode="External"/><Relationship Id="rId419" Type="http://schemas.openxmlformats.org/officeDocument/2006/relationships/hyperlink" Target="http://w.wantgoo.com/Stock/aStock/TechChart?StockNo=3662&amp;m=dk" TargetMode="External"/><Relationship Id="rId570" Type="http://schemas.openxmlformats.org/officeDocument/2006/relationships/hyperlink" Target="https://tw.stock.yahoo.com/d/s/earning_8066.html" TargetMode="External"/><Relationship Id="rId626" Type="http://schemas.openxmlformats.org/officeDocument/2006/relationships/hyperlink" Target="http://norway.twsthr.info/StockHolders.aspx?stock=3611" TargetMode="External"/><Relationship Id="rId223" Type="http://schemas.openxmlformats.org/officeDocument/2006/relationships/hyperlink" Target="http://w.wantgoo.com/Stock/aStock/TechChart?StockNo=6245&amp;m=dk" TargetMode="External"/><Relationship Id="rId430" Type="http://schemas.openxmlformats.org/officeDocument/2006/relationships/hyperlink" Target="https://tw.stock.yahoo.com/d/s/earning_4105.html" TargetMode="External"/><Relationship Id="rId668" Type="http://schemas.openxmlformats.org/officeDocument/2006/relationships/hyperlink" Target="http://jsjustweb.jihsun.com.tw/z/zc/zco/zco0/zco0.djhtm?a=3558&amp;b=1650" TargetMode="External"/><Relationship Id="rId18" Type="http://schemas.openxmlformats.org/officeDocument/2006/relationships/hyperlink" Target="https://tw.stock.yahoo.com/d/s/earning_6235.html" TargetMode="External"/><Relationship Id="rId265" Type="http://schemas.openxmlformats.org/officeDocument/2006/relationships/hyperlink" Target="http://w.wantgoo.com/Stock/aStock/TechChart?StockNo=1442&amp;m=dk" TargetMode="External"/><Relationship Id="rId472" Type="http://schemas.openxmlformats.org/officeDocument/2006/relationships/hyperlink" Target="https://tw.stock.yahoo.com/d/s/earning_4743.html" TargetMode="External"/><Relationship Id="rId528" Type="http://schemas.openxmlformats.org/officeDocument/2006/relationships/hyperlink" Target="https://tw.stock.yahoo.com/d/s/earning_6171.html" TargetMode="External"/><Relationship Id="rId125" Type="http://schemas.openxmlformats.org/officeDocument/2006/relationships/hyperlink" Target="http://w.wantgoo.com/Stock/aStock/TechChart?StockNo=2916&amp;m=dk" TargetMode="External"/><Relationship Id="rId167" Type="http://schemas.openxmlformats.org/officeDocument/2006/relationships/hyperlink" Target="http://w.wantgoo.com/Stock/aStock/TechChart?StockNo=4123&amp;m=dk" TargetMode="External"/><Relationship Id="rId332" Type="http://schemas.openxmlformats.org/officeDocument/2006/relationships/hyperlink" Target="https://tw.stock.yahoo.com/d/s/earning_2496.html" TargetMode="External"/><Relationship Id="rId374" Type="http://schemas.openxmlformats.org/officeDocument/2006/relationships/hyperlink" Target="https://tw.stock.yahoo.com/d/s/earning_3234.html" TargetMode="External"/><Relationship Id="rId581" Type="http://schemas.openxmlformats.org/officeDocument/2006/relationships/hyperlink" Target="http://w.wantgoo.com/Stock/aStock/TechChart?StockNo=8176&amp;m=dk" TargetMode="External"/><Relationship Id="rId71" Type="http://schemas.openxmlformats.org/officeDocument/2006/relationships/hyperlink" Target="https://tw.stock.yahoo.com/d/s/earning_4139.html" TargetMode="External"/><Relationship Id="rId234" Type="http://schemas.openxmlformats.org/officeDocument/2006/relationships/hyperlink" Target="https://tw.stock.yahoo.com/d/s/earning_8040.html" TargetMode="External"/><Relationship Id="rId637" Type="http://schemas.openxmlformats.org/officeDocument/2006/relationships/hyperlink" Target="http://jsjustweb.jihsun.com.tw/z/zc/zco/zco0/zco0.djhtm?a=2015&amp;b=1650" TargetMode="External"/><Relationship Id="rId679" Type="http://schemas.openxmlformats.org/officeDocument/2006/relationships/hyperlink" Target="http://jsjustweb.jihsun.com.tw/z/zc/zco/zco0/zco0.djhtm?a=8091&amp;b=1650" TargetMode="External"/><Relationship Id="rId2" Type="http://schemas.openxmlformats.org/officeDocument/2006/relationships/hyperlink" Target="https://tw.stock.yahoo.com/d/s/earning_1339.html" TargetMode="External"/><Relationship Id="rId29" Type="http://schemas.openxmlformats.org/officeDocument/2006/relationships/hyperlink" Target="https://tw.stock.yahoo.com/d/s/earning_2373.html" TargetMode="External"/><Relationship Id="rId276" Type="http://schemas.openxmlformats.org/officeDocument/2006/relationships/hyperlink" Target="https://tw.stock.yahoo.com/d/s/earning_1570.html" TargetMode="External"/><Relationship Id="rId441" Type="http://schemas.openxmlformats.org/officeDocument/2006/relationships/hyperlink" Target="http://w.wantgoo.com/Stock/aStock/TechChart?StockNo=4129&amp;m=dk" TargetMode="External"/><Relationship Id="rId483" Type="http://schemas.openxmlformats.org/officeDocument/2006/relationships/hyperlink" Target="http://w.wantgoo.com/Stock/aStock/TechChart?StockNo=4947&amp;m=dk" TargetMode="External"/><Relationship Id="rId539" Type="http://schemas.openxmlformats.org/officeDocument/2006/relationships/hyperlink" Target="http://w.wantgoo.com/Stock/aStock/TechChart?StockNo=6235&amp;m=dk" TargetMode="External"/><Relationship Id="rId40" Type="http://schemas.openxmlformats.org/officeDocument/2006/relationships/hyperlink" Target="https://tw.stock.yahoo.com/d/s/earning_4109.html" TargetMode="External"/><Relationship Id="rId136" Type="http://schemas.openxmlformats.org/officeDocument/2006/relationships/hyperlink" Target="https://tw.stock.yahoo.com/d/s/earning_3131.html" TargetMode="External"/><Relationship Id="rId178" Type="http://schemas.openxmlformats.org/officeDocument/2006/relationships/hyperlink" Target="https://tw.stock.yahoo.com/d/s/earning_4161.html" TargetMode="External"/><Relationship Id="rId301" Type="http://schemas.openxmlformats.org/officeDocument/2006/relationships/hyperlink" Target="http://w.wantgoo.com/Stock/aStock/TechChart?StockNo=2228&amp;m=dk" TargetMode="External"/><Relationship Id="rId343" Type="http://schemas.openxmlformats.org/officeDocument/2006/relationships/hyperlink" Target="http://w.wantgoo.com/Stock/aStock/TechChart?StockNo=3004&amp;m=dk" TargetMode="External"/><Relationship Id="rId550" Type="http://schemas.openxmlformats.org/officeDocument/2006/relationships/hyperlink" Target="https://tw.stock.yahoo.com/d/s/earning_6294.html" TargetMode="External"/><Relationship Id="rId82" Type="http://schemas.openxmlformats.org/officeDocument/2006/relationships/hyperlink" Target="https://tw.stock.yahoo.com/d/s/earning_1339.html" TargetMode="External"/><Relationship Id="rId203" Type="http://schemas.openxmlformats.org/officeDocument/2006/relationships/hyperlink" Target="http://w.wantgoo.com/Stock/aStock/TechChart?StockNo=5264&amp;m=dk" TargetMode="External"/><Relationship Id="rId385" Type="http://schemas.openxmlformats.org/officeDocument/2006/relationships/hyperlink" Target="http://w.wantgoo.com/Stock/aStock/TechChart?StockNo=3373&amp;m=dk" TargetMode="External"/><Relationship Id="rId592" Type="http://schemas.openxmlformats.org/officeDocument/2006/relationships/hyperlink" Target="https://tw.stock.yahoo.com/d/s/earning_8416.html" TargetMode="External"/><Relationship Id="rId606" Type="http://schemas.openxmlformats.org/officeDocument/2006/relationships/hyperlink" Target="https://tw.stock.yahoo.com/d/s/earning_9945.html" TargetMode="External"/><Relationship Id="rId648" Type="http://schemas.openxmlformats.org/officeDocument/2006/relationships/hyperlink" Target="http://jsjustweb.jihsun.com.tw/z/zc/zco/zco0/zco0.djhtm?a=3617&amp;b=1650" TargetMode="External"/><Relationship Id="rId245" Type="http://schemas.openxmlformats.org/officeDocument/2006/relationships/hyperlink" Target="http://w.wantgoo.com/Stock/aStock/TechChart?StockNo=8409&amp;m=dk" TargetMode="External"/><Relationship Id="rId287" Type="http://schemas.openxmlformats.org/officeDocument/2006/relationships/hyperlink" Target="http://w.wantgoo.com/Stock/aStock/TechChart?StockNo=1752&amp;m=dk" TargetMode="External"/><Relationship Id="rId410" Type="http://schemas.openxmlformats.org/officeDocument/2006/relationships/hyperlink" Target="https://tw.stock.yahoo.com/d/s/earning_3552.html" TargetMode="External"/><Relationship Id="rId452" Type="http://schemas.openxmlformats.org/officeDocument/2006/relationships/hyperlink" Target="https://tw.stock.yahoo.com/d/s/earning_4171.html" TargetMode="External"/><Relationship Id="rId494" Type="http://schemas.openxmlformats.org/officeDocument/2006/relationships/hyperlink" Target="https://tw.stock.yahoo.com/d/s/earning_5202.html" TargetMode="External"/><Relationship Id="rId508" Type="http://schemas.openxmlformats.org/officeDocument/2006/relationships/hyperlink" Target="https://tw.stock.yahoo.com/d/s/earning_5306.html" TargetMode="External"/><Relationship Id="rId105" Type="http://schemas.openxmlformats.org/officeDocument/2006/relationships/hyperlink" Target="http://w.wantgoo.com/Stock/aStock/TechChart?StockNo=2233&amp;m=dk" TargetMode="External"/><Relationship Id="rId147" Type="http://schemas.openxmlformats.org/officeDocument/2006/relationships/hyperlink" Target="http://w.wantgoo.com/Stock/aStock/TechChart?StockNo=3376&amp;m=dk" TargetMode="External"/><Relationship Id="rId312" Type="http://schemas.openxmlformats.org/officeDocument/2006/relationships/hyperlink" Target="https://tw.stock.yahoo.com/d/s/earning_2419.html" TargetMode="External"/><Relationship Id="rId354" Type="http://schemas.openxmlformats.org/officeDocument/2006/relationships/hyperlink" Target="https://tw.stock.yahoo.com/d/s/earning_3088.html" TargetMode="External"/><Relationship Id="rId51" Type="http://schemas.openxmlformats.org/officeDocument/2006/relationships/hyperlink" Target="https://tw.stock.yahoo.com/d/s/earning_6244.html" TargetMode="External"/><Relationship Id="rId93" Type="http://schemas.openxmlformats.org/officeDocument/2006/relationships/hyperlink" Target="http://w.wantgoo.com/Stock/aStock/TechChart?StockNo=1618&amp;m=dk" TargetMode="External"/><Relationship Id="rId189" Type="http://schemas.openxmlformats.org/officeDocument/2006/relationships/hyperlink" Target="http://w.wantgoo.com/Stock/aStock/TechChart?StockNo=4746&amp;m=dk" TargetMode="External"/><Relationship Id="rId396" Type="http://schemas.openxmlformats.org/officeDocument/2006/relationships/hyperlink" Target="https://tw.stock.yahoo.com/d/s/earning_3479.html" TargetMode="External"/><Relationship Id="rId561" Type="http://schemas.openxmlformats.org/officeDocument/2006/relationships/hyperlink" Target="http://w.wantgoo.com/Stock/aStock/TechChart?StockNo=6426&amp;m=dk" TargetMode="External"/><Relationship Id="rId617" Type="http://schemas.openxmlformats.org/officeDocument/2006/relationships/hyperlink" Target="http://norway.twsthr.info/StockHolders.aspx?stock=1737" TargetMode="External"/><Relationship Id="rId659" Type="http://schemas.openxmlformats.org/officeDocument/2006/relationships/hyperlink" Target="http://jsjustweb.jihsun.com.tw/z/zc/zco/zco0/zco0.djhtm?a=8210&amp;b=1650" TargetMode="External"/><Relationship Id="rId214" Type="http://schemas.openxmlformats.org/officeDocument/2006/relationships/hyperlink" Target="https://tw.stock.yahoo.com/d/s/earning_5490.html" TargetMode="External"/><Relationship Id="rId256" Type="http://schemas.openxmlformats.org/officeDocument/2006/relationships/hyperlink" Target="https://tw.stock.yahoo.com/d/s/earning_1234.html" TargetMode="External"/><Relationship Id="rId298" Type="http://schemas.openxmlformats.org/officeDocument/2006/relationships/hyperlink" Target="https://tw.stock.yahoo.com/d/s/earning_2221.html" TargetMode="External"/><Relationship Id="rId421" Type="http://schemas.openxmlformats.org/officeDocument/2006/relationships/hyperlink" Target="http://w.wantgoo.com/Stock/aStock/TechChart?StockNo=3665&amp;m=dk" TargetMode="External"/><Relationship Id="rId463" Type="http://schemas.openxmlformats.org/officeDocument/2006/relationships/hyperlink" Target="http://w.wantgoo.com/Stock/aStock/TechChart?StockNo=4502&amp;m=dk" TargetMode="External"/><Relationship Id="rId519" Type="http://schemas.openxmlformats.org/officeDocument/2006/relationships/hyperlink" Target="http://w.wantgoo.com/Stock/aStock/TechChart?StockNo=5443&amp;m=dk" TargetMode="External"/><Relationship Id="rId670" Type="http://schemas.openxmlformats.org/officeDocument/2006/relationships/hyperlink" Target="http://jsjustweb.jihsun.com.tw/z/zc/zco/zco0/zco0.djhtm?a=4114&amp;b=1650" TargetMode="External"/><Relationship Id="rId116" Type="http://schemas.openxmlformats.org/officeDocument/2006/relationships/hyperlink" Target="https://tw.stock.yahoo.com/d/s/earning_2465.html" TargetMode="External"/><Relationship Id="rId158" Type="http://schemas.openxmlformats.org/officeDocument/2006/relationships/hyperlink" Target="https://tw.stock.yahoo.com/d/s/earning_3552.html" TargetMode="External"/><Relationship Id="rId323" Type="http://schemas.openxmlformats.org/officeDocument/2006/relationships/hyperlink" Target="http://w.wantgoo.com/Stock/aStock/TechChart?StockNo=2464&amp;m=dk" TargetMode="External"/><Relationship Id="rId530" Type="http://schemas.openxmlformats.org/officeDocument/2006/relationships/hyperlink" Target="https://tw.stock.yahoo.com/d/s/earning_6184.html" TargetMode="External"/><Relationship Id="rId20" Type="http://schemas.openxmlformats.org/officeDocument/2006/relationships/hyperlink" Target="https://tw.stock.yahoo.com/d/s/earning_6264.html" TargetMode="External"/><Relationship Id="rId62" Type="http://schemas.openxmlformats.org/officeDocument/2006/relationships/hyperlink" Target="https://tw.stock.yahoo.com/d/s/earning_2433.html" TargetMode="External"/><Relationship Id="rId365" Type="http://schemas.openxmlformats.org/officeDocument/2006/relationships/hyperlink" Target="http://w.wantgoo.com/Stock/aStock/TechChart?StockNo=3141&amp;m=dk" TargetMode="External"/><Relationship Id="rId572" Type="http://schemas.openxmlformats.org/officeDocument/2006/relationships/hyperlink" Target="https://tw.stock.yahoo.com/d/s/earning_8077.html" TargetMode="External"/><Relationship Id="rId628" Type="http://schemas.openxmlformats.org/officeDocument/2006/relationships/hyperlink" Target="http://norway.twsthr.info/StockHolders.aspx?stock=4924" TargetMode="External"/><Relationship Id="rId225" Type="http://schemas.openxmlformats.org/officeDocument/2006/relationships/hyperlink" Target="http://w.wantgoo.com/Stock/aStock/TechChart?StockNo=6279&amp;m=dk" TargetMode="External"/><Relationship Id="rId267" Type="http://schemas.openxmlformats.org/officeDocument/2006/relationships/hyperlink" Target="http://w.wantgoo.com/Stock/aStock/TechChart?StockNo=1476&amp;m=dk" TargetMode="External"/><Relationship Id="rId432" Type="http://schemas.openxmlformats.org/officeDocument/2006/relationships/hyperlink" Target="https://tw.stock.yahoo.com/d/s/earning_4109.html" TargetMode="External"/><Relationship Id="rId474" Type="http://schemas.openxmlformats.org/officeDocument/2006/relationships/hyperlink" Target="https://tw.stock.yahoo.com/d/s/earning_4746.html" TargetMode="External"/><Relationship Id="rId127" Type="http://schemas.openxmlformats.org/officeDocument/2006/relationships/hyperlink" Target="http://w.wantgoo.com/Stock/aStock/TechChart?StockNo=2926&amp;m=dk" TargetMode="External"/><Relationship Id="rId681" Type="http://schemas.openxmlformats.org/officeDocument/2006/relationships/hyperlink" Target="http://jsjustweb.jihsun.com.tw/z/zc/zco/zco0/zco0.djhtm?a=8436&amp;b=1650" TargetMode="External"/><Relationship Id="rId31" Type="http://schemas.openxmlformats.org/officeDocument/2006/relationships/hyperlink" Target="https://tw.stock.yahoo.com/d/s/earning_2425.html" TargetMode="External"/><Relationship Id="rId73" Type="http://schemas.openxmlformats.org/officeDocument/2006/relationships/hyperlink" Target="https://tw.stock.yahoo.com/d/s/earning_4965.html" TargetMode="External"/><Relationship Id="rId169" Type="http://schemas.openxmlformats.org/officeDocument/2006/relationships/hyperlink" Target="http://w.wantgoo.com/Stock/aStock/TechChart?StockNo=4129&amp;m=dk" TargetMode="External"/><Relationship Id="rId334" Type="http://schemas.openxmlformats.org/officeDocument/2006/relationships/hyperlink" Target="https://tw.stock.yahoo.com/d/s/earning_2637.html" TargetMode="External"/><Relationship Id="rId376" Type="http://schemas.openxmlformats.org/officeDocument/2006/relationships/hyperlink" Target="https://tw.stock.yahoo.com/d/s/earning_3285.html" TargetMode="External"/><Relationship Id="rId541" Type="http://schemas.openxmlformats.org/officeDocument/2006/relationships/hyperlink" Target="http://w.wantgoo.com/Stock/aStock/TechChart?StockNo=6238&amp;m=dk" TargetMode="External"/><Relationship Id="rId583" Type="http://schemas.openxmlformats.org/officeDocument/2006/relationships/hyperlink" Target="http://w.wantgoo.com/Stock/aStock/TechChart?StockNo=8266&amp;m=dk" TargetMode="External"/><Relationship Id="rId639" Type="http://schemas.openxmlformats.org/officeDocument/2006/relationships/hyperlink" Target="http://jsjustweb.jihsun.com.tw/z/zc/zco/zco0/zco0.djhtm?a=2351&amp;b=1650" TargetMode="External"/><Relationship Id="rId4" Type="http://schemas.openxmlformats.org/officeDocument/2006/relationships/hyperlink" Target="https://tw.stock.yahoo.com/d/s/earning_1529.html" TargetMode="External"/><Relationship Id="rId180" Type="http://schemas.openxmlformats.org/officeDocument/2006/relationships/hyperlink" Target="https://tw.stock.yahoo.com/d/s/earning_4164.html" TargetMode="External"/><Relationship Id="rId236" Type="http://schemas.openxmlformats.org/officeDocument/2006/relationships/hyperlink" Target="https://tw.stock.yahoo.com/d/s/earning_8077.html" TargetMode="External"/><Relationship Id="rId278" Type="http://schemas.openxmlformats.org/officeDocument/2006/relationships/hyperlink" Target="https://tw.stock.yahoo.com/d/s/earning_1603.html" TargetMode="External"/><Relationship Id="rId401" Type="http://schemas.openxmlformats.org/officeDocument/2006/relationships/hyperlink" Target="http://w.wantgoo.com/Stock/aStock/TechChart?StockNo=3521&amp;m=dk" TargetMode="External"/><Relationship Id="rId443" Type="http://schemas.openxmlformats.org/officeDocument/2006/relationships/hyperlink" Target="http://w.wantgoo.com/Stock/aStock/TechChart?StockNo=4130&amp;m=dk" TargetMode="External"/><Relationship Id="rId650" Type="http://schemas.openxmlformats.org/officeDocument/2006/relationships/hyperlink" Target="http://jsjustweb.jihsun.com.tw/z/zc/zco/zco0/zco0.djhtm?a=3661&amp;b=1650" TargetMode="External"/><Relationship Id="rId303" Type="http://schemas.openxmlformats.org/officeDocument/2006/relationships/hyperlink" Target="http://w.wantgoo.com/Stock/aStock/TechChart?StockNo=2313&amp;m=dk" TargetMode="External"/><Relationship Id="rId485" Type="http://schemas.openxmlformats.org/officeDocument/2006/relationships/hyperlink" Target="http://w.wantgoo.com/Stock/aStock/TechChart?StockNo=4965&amp;m=dk" TargetMode="External"/><Relationship Id="rId42" Type="http://schemas.openxmlformats.org/officeDocument/2006/relationships/hyperlink" Target="https://tw.stock.yahoo.com/d/s/earning_4137.html" TargetMode="External"/><Relationship Id="rId84" Type="http://schemas.openxmlformats.org/officeDocument/2006/relationships/hyperlink" Target="https://tw.stock.yahoo.com/d/s/earning_1442.html" TargetMode="External"/><Relationship Id="rId138" Type="http://schemas.openxmlformats.org/officeDocument/2006/relationships/hyperlink" Target="https://tw.stock.yahoo.com/d/s/earning_3169.html" TargetMode="External"/><Relationship Id="rId345" Type="http://schemas.openxmlformats.org/officeDocument/2006/relationships/hyperlink" Target="http://w.wantgoo.com/Stock/aStock/TechChart?StockNo=3027&amp;m=dk" TargetMode="External"/><Relationship Id="rId387" Type="http://schemas.openxmlformats.org/officeDocument/2006/relationships/hyperlink" Target="http://w.wantgoo.com/Stock/aStock/TechChart?StockNo=3376&amp;m=dk" TargetMode="External"/><Relationship Id="rId510" Type="http://schemas.openxmlformats.org/officeDocument/2006/relationships/hyperlink" Target="https://tw.stock.yahoo.com/d/s/earning_5364.html" TargetMode="External"/><Relationship Id="rId552" Type="http://schemas.openxmlformats.org/officeDocument/2006/relationships/hyperlink" Target="https://tw.stock.yahoo.com/d/s/earning_6404.html" TargetMode="External"/><Relationship Id="rId594" Type="http://schemas.openxmlformats.org/officeDocument/2006/relationships/hyperlink" Target="https://tw.stock.yahoo.com/d/s/earning_8421.html" TargetMode="External"/><Relationship Id="rId608" Type="http://schemas.openxmlformats.org/officeDocument/2006/relationships/hyperlink" Target="https://tw.stock.yahoo.com/d/s/earning_9946.html" TargetMode="External"/><Relationship Id="rId191" Type="http://schemas.openxmlformats.org/officeDocument/2006/relationships/hyperlink" Target="http://w.wantgoo.com/Stock/aStock/TechChart?StockNo=4747&amp;m=dk" TargetMode="External"/><Relationship Id="rId205" Type="http://schemas.openxmlformats.org/officeDocument/2006/relationships/hyperlink" Target="http://w.wantgoo.com/Stock/aStock/TechChart?StockNo=5301&amp;m=dk" TargetMode="External"/><Relationship Id="rId247" Type="http://schemas.openxmlformats.org/officeDocument/2006/relationships/hyperlink" Target="http://w.wantgoo.com/Stock/aStock/TechChart?StockNo=8416&amp;m=dk" TargetMode="External"/><Relationship Id="rId412" Type="http://schemas.openxmlformats.org/officeDocument/2006/relationships/hyperlink" Target="https://tw.stock.yahoo.com/d/s/earning_3587.html" TargetMode="External"/><Relationship Id="rId107" Type="http://schemas.openxmlformats.org/officeDocument/2006/relationships/hyperlink" Target="http://w.wantgoo.com/Stock/aStock/TechChart?StockNo=2305&amp;m=dk" TargetMode="External"/><Relationship Id="rId289" Type="http://schemas.openxmlformats.org/officeDocument/2006/relationships/hyperlink" Target="http://w.wantgoo.com/Stock/aStock/TechChart?StockNo=1762&amp;m=dk" TargetMode="External"/><Relationship Id="rId454" Type="http://schemas.openxmlformats.org/officeDocument/2006/relationships/hyperlink" Target="https://tw.stock.yahoo.com/d/s/earning_4180.html" TargetMode="External"/><Relationship Id="rId496" Type="http://schemas.openxmlformats.org/officeDocument/2006/relationships/hyperlink" Target="https://tw.stock.yahoo.com/d/s/earning_5206.html" TargetMode="External"/><Relationship Id="rId661" Type="http://schemas.openxmlformats.org/officeDocument/2006/relationships/hyperlink" Target="http://jsjustweb.jihsun.com.tw/z/zc/zco/zco0/zco0.djhtm?a=9905&amp;b=1650" TargetMode="External"/><Relationship Id="rId11" Type="http://schemas.openxmlformats.org/officeDocument/2006/relationships/hyperlink" Target="https://tw.stock.yahoo.com/d/s/earning_3131.html" TargetMode="External"/><Relationship Id="rId53" Type="http://schemas.openxmlformats.org/officeDocument/2006/relationships/hyperlink" Target="https://tw.stock.yahoo.com/d/s/earning_6411.html" TargetMode="External"/><Relationship Id="rId149" Type="http://schemas.openxmlformats.org/officeDocument/2006/relationships/hyperlink" Target="http://w.wantgoo.com/Stock/aStock/TechChart?StockNo=3416&amp;m=dk" TargetMode="External"/><Relationship Id="rId314" Type="http://schemas.openxmlformats.org/officeDocument/2006/relationships/hyperlink" Target="https://tw.stock.yahoo.com/d/s/earning_2427.html" TargetMode="External"/><Relationship Id="rId356" Type="http://schemas.openxmlformats.org/officeDocument/2006/relationships/hyperlink" Target="https://tw.stock.yahoo.com/d/s/earning_3094.html" TargetMode="External"/><Relationship Id="rId398" Type="http://schemas.openxmlformats.org/officeDocument/2006/relationships/hyperlink" Target="https://tw.stock.yahoo.com/d/s/earning_3499.html" TargetMode="External"/><Relationship Id="rId521" Type="http://schemas.openxmlformats.org/officeDocument/2006/relationships/hyperlink" Target="http://w.wantgoo.com/Stock/aStock/TechChart?StockNo=5490&amp;m=dk" TargetMode="External"/><Relationship Id="rId563" Type="http://schemas.openxmlformats.org/officeDocument/2006/relationships/hyperlink" Target="http://w.wantgoo.com/Stock/aStock/TechChart?StockNo=8016&amp;m=dk" TargetMode="External"/><Relationship Id="rId619" Type="http://schemas.openxmlformats.org/officeDocument/2006/relationships/hyperlink" Target="http://norway.twsthr.info/StockHolders.aspx?stock=2491" TargetMode="External"/><Relationship Id="rId95" Type="http://schemas.openxmlformats.org/officeDocument/2006/relationships/hyperlink" Target="http://w.wantgoo.com/Stock/aStock/TechChart?StockNo=1707&amp;m=dk" TargetMode="External"/><Relationship Id="rId160" Type="http://schemas.openxmlformats.org/officeDocument/2006/relationships/hyperlink" Target="https://tw.stock.yahoo.com/d/s/earning_3652.html" TargetMode="External"/><Relationship Id="rId216" Type="http://schemas.openxmlformats.org/officeDocument/2006/relationships/hyperlink" Target="https://tw.stock.yahoo.com/d/s/earning_6144.html" TargetMode="External"/><Relationship Id="rId423" Type="http://schemas.openxmlformats.org/officeDocument/2006/relationships/hyperlink" Target="http://w.wantgoo.com/Stock/aStock/TechChart?StockNo=3684&amp;m=dk" TargetMode="External"/><Relationship Id="rId258" Type="http://schemas.openxmlformats.org/officeDocument/2006/relationships/hyperlink" Target="https://tw.stock.yahoo.com/d/s/earning_1258.html" TargetMode="External"/><Relationship Id="rId465" Type="http://schemas.openxmlformats.org/officeDocument/2006/relationships/hyperlink" Target="http://w.wantgoo.com/Stock/aStock/TechChart?StockNo=4503&amp;m=dk" TargetMode="External"/><Relationship Id="rId630" Type="http://schemas.openxmlformats.org/officeDocument/2006/relationships/hyperlink" Target="http://jsjustweb.jihsun.com.tw/z/zc/zco/zco0/zco0.djhtm?a=1323&amp;b=1650" TargetMode="External"/><Relationship Id="rId672" Type="http://schemas.openxmlformats.org/officeDocument/2006/relationships/hyperlink" Target="http://jsjustweb.jihsun.com.tw/z/zc/zco/zco0/zco0.djhtm?a=4736&amp;b=1650" TargetMode="External"/><Relationship Id="rId22" Type="http://schemas.openxmlformats.org/officeDocument/2006/relationships/hyperlink" Target="https://tw.stock.yahoo.com/d/s/earning_8091.html" TargetMode="External"/><Relationship Id="rId64" Type="http://schemas.openxmlformats.org/officeDocument/2006/relationships/hyperlink" Target="https://tw.stock.yahoo.com/d/s/earning_2485.html" TargetMode="External"/><Relationship Id="rId118" Type="http://schemas.openxmlformats.org/officeDocument/2006/relationships/hyperlink" Target="https://tw.stock.yahoo.com/d/s/earning_2495.html" TargetMode="External"/><Relationship Id="rId325" Type="http://schemas.openxmlformats.org/officeDocument/2006/relationships/hyperlink" Target="http://w.wantgoo.com/Stock/aStock/TechChart?StockNo=2465&amp;m=dk" TargetMode="External"/><Relationship Id="rId367" Type="http://schemas.openxmlformats.org/officeDocument/2006/relationships/hyperlink" Target="http://w.wantgoo.com/Stock/aStock/TechChart?StockNo=3152&amp;m=dk" TargetMode="External"/><Relationship Id="rId532" Type="http://schemas.openxmlformats.org/officeDocument/2006/relationships/hyperlink" Target="https://tw.stock.yahoo.com/d/s/earning_6217.html" TargetMode="External"/><Relationship Id="rId574" Type="http://schemas.openxmlformats.org/officeDocument/2006/relationships/hyperlink" Target="https://tw.stock.yahoo.com/d/s/earning_8091.html" TargetMode="External"/><Relationship Id="rId171" Type="http://schemas.openxmlformats.org/officeDocument/2006/relationships/hyperlink" Target="http://w.wantgoo.com/Stock/aStock/TechChart?StockNo=4137&amp;m=dk" TargetMode="External"/><Relationship Id="rId227" Type="http://schemas.openxmlformats.org/officeDocument/2006/relationships/hyperlink" Target="http://w.wantgoo.com/Stock/aStock/TechChart?StockNo=6404&amp;m=dk" TargetMode="External"/><Relationship Id="rId269" Type="http://schemas.openxmlformats.org/officeDocument/2006/relationships/hyperlink" Target="http://w.wantgoo.com/Stock/aStock/TechChart?StockNo=1527&amp;m=dk" TargetMode="External"/><Relationship Id="rId434" Type="http://schemas.openxmlformats.org/officeDocument/2006/relationships/hyperlink" Target="https://tw.stock.yahoo.com/d/s/earning_4114.html" TargetMode="External"/><Relationship Id="rId476" Type="http://schemas.openxmlformats.org/officeDocument/2006/relationships/hyperlink" Target="https://tw.stock.yahoo.com/d/s/earning_4747.html" TargetMode="External"/><Relationship Id="rId641" Type="http://schemas.openxmlformats.org/officeDocument/2006/relationships/hyperlink" Target="http://jsjustweb.jihsun.com.tw/z/zc/zco/zco0/zco0.djhtm?a=2428&amp;b=1650" TargetMode="External"/><Relationship Id="rId33" Type="http://schemas.openxmlformats.org/officeDocument/2006/relationships/hyperlink" Target="https://tw.stock.yahoo.com/d/s/earning_2464.html" TargetMode="External"/><Relationship Id="rId129" Type="http://schemas.openxmlformats.org/officeDocument/2006/relationships/hyperlink" Target="http://w.wantgoo.com/Stock/aStock/TechChart?StockNo=2929&amp;m=dk" TargetMode="External"/><Relationship Id="rId280" Type="http://schemas.openxmlformats.org/officeDocument/2006/relationships/hyperlink" Target="https://tw.stock.yahoo.com/d/s/earning_1618.html" TargetMode="External"/><Relationship Id="rId336" Type="http://schemas.openxmlformats.org/officeDocument/2006/relationships/hyperlink" Target="https://tw.stock.yahoo.com/d/s/earning_2702.html" TargetMode="External"/><Relationship Id="rId501" Type="http://schemas.openxmlformats.org/officeDocument/2006/relationships/hyperlink" Target="http://w.wantgoo.com/Stock/aStock/TechChart?StockNo=5225&amp;m=dk" TargetMode="External"/><Relationship Id="rId543" Type="http://schemas.openxmlformats.org/officeDocument/2006/relationships/hyperlink" Target="http://w.wantgoo.com/Stock/aStock/TechChart?StockNo=6239&amp;m=dk" TargetMode="External"/><Relationship Id="rId75" Type="http://schemas.openxmlformats.org/officeDocument/2006/relationships/hyperlink" Target="https://tw.stock.yahoo.com/d/s/earning_5315.html" TargetMode="External"/><Relationship Id="rId140" Type="http://schemas.openxmlformats.org/officeDocument/2006/relationships/hyperlink" Target="https://tw.stock.yahoo.com/d/s/earning_3205.html" TargetMode="External"/><Relationship Id="rId182" Type="http://schemas.openxmlformats.org/officeDocument/2006/relationships/hyperlink" Target="https://tw.stock.yahoo.com/d/s/earning_4426.html" TargetMode="External"/><Relationship Id="rId378" Type="http://schemas.openxmlformats.org/officeDocument/2006/relationships/hyperlink" Target="https://tw.stock.yahoo.com/d/s/earning_3293.html" TargetMode="External"/><Relationship Id="rId403" Type="http://schemas.openxmlformats.org/officeDocument/2006/relationships/hyperlink" Target="http://w.wantgoo.com/Stock/aStock/TechChart?StockNo=3529&amp;m=dk" TargetMode="External"/><Relationship Id="rId585" Type="http://schemas.openxmlformats.org/officeDocument/2006/relationships/hyperlink" Target="http://w.wantgoo.com/Stock/aStock/TechChart?StockNo=8341&amp;m=dk" TargetMode="External"/><Relationship Id="rId6" Type="http://schemas.openxmlformats.org/officeDocument/2006/relationships/hyperlink" Target="https://tw.stock.yahoo.com/d/s/earning_1762.html" TargetMode="External"/><Relationship Id="rId238" Type="http://schemas.openxmlformats.org/officeDocument/2006/relationships/hyperlink" Target="https://tw.stock.yahoo.com/d/s/earning_8091.html" TargetMode="External"/><Relationship Id="rId445" Type="http://schemas.openxmlformats.org/officeDocument/2006/relationships/hyperlink" Target="http://w.wantgoo.com/Stock/aStock/TechChart?StockNo=4137&amp;m=dk" TargetMode="External"/><Relationship Id="rId487" Type="http://schemas.openxmlformats.org/officeDocument/2006/relationships/hyperlink" Target="http://w.wantgoo.com/Stock/aStock/TechChart?StockNo=4966&amp;m=dk" TargetMode="External"/><Relationship Id="rId610" Type="http://schemas.openxmlformats.org/officeDocument/2006/relationships/hyperlink" Target="https://tw.stock.yahoo.com/d/s/earning_9951.html" TargetMode="External"/><Relationship Id="rId652" Type="http://schemas.openxmlformats.org/officeDocument/2006/relationships/hyperlink" Target="http://jsjustweb.jihsun.com.tw/z/zc/zco/zco0/zco0.djhtm?a=4934&amp;b=1650" TargetMode="External"/><Relationship Id="rId291" Type="http://schemas.openxmlformats.org/officeDocument/2006/relationships/hyperlink" Target="http://w.wantgoo.com/Stock/aStock/TechChart?StockNo=1777&amp;m=dk" TargetMode="External"/><Relationship Id="rId305" Type="http://schemas.openxmlformats.org/officeDocument/2006/relationships/hyperlink" Target="http://w.wantgoo.com/Stock/aStock/TechChart?StockNo=2373&amp;m=dk" TargetMode="External"/><Relationship Id="rId347" Type="http://schemas.openxmlformats.org/officeDocument/2006/relationships/hyperlink" Target="http://w.wantgoo.com/Stock/aStock/TechChart?StockNo=3032&amp;m=dk" TargetMode="External"/><Relationship Id="rId512" Type="http://schemas.openxmlformats.org/officeDocument/2006/relationships/hyperlink" Target="https://tw.stock.yahoo.com/d/s/earning_5388.html" TargetMode="External"/><Relationship Id="rId44" Type="http://schemas.openxmlformats.org/officeDocument/2006/relationships/hyperlink" Target="https://tw.stock.yahoo.com/d/s/earning_4420.html" TargetMode="External"/><Relationship Id="rId86" Type="http://schemas.openxmlformats.org/officeDocument/2006/relationships/hyperlink" Target="https://tw.stock.yahoo.com/d/s/earning_1464.html" TargetMode="External"/><Relationship Id="rId151" Type="http://schemas.openxmlformats.org/officeDocument/2006/relationships/hyperlink" Target="http://w.wantgoo.com/Stock/aStock/TechChart?StockNo=3490&amp;m=dk" TargetMode="External"/><Relationship Id="rId389" Type="http://schemas.openxmlformats.org/officeDocument/2006/relationships/hyperlink" Target="http://w.wantgoo.com/Stock/aStock/TechChart?StockNo=3428&amp;m=dk" TargetMode="External"/><Relationship Id="rId554" Type="http://schemas.openxmlformats.org/officeDocument/2006/relationships/hyperlink" Target="https://tw.stock.yahoo.com/d/s/earning_6411.html" TargetMode="External"/><Relationship Id="rId596" Type="http://schemas.openxmlformats.org/officeDocument/2006/relationships/hyperlink" Target="https://tw.stock.yahoo.com/d/s/earning_8422.html" TargetMode="External"/><Relationship Id="rId193" Type="http://schemas.openxmlformats.org/officeDocument/2006/relationships/hyperlink" Target="http://w.wantgoo.com/Stock/aStock/TechChart?StockNo=4979&amp;m=dk" TargetMode="External"/><Relationship Id="rId207" Type="http://schemas.openxmlformats.org/officeDocument/2006/relationships/hyperlink" Target="http://w.wantgoo.com/Stock/aStock/TechChart?StockNo=5395&amp;m=dk" TargetMode="External"/><Relationship Id="rId249" Type="http://schemas.openxmlformats.org/officeDocument/2006/relationships/hyperlink" Target="http://w.wantgoo.com/Stock/aStock/TechChart?StockNo=8446&amp;m=dk" TargetMode="External"/><Relationship Id="rId414" Type="http://schemas.openxmlformats.org/officeDocument/2006/relationships/hyperlink" Target="https://tw.stock.yahoo.com/d/s/earning_3593.html" TargetMode="External"/><Relationship Id="rId456" Type="http://schemas.openxmlformats.org/officeDocument/2006/relationships/hyperlink" Target="https://tw.stock.yahoo.com/d/s/earning_4192.html" TargetMode="External"/><Relationship Id="rId498" Type="http://schemas.openxmlformats.org/officeDocument/2006/relationships/hyperlink" Target="https://tw.stock.yahoo.com/d/s/earning_5213.html" TargetMode="External"/><Relationship Id="rId621" Type="http://schemas.openxmlformats.org/officeDocument/2006/relationships/hyperlink" Target="http://norway.twsthr.info/StockHolders.aspx?stock=3131" TargetMode="External"/><Relationship Id="rId663" Type="http://schemas.openxmlformats.org/officeDocument/2006/relationships/hyperlink" Target="http://jsjustweb.jihsun.com.tw/z/zc/zco/zco0/zco0.djhtm?a=9937&amp;b=1650" TargetMode="External"/><Relationship Id="rId13" Type="http://schemas.openxmlformats.org/officeDocument/2006/relationships/hyperlink" Target="https://tw.stock.yahoo.com/d/s/earning_4109.html" TargetMode="External"/><Relationship Id="rId109" Type="http://schemas.openxmlformats.org/officeDocument/2006/relationships/hyperlink" Target="http://w.wantgoo.com/Stock/aStock/TechChart?StockNo=2362&amp;m=dk" TargetMode="External"/><Relationship Id="rId260" Type="http://schemas.openxmlformats.org/officeDocument/2006/relationships/hyperlink" Target="https://tw.stock.yahoo.com/d/s/earning_1339.html" TargetMode="External"/><Relationship Id="rId316" Type="http://schemas.openxmlformats.org/officeDocument/2006/relationships/hyperlink" Target="https://tw.stock.yahoo.com/d/s/earning_2433.html" TargetMode="External"/><Relationship Id="rId523" Type="http://schemas.openxmlformats.org/officeDocument/2006/relationships/hyperlink" Target="http://w.wantgoo.com/Stock/aStock/TechChart?StockNo=6103&amp;m=dk" TargetMode="External"/><Relationship Id="rId55" Type="http://schemas.openxmlformats.org/officeDocument/2006/relationships/hyperlink" Target="https://tw.stock.yahoo.com/d/s/earning_8091.html" TargetMode="External"/><Relationship Id="rId97" Type="http://schemas.openxmlformats.org/officeDocument/2006/relationships/hyperlink" Target="http://w.wantgoo.com/Stock/aStock/TechChart?StockNo=1736&amp;m=dk" TargetMode="External"/><Relationship Id="rId120" Type="http://schemas.openxmlformats.org/officeDocument/2006/relationships/hyperlink" Target="https://tw.stock.yahoo.com/d/s/earning_2496.html" TargetMode="External"/><Relationship Id="rId358" Type="http://schemas.openxmlformats.org/officeDocument/2006/relationships/hyperlink" Target="https://tw.stock.yahoo.com/d/s/earning_3105.html" TargetMode="External"/><Relationship Id="rId565" Type="http://schemas.openxmlformats.org/officeDocument/2006/relationships/hyperlink" Target="http://w.wantgoo.com/Stock/aStock/TechChart?StockNo=8040&amp;m=dk" TargetMode="External"/><Relationship Id="rId162" Type="http://schemas.openxmlformats.org/officeDocument/2006/relationships/hyperlink" Target="https://tw.stock.yahoo.com/d/s/earning_3687.html" TargetMode="External"/><Relationship Id="rId218" Type="http://schemas.openxmlformats.org/officeDocument/2006/relationships/hyperlink" Target="https://tw.stock.yahoo.com/d/s/earning_6214.html" TargetMode="External"/><Relationship Id="rId425" Type="http://schemas.openxmlformats.org/officeDocument/2006/relationships/hyperlink" Target="http://w.wantgoo.com/Stock/aStock/TechChart?StockNo=3687&amp;m=dk" TargetMode="External"/><Relationship Id="rId467" Type="http://schemas.openxmlformats.org/officeDocument/2006/relationships/hyperlink" Target="http://w.wantgoo.com/Stock/aStock/TechChart?StockNo=4526&amp;m=dk" TargetMode="External"/><Relationship Id="rId632" Type="http://schemas.openxmlformats.org/officeDocument/2006/relationships/hyperlink" Target="http://jsjustweb.jihsun.com.tw/z/zc/zco/zco0/zco0.djhtm?a=1708&amp;b=1650" TargetMode="External"/><Relationship Id="rId271" Type="http://schemas.openxmlformats.org/officeDocument/2006/relationships/hyperlink" Target="http://w.wantgoo.com/Stock/aStock/TechChart?StockNo=1536&amp;m=dk" TargetMode="External"/><Relationship Id="rId674" Type="http://schemas.openxmlformats.org/officeDocument/2006/relationships/hyperlink" Target="http://jsjustweb.jihsun.com.tw/z/zc/zco/zco0/zco0.djhtm?a=5287&amp;b=1650" TargetMode="External"/><Relationship Id="rId24" Type="http://schemas.openxmlformats.org/officeDocument/2006/relationships/hyperlink" Target="https://tw.stock.yahoo.com/d/s/earning_9906.html" TargetMode="External"/><Relationship Id="rId66" Type="http://schemas.openxmlformats.org/officeDocument/2006/relationships/hyperlink" Target="https://tw.stock.yahoo.com/d/s/earning_3105.html" TargetMode="External"/><Relationship Id="rId131" Type="http://schemas.openxmlformats.org/officeDocument/2006/relationships/hyperlink" Target="http://w.wantgoo.com/Stock/aStock/TechChart?StockNo=3004&amp;m=dk" TargetMode="External"/><Relationship Id="rId327" Type="http://schemas.openxmlformats.org/officeDocument/2006/relationships/hyperlink" Target="http://w.wantgoo.com/Stock/aStock/TechChart?StockNo=2474&amp;m=dk" TargetMode="External"/><Relationship Id="rId369" Type="http://schemas.openxmlformats.org/officeDocument/2006/relationships/hyperlink" Target="http://w.wantgoo.com/Stock/aStock/TechChart?StockNo=3169&amp;m=dk" TargetMode="External"/><Relationship Id="rId534" Type="http://schemas.openxmlformats.org/officeDocument/2006/relationships/hyperlink" Target="https://tw.stock.yahoo.com/d/s/earning_6227.html" TargetMode="External"/><Relationship Id="rId576" Type="http://schemas.openxmlformats.org/officeDocument/2006/relationships/hyperlink" Target="https://tw.stock.yahoo.com/d/s/earning_8114.html" TargetMode="External"/><Relationship Id="rId173" Type="http://schemas.openxmlformats.org/officeDocument/2006/relationships/hyperlink" Target="http://w.wantgoo.com/Stock/aStock/TechChart?StockNo=4139&amp;m=dk" TargetMode="External"/><Relationship Id="rId229" Type="http://schemas.openxmlformats.org/officeDocument/2006/relationships/hyperlink" Target="http://w.wantgoo.com/Stock/aStock/TechChart?StockNo=6422&amp;m=dk" TargetMode="External"/><Relationship Id="rId380" Type="http://schemas.openxmlformats.org/officeDocument/2006/relationships/hyperlink" Target="https://tw.stock.yahoo.com/d/s/earning_3310.html" TargetMode="External"/><Relationship Id="rId436" Type="http://schemas.openxmlformats.org/officeDocument/2006/relationships/hyperlink" Target="https://tw.stock.yahoo.com/d/s/earning_4123.html" TargetMode="External"/><Relationship Id="rId601" Type="http://schemas.openxmlformats.org/officeDocument/2006/relationships/hyperlink" Target="http://w.wantgoo.com/Stock/aStock/TechChart?StockNo=8436&amp;m=dk" TargetMode="External"/><Relationship Id="rId643" Type="http://schemas.openxmlformats.org/officeDocument/2006/relationships/hyperlink" Target="http://jsjustweb.jihsun.com.tw/z/zc/zco/zco0/zco0.djhtm?a=2497&amp;b=1650" TargetMode="External"/><Relationship Id="rId240" Type="http://schemas.openxmlformats.org/officeDocument/2006/relationships/hyperlink" Target="https://tw.stock.yahoo.com/d/s/earning_8147.html" TargetMode="External"/><Relationship Id="rId478" Type="http://schemas.openxmlformats.org/officeDocument/2006/relationships/hyperlink" Target="https://tw.stock.yahoo.com/d/s/earning_4915.html" TargetMode="External"/><Relationship Id="rId35" Type="http://schemas.openxmlformats.org/officeDocument/2006/relationships/hyperlink" Target="https://tw.stock.yahoo.com/d/s/earning_2496.html" TargetMode="External"/><Relationship Id="rId77" Type="http://schemas.openxmlformats.org/officeDocument/2006/relationships/hyperlink" Target="https://tw.stock.yahoo.com/d/s/earning_6235.html" TargetMode="External"/><Relationship Id="rId100" Type="http://schemas.openxmlformats.org/officeDocument/2006/relationships/hyperlink" Target="https://tw.stock.yahoo.com/d/s/earning_1810.html" TargetMode="External"/><Relationship Id="rId282" Type="http://schemas.openxmlformats.org/officeDocument/2006/relationships/hyperlink" Target="https://tw.stock.yahoo.com/d/s/earning_1707.html" TargetMode="External"/><Relationship Id="rId338" Type="http://schemas.openxmlformats.org/officeDocument/2006/relationships/hyperlink" Target="https://tw.stock.yahoo.com/d/s/earning_2729.html" TargetMode="External"/><Relationship Id="rId503" Type="http://schemas.openxmlformats.org/officeDocument/2006/relationships/hyperlink" Target="http://w.wantgoo.com/Stock/aStock/TechChart?StockNo=5230&amp;m=dk" TargetMode="External"/><Relationship Id="rId545" Type="http://schemas.openxmlformats.org/officeDocument/2006/relationships/hyperlink" Target="http://w.wantgoo.com/Stock/aStock/TechChart?StockNo=6244&amp;m=dk" TargetMode="External"/><Relationship Id="rId587" Type="http://schemas.openxmlformats.org/officeDocument/2006/relationships/hyperlink" Target="http://w.wantgoo.com/Stock/aStock/TechChart?StockNo=8406&amp;m=dk" TargetMode="External"/><Relationship Id="rId8" Type="http://schemas.openxmlformats.org/officeDocument/2006/relationships/hyperlink" Target="https://tw.stock.yahoo.com/d/s/earning_2425.html" TargetMode="External"/><Relationship Id="rId142" Type="http://schemas.openxmlformats.org/officeDocument/2006/relationships/hyperlink" Target="https://tw.stock.yahoo.com/d/s/earning_3234.html" TargetMode="External"/><Relationship Id="rId184" Type="http://schemas.openxmlformats.org/officeDocument/2006/relationships/hyperlink" Target="https://tw.stock.yahoo.com/d/s/earning_4527.html" TargetMode="External"/><Relationship Id="rId391" Type="http://schemas.openxmlformats.org/officeDocument/2006/relationships/hyperlink" Target="http://w.wantgoo.com/Stock/aStock/TechChart?StockNo=3443&amp;m=dk" TargetMode="External"/><Relationship Id="rId405" Type="http://schemas.openxmlformats.org/officeDocument/2006/relationships/hyperlink" Target="http://w.wantgoo.com/Stock/aStock/TechChart?StockNo=3535&amp;m=dk" TargetMode="External"/><Relationship Id="rId447" Type="http://schemas.openxmlformats.org/officeDocument/2006/relationships/hyperlink" Target="http://w.wantgoo.com/Stock/aStock/TechChart?StockNo=4139&amp;m=dk" TargetMode="External"/><Relationship Id="rId612" Type="http://schemas.openxmlformats.org/officeDocument/2006/relationships/hyperlink" Target="https://tw.stock.yahoo.com/d/s/earning_9958.html" TargetMode="External"/><Relationship Id="rId251" Type="http://schemas.openxmlformats.org/officeDocument/2006/relationships/hyperlink" Target="http://w.wantgoo.com/Stock/aStock/TechChart?StockNo=8924&amp;m=dk" TargetMode="External"/><Relationship Id="rId489" Type="http://schemas.openxmlformats.org/officeDocument/2006/relationships/hyperlink" Target="http://w.wantgoo.com/Stock/aStock/TechChart?StockNo=4979&amp;m=dk" TargetMode="External"/><Relationship Id="rId654" Type="http://schemas.openxmlformats.org/officeDocument/2006/relationships/hyperlink" Target="http://jsjustweb.jihsun.com.tw/z/zc/zco/zco0/zco0.djhtm?a=6139&amp;b=1650" TargetMode="External"/><Relationship Id="rId46" Type="http://schemas.openxmlformats.org/officeDocument/2006/relationships/hyperlink" Target="https://tw.stock.yahoo.com/d/s/earning_4965.html" TargetMode="External"/><Relationship Id="rId293" Type="http://schemas.openxmlformats.org/officeDocument/2006/relationships/hyperlink" Target="http://w.wantgoo.com/Stock/aStock/TechChart?StockNo=1783&amp;m=dk" TargetMode="External"/><Relationship Id="rId307" Type="http://schemas.openxmlformats.org/officeDocument/2006/relationships/hyperlink" Target="http://w.wantgoo.com/Stock/aStock/TechChart?StockNo=2379&amp;m=dk" TargetMode="External"/><Relationship Id="rId349" Type="http://schemas.openxmlformats.org/officeDocument/2006/relationships/hyperlink" Target="http://w.wantgoo.com/Stock/aStock/TechChart?StockNo=3046&amp;m=dk" TargetMode="External"/><Relationship Id="rId514" Type="http://schemas.openxmlformats.org/officeDocument/2006/relationships/hyperlink" Target="https://tw.stock.yahoo.com/d/s/earning_5392.html" TargetMode="External"/><Relationship Id="rId556" Type="http://schemas.openxmlformats.org/officeDocument/2006/relationships/hyperlink" Target="https://tw.stock.yahoo.com/d/s/earning_6414.html" TargetMode="External"/><Relationship Id="rId88" Type="http://schemas.openxmlformats.org/officeDocument/2006/relationships/hyperlink" Target="https://tw.stock.yahoo.com/d/s/earning_1512.html" TargetMode="External"/><Relationship Id="rId111" Type="http://schemas.openxmlformats.org/officeDocument/2006/relationships/hyperlink" Target="http://w.wantgoo.com/Stock/aStock/TechChart?StockNo=2379&amp;m=dk" TargetMode="External"/><Relationship Id="rId153" Type="http://schemas.openxmlformats.org/officeDocument/2006/relationships/hyperlink" Target="http://w.wantgoo.com/Stock/aStock/TechChart?StockNo=3521&amp;m=dk" TargetMode="External"/><Relationship Id="rId195" Type="http://schemas.openxmlformats.org/officeDocument/2006/relationships/hyperlink" Target="http://w.wantgoo.com/Stock/aStock/TechChart?StockNo=5202&amp;m=dk" TargetMode="External"/><Relationship Id="rId209" Type="http://schemas.openxmlformats.org/officeDocument/2006/relationships/hyperlink" Target="http://w.wantgoo.com/Stock/aStock/TechChart?StockNo=5403&amp;m=dk" TargetMode="External"/><Relationship Id="rId360" Type="http://schemas.openxmlformats.org/officeDocument/2006/relationships/hyperlink" Target="https://tw.stock.yahoo.com/d/s/earning_3122.html" TargetMode="External"/><Relationship Id="rId416" Type="http://schemas.openxmlformats.org/officeDocument/2006/relationships/hyperlink" Target="https://tw.stock.yahoo.com/d/s/earning_3617.html" TargetMode="External"/><Relationship Id="rId598" Type="http://schemas.openxmlformats.org/officeDocument/2006/relationships/hyperlink" Target="https://tw.stock.yahoo.com/d/s/earning_8433.html" TargetMode="External"/><Relationship Id="rId220" Type="http://schemas.openxmlformats.org/officeDocument/2006/relationships/hyperlink" Target="https://tw.stock.yahoo.com/d/s/earning_6237.html" TargetMode="External"/><Relationship Id="rId458" Type="http://schemas.openxmlformats.org/officeDocument/2006/relationships/hyperlink" Target="https://tw.stock.yahoo.com/d/s/earning_4420.html" TargetMode="External"/><Relationship Id="rId623" Type="http://schemas.openxmlformats.org/officeDocument/2006/relationships/hyperlink" Target="http://norway.twsthr.info/StockHolders.aspx?stock=3558" TargetMode="External"/><Relationship Id="rId665" Type="http://schemas.openxmlformats.org/officeDocument/2006/relationships/hyperlink" Target="http://jsjustweb.jihsun.com.tw/z/zc/zco/zco0/zco0.djhtm?a=2926&amp;b=1650" TargetMode="External"/><Relationship Id="rId15" Type="http://schemas.openxmlformats.org/officeDocument/2006/relationships/hyperlink" Target="https://tw.stock.yahoo.com/d/s/earning_4415.html" TargetMode="External"/><Relationship Id="rId57" Type="http://schemas.openxmlformats.org/officeDocument/2006/relationships/hyperlink" Target="https://tw.stock.yahoo.com/d/s/earning_8433.html" TargetMode="External"/><Relationship Id="rId262" Type="http://schemas.openxmlformats.org/officeDocument/2006/relationships/hyperlink" Target="https://tw.stock.yahoo.com/d/s/earning_1432.html" TargetMode="External"/><Relationship Id="rId318" Type="http://schemas.openxmlformats.org/officeDocument/2006/relationships/hyperlink" Target="https://tw.stock.yahoo.com/d/s/earning_2438.html" TargetMode="External"/><Relationship Id="rId525" Type="http://schemas.openxmlformats.org/officeDocument/2006/relationships/hyperlink" Target="http://w.wantgoo.com/Stock/aStock/TechChart?StockNo=6111&amp;m=dk" TargetMode="External"/><Relationship Id="rId567" Type="http://schemas.openxmlformats.org/officeDocument/2006/relationships/hyperlink" Target="http://w.wantgoo.com/Stock/aStock/TechChart?StockNo=8042&amp;m=dk" TargetMode="External"/><Relationship Id="rId99" Type="http://schemas.openxmlformats.org/officeDocument/2006/relationships/hyperlink" Target="http://w.wantgoo.com/Stock/aStock/TechChart?StockNo=1762&amp;m=dk" TargetMode="External"/><Relationship Id="rId122" Type="http://schemas.openxmlformats.org/officeDocument/2006/relationships/hyperlink" Target="https://tw.stock.yahoo.com/d/s/earning_2702.html" TargetMode="External"/><Relationship Id="rId164" Type="http://schemas.openxmlformats.org/officeDocument/2006/relationships/hyperlink" Target="https://tw.stock.yahoo.com/d/s/earning_4109.html" TargetMode="External"/><Relationship Id="rId371" Type="http://schemas.openxmlformats.org/officeDocument/2006/relationships/hyperlink" Target="http://w.wantgoo.com/Stock/aStock/TechChart?StockNo=3205&amp;m=dk" TargetMode="External"/><Relationship Id="rId427" Type="http://schemas.openxmlformats.org/officeDocument/2006/relationships/hyperlink" Target="http://w.wantgoo.com/Stock/aStock/TechChart?StockNo=3691&amp;m=dk" TargetMode="External"/><Relationship Id="rId469" Type="http://schemas.openxmlformats.org/officeDocument/2006/relationships/hyperlink" Target="http://w.wantgoo.com/Stock/aStock/TechChart?StockNo=4527&amp;m=dk" TargetMode="External"/><Relationship Id="rId634" Type="http://schemas.openxmlformats.org/officeDocument/2006/relationships/hyperlink" Target="http://jsjustweb.jihsun.com.tw/z/zc/zco/zco0/zco0.djhtm?a=1720&amp;b=1650" TargetMode="External"/><Relationship Id="rId676" Type="http://schemas.openxmlformats.org/officeDocument/2006/relationships/hyperlink" Target="http://jsjustweb.jihsun.com.tw/z/zc/zco/zco0/zco0.djhtm?a=6231&amp;b=1650" TargetMode="External"/><Relationship Id="rId26" Type="http://schemas.openxmlformats.org/officeDocument/2006/relationships/hyperlink" Target="https://tw.stock.yahoo.com/d/s/earning_1529.html" TargetMode="External"/><Relationship Id="rId231" Type="http://schemas.openxmlformats.org/officeDocument/2006/relationships/hyperlink" Target="http://w.wantgoo.com/Stock/aStock/TechChart?StockNo=6451&amp;m=dk" TargetMode="External"/><Relationship Id="rId273" Type="http://schemas.openxmlformats.org/officeDocument/2006/relationships/hyperlink" Target="http://w.wantgoo.com/Stock/aStock/TechChart?StockNo=1565&amp;m=dk" TargetMode="External"/><Relationship Id="rId329" Type="http://schemas.openxmlformats.org/officeDocument/2006/relationships/hyperlink" Target="http://w.wantgoo.com/Stock/aStock/TechChart?StockNo=2485&amp;m=dk" TargetMode="External"/><Relationship Id="rId480" Type="http://schemas.openxmlformats.org/officeDocument/2006/relationships/hyperlink" Target="https://tw.stock.yahoo.com/d/s/earning_4919.html" TargetMode="External"/><Relationship Id="rId536" Type="http://schemas.openxmlformats.org/officeDocument/2006/relationships/hyperlink" Target="https://tw.stock.yahoo.com/d/s/earning_6233.html" TargetMode="External"/><Relationship Id="rId68" Type="http://schemas.openxmlformats.org/officeDocument/2006/relationships/hyperlink" Target="https://tw.stock.yahoo.com/d/s/earning_3552.html" TargetMode="External"/><Relationship Id="rId133" Type="http://schemas.openxmlformats.org/officeDocument/2006/relationships/hyperlink" Target="http://w.wantgoo.com/Stock/aStock/TechChart?StockNo=3078&amp;m=dk" TargetMode="External"/><Relationship Id="rId175" Type="http://schemas.openxmlformats.org/officeDocument/2006/relationships/hyperlink" Target="http://w.wantgoo.com/Stock/aStock/TechChart?StockNo=4141&amp;m=dk" TargetMode="External"/><Relationship Id="rId340" Type="http://schemas.openxmlformats.org/officeDocument/2006/relationships/hyperlink" Target="https://tw.stock.yahoo.com/d/s/earning_2926.html" TargetMode="External"/><Relationship Id="rId578" Type="http://schemas.openxmlformats.org/officeDocument/2006/relationships/hyperlink" Target="https://tw.stock.yahoo.com/d/s/earning_8147.html" TargetMode="External"/><Relationship Id="rId200" Type="http://schemas.openxmlformats.org/officeDocument/2006/relationships/hyperlink" Target="https://tw.stock.yahoo.com/d/s/earning_5215.html" TargetMode="External"/><Relationship Id="rId382" Type="http://schemas.openxmlformats.org/officeDocument/2006/relationships/hyperlink" Target="https://tw.stock.yahoo.com/d/s/earning_3325.html" TargetMode="External"/><Relationship Id="rId438" Type="http://schemas.openxmlformats.org/officeDocument/2006/relationships/hyperlink" Target="https://tw.stock.yahoo.com/d/s/earning_4126.html" TargetMode="External"/><Relationship Id="rId603" Type="http://schemas.openxmlformats.org/officeDocument/2006/relationships/hyperlink" Target="http://w.wantgoo.com/Stock/aStock/TechChart?StockNo=8446&amp;m=dk" TargetMode="External"/><Relationship Id="rId645" Type="http://schemas.openxmlformats.org/officeDocument/2006/relationships/hyperlink" Target="http://jsjustweb.jihsun.com.tw/z/zc/zco/zco0/zco0.djhtm?a=3010&amp;b=1650" TargetMode="External"/><Relationship Id="rId242" Type="http://schemas.openxmlformats.org/officeDocument/2006/relationships/hyperlink" Target="https://tw.stock.yahoo.com/d/s/earning_8176.html" TargetMode="External"/><Relationship Id="rId284" Type="http://schemas.openxmlformats.org/officeDocument/2006/relationships/hyperlink" Target="https://tw.stock.yahoo.com/d/s/earning_1730.html" TargetMode="External"/><Relationship Id="rId491" Type="http://schemas.openxmlformats.org/officeDocument/2006/relationships/hyperlink" Target="http://w.wantgoo.com/Stock/aStock/TechChart?StockNo=4984&amp;m=dk" TargetMode="External"/><Relationship Id="rId505" Type="http://schemas.openxmlformats.org/officeDocument/2006/relationships/hyperlink" Target="http://w.wantgoo.com/Stock/aStock/TechChart?StockNo=5269&amp;m=dk" TargetMode="External"/><Relationship Id="rId37" Type="http://schemas.openxmlformats.org/officeDocument/2006/relationships/hyperlink" Target="https://tw.stock.yahoo.com/d/s/earning_3226.html" TargetMode="External"/><Relationship Id="rId79" Type="http://schemas.openxmlformats.org/officeDocument/2006/relationships/hyperlink" Target="https://tw.stock.yahoo.com/d/s/earning_6411.html" TargetMode="External"/><Relationship Id="rId102" Type="http://schemas.openxmlformats.org/officeDocument/2006/relationships/hyperlink" Target="https://tw.stock.yahoo.com/d/s/earning_2221.html" TargetMode="External"/><Relationship Id="rId144" Type="http://schemas.openxmlformats.org/officeDocument/2006/relationships/hyperlink" Target="https://tw.stock.yahoo.com/d/s/earning_3325.html" TargetMode="External"/><Relationship Id="rId547" Type="http://schemas.openxmlformats.org/officeDocument/2006/relationships/hyperlink" Target="http://w.wantgoo.com/Stock/aStock/TechChart?StockNo=6245&amp;m=dk" TargetMode="External"/><Relationship Id="rId589" Type="http://schemas.openxmlformats.org/officeDocument/2006/relationships/hyperlink" Target="http://w.wantgoo.com/Stock/aStock/TechChart?StockNo=8409&amp;m=dk" TargetMode="External"/><Relationship Id="rId90" Type="http://schemas.openxmlformats.org/officeDocument/2006/relationships/hyperlink" Target="https://tw.stock.yahoo.com/d/s/earning_1519.html" TargetMode="External"/><Relationship Id="rId186" Type="http://schemas.openxmlformats.org/officeDocument/2006/relationships/hyperlink" Target="https://tw.stock.yahoo.com/d/s/earning_4735.html" TargetMode="External"/><Relationship Id="rId351" Type="http://schemas.openxmlformats.org/officeDocument/2006/relationships/hyperlink" Target="http://w.wantgoo.com/Stock/aStock/TechChart?StockNo=3050&amp;m=dk" TargetMode="External"/><Relationship Id="rId393" Type="http://schemas.openxmlformats.org/officeDocument/2006/relationships/hyperlink" Target="http://w.wantgoo.com/Stock/aStock/TechChart?StockNo=3450&amp;m=dk" TargetMode="External"/><Relationship Id="rId407" Type="http://schemas.openxmlformats.org/officeDocument/2006/relationships/hyperlink" Target="http://w.wantgoo.com/Stock/aStock/TechChart?StockNo=3545&amp;m=dk" TargetMode="External"/><Relationship Id="rId449" Type="http://schemas.openxmlformats.org/officeDocument/2006/relationships/hyperlink" Target="http://w.wantgoo.com/Stock/aStock/TechChart?StockNo=4153&amp;m=dk" TargetMode="External"/><Relationship Id="rId614" Type="http://schemas.openxmlformats.org/officeDocument/2006/relationships/hyperlink" Target="http://norway.twsthr.info/StockHolders.aspx?stock=1310" TargetMode="External"/><Relationship Id="rId656" Type="http://schemas.openxmlformats.org/officeDocument/2006/relationships/hyperlink" Target="http://jsjustweb.jihsun.com.tw/z/zc/zco/zco0/zco0.djhtm?a=6442&amp;b=1650" TargetMode="External"/><Relationship Id="rId211" Type="http://schemas.openxmlformats.org/officeDocument/2006/relationships/hyperlink" Target="http://w.wantgoo.com/Stock/aStock/TechChart?StockNo=5410&amp;m=dk" TargetMode="External"/><Relationship Id="rId253" Type="http://schemas.openxmlformats.org/officeDocument/2006/relationships/hyperlink" Target="http://w.wantgoo.com/Stock/aStock/TechChart?StockNo=9911&amp;m=dk" TargetMode="External"/><Relationship Id="rId295" Type="http://schemas.openxmlformats.org/officeDocument/2006/relationships/hyperlink" Target="http://w.wantgoo.com/Stock/aStock/TechChart?StockNo=1786&amp;m=dk" TargetMode="External"/><Relationship Id="rId309" Type="http://schemas.openxmlformats.org/officeDocument/2006/relationships/hyperlink" Target="http://w.wantgoo.com/Stock/aStock/TechChart?StockNo=2406&amp;m=dk" TargetMode="External"/><Relationship Id="rId460" Type="http://schemas.openxmlformats.org/officeDocument/2006/relationships/hyperlink" Target="https://tw.stock.yahoo.com/d/s/earning_4426.html" TargetMode="External"/><Relationship Id="rId516" Type="http://schemas.openxmlformats.org/officeDocument/2006/relationships/hyperlink" Target="https://tw.stock.yahoo.com/d/s/earning_5395.html" TargetMode="External"/><Relationship Id="rId48" Type="http://schemas.openxmlformats.org/officeDocument/2006/relationships/hyperlink" Target="https://tw.stock.yahoo.com/d/s/earning_6103.html" TargetMode="External"/><Relationship Id="rId113" Type="http://schemas.openxmlformats.org/officeDocument/2006/relationships/hyperlink" Target="http://w.wantgoo.com/Stock/aStock/TechChart?StockNo=2419&amp;m=dk" TargetMode="External"/><Relationship Id="rId320" Type="http://schemas.openxmlformats.org/officeDocument/2006/relationships/hyperlink" Target="https://tw.stock.yahoo.com/d/s/earning_2442.html" TargetMode="External"/><Relationship Id="rId558" Type="http://schemas.openxmlformats.org/officeDocument/2006/relationships/hyperlink" Target="https://tw.stock.yahoo.com/d/s/earning_6415.html" TargetMode="External"/><Relationship Id="rId155" Type="http://schemas.openxmlformats.org/officeDocument/2006/relationships/hyperlink" Target="http://w.wantgoo.com/Stock/aStock/TechChart?StockNo=3529&amp;m=dk" TargetMode="External"/><Relationship Id="rId197" Type="http://schemas.openxmlformats.org/officeDocument/2006/relationships/hyperlink" Target="http://w.wantgoo.com/Stock/aStock/TechChart?StockNo=5206&amp;m=dk" TargetMode="External"/><Relationship Id="rId362" Type="http://schemas.openxmlformats.org/officeDocument/2006/relationships/hyperlink" Target="https://tw.stock.yahoo.com/d/s/earning_3131.html" TargetMode="External"/><Relationship Id="rId418" Type="http://schemas.openxmlformats.org/officeDocument/2006/relationships/hyperlink" Target="https://tw.stock.yahoo.com/d/s/earning_3662.html" TargetMode="External"/><Relationship Id="rId625" Type="http://schemas.openxmlformats.org/officeDocument/2006/relationships/hyperlink" Target="http://norway.twsthr.info/StockHolders.aspx?stock=3596" TargetMode="External"/><Relationship Id="rId222" Type="http://schemas.openxmlformats.org/officeDocument/2006/relationships/hyperlink" Target="https://tw.stock.yahoo.com/d/s/earning_6245.html" TargetMode="External"/><Relationship Id="rId264" Type="http://schemas.openxmlformats.org/officeDocument/2006/relationships/hyperlink" Target="https://tw.stock.yahoo.com/d/s/earning_1442.html" TargetMode="External"/><Relationship Id="rId471" Type="http://schemas.openxmlformats.org/officeDocument/2006/relationships/hyperlink" Target="http://w.wantgoo.com/Stock/aStock/TechChart?StockNo=4529&amp;m=dk" TargetMode="External"/><Relationship Id="rId667" Type="http://schemas.openxmlformats.org/officeDocument/2006/relationships/hyperlink" Target="http://jsjustweb.jihsun.com.tw/z/zc/zco/zco0/zco0.djhtm?a=3374&amp;b=1650" TargetMode="External"/><Relationship Id="rId17" Type="http://schemas.openxmlformats.org/officeDocument/2006/relationships/hyperlink" Target="https://tw.stock.yahoo.com/d/s/earning_6139.html" TargetMode="External"/><Relationship Id="rId59" Type="http://schemas.openxmlformats.org/officeDocument/2006/relationships/hyperlink" Target="https://tw.stock.yahoo.com/d/s/earning_1536.html" TargetMode="External"/><Relationship Id="rId124" Type="http://schemas.openxmlformats.org/officeDocument/2006/relationships/hyperlink" Target="https://tw.stock.yahoo.com/d/s/earning_2916.html" TargetMode="External"/><Relationship Id="rId527" Type="http://schemas.openxmlformats.org/officeDocument/2006/relationships/hyperlink" Target="http://w.wantgoo.com/Stock/aStock/TechChart?StockNo=6136&amp;m=dk" TargetMode="External"/><Relationship Id="rId569" Type="http://schemas.openxmlformats.org/officeDocument/2006/relationships/hyperlink" Target="http://w.wantgoo.com/Stock/aStock/TechChart?StockNo=8048&amp;m=dk" TargetMode="External"/><Relationship Id="rId70" Type="http://schemas.openxmlformats.org/officeDocument/2006/relationships/hyperlink" Target="https://tw.stock.yahoo.com/d/s/earning_4109.html" TargetMode="External"/><Relationship Id="rId166" Type="http://schemas.openxmlformats.org/officeDocument/2006/relationships/hyperlink" Target="https://tw.stock.yahoo.com/d/s/earning_4123.html" TargetMode="External"/><Relationship Id="rId331" Type="http://schemas.openxmlformats.org/officeDocument/2006/relationships/hyperlink" Target="http://w.wantgoo.com/Stock/aStock/TechChart?StockNo=2488&amp;m=dk" TargetMode="External"/><Relationship Id="rId373" Type="http://schemas.openxmlformats.org/officeDocument/2006/relationships/hyperlink" Target="http://w.wantgoo.com/Stock/aStock/TechChart?StockNo=3226&amp;m=dk" TargetMode="External"/><Relationship Id="rId429" Type="http://schemas.openxmlformats.org/officeDocument/2006/relationships/hyperlink" Target="http://w.wantgoo.com/Stock/aStock/TechChart?StockNo=3694&amp;m=dk" TargetMode="External"/><Relationship Id="rId580" Type="http://schemas.openxmlformats.org/officeDocument/2006/relationships/hyperlink" Target="https://tw.stock.yahoo.com/d/s/earning_8176.html" TargetMode="External"/><Relationship Id="rId636" Type="http://schemas.openxmlformats.org/officeDocument/2006/relationships/hyperlink" Target="http://jsjustweb.jihsun.com.tw/z/zc/zco/zco0/zco0.djhtm?a=2012&amp;b=1650" TargetMode="External"/><Relationship Id="rId1" Type="http://schemas.openxmlformats.org/officeDocument/2006/relationships/hyperlink" Target="https://tw.stock.yahoo.com/d/s/earning_1258.html" TargetMode="External"/><Relationship Id="rId233" Type="http://schemas.openxmlformats.org/officeDocument/2006/relationships/hyperlink" Target="http://w.wantgoo.com/Stock/aStock/TechChart?StockNo=6605&amp;m=dk" TargetMode="External"/><Relationship Id="rId440" Type="http://schemas.openxmlformats.org/officeDocument/2006/relationships/hyperlink" Target="https://tw.stock.yahoo.com/d/s/earning_4129.html" TargetMode="External"/><Relationship Id="rId678" Type="http://schemas.openxmlformats.org/officeDocument/2006/relationships/hyperlink" Target="http://jsjustweb.jihsun.com.tw/z/zc/zco/zco0/zco0.djhtm?a=8050&amp;b=1650" TargetMode="External"/><Relationship Id="rId28" Type="http://schemas.openxmlformats.org/officeDocument/2006/relationships/hyperlink" Target="https://tw.stock.yahoo.com/d/s/earning_1618.html" TargetMode="External"/><Relationship Id="rId275" Type="http://schemas.openxmlformats.org/officeDocument/2006/relationships/hyperlink" Target="http://w.wantgoo.com/Stock/aStock/TechChart?StockNo=1566&amp;m=dk" TargetMode="External"/><Relationship Id="rId300" Type="http://schemas.openxmlformats.org/officeDocument/2006/relationships/hyperlink" Target="https://tw.stock.yahoo.com/d/s/earning_2228.html" TargetMode="External"/><Relationship Id="rId482" Type="http://schemas.openxmlformats.org/officeDocument/2006/relationships/hyperlink" Target="https://tw.stock.yahoo.com/d/s/earning_4947.html" TargetMode="External"/><Relationship Id="rId538" Type="http://schemas.openxmlformats.org/officeDocument/2006/relationships/hyperlink" Target="https://tw.stock.yahoo.com/d/s/earning_6235.html" TargetMode="External"/><Relationship Id="rId81" Type="http://schemas.openxmlformats.org/officeDocument/2006/relationships/hyperlink" Target="https://tw.stock.yahoo.com/d/s/earning_8436.html" TargetMode="External"/><Relationship Id="rId135" Type="http://schemas.openxmlformats.org/officeDocument/2006/relationships/hyperlink" Target="http://w.wantgoo.com/Stock/aStock/TechChart?StockNo=3122&amp;m=dk" TargetMode="External"/><Relationship Id="rId177" Type="http://schemas.openxmlformats.org/officeDocument/2006/relationships/hyperlink" Target="http://w.wantgoo.com/Stock/aStock/TechChart?StockNo=4154&amp;m=dk" TargetMode="External"/><Relationship Id="rId342" Type="http://schemas.openxmlformats.org/officeDocument/2006/relationships/hyperlink" Target="https://tw.stock.yahoo.com/d/s/earning_3004.html" TargetMode="External"/><Relationship Id="rId384" Type="http://schemas.openxmlformats.org/officeDocument/2006/relationships/hyperlink" Target="https://tw.stock.yahoo.com/d/s/earning_3373.html" TargetMode="External"/><Relationship Id="rId591" Type="http://schemas.openxmlformats.org/officeDocument/2006/relationships/hyperlink" Target="http://w.wantgoo.com/Stock/aStock/TechChart?StockNo=8411&amp;m=dk" TargetMode="External"/><Relationship Id="rId605" Type="http://schemas.openxmlformats.org/officeDocument/2006/relationships/hyperlink" Target="http://w.wantgoo.com/Stock/aStock/TechChart?StockNo=8913&amp;m=dk" TargetMode="External"/><Relationship Id="rId202" Type="http://schemas.openxmlformats.org/officeDocument/2006/relationships/hyperlink" Target="https://tw.stock.yahoo.com/d/s/earning_5264.html" TargetMode="External"/><Relationship Id="rId244" Type="http://schemas.openxmlformats.org/officeDocument/2006/relationships/hyperlink" Target="https://tw.stock.yahoo.com/d/s/earning_8409.html" TargetMode="External"/><Relationship Id="rId647" Type="http://schemas.openxmlformats.org/officeDocument/2006/relationships/hyperlink" Target="http://jsjustweb.jihsun.com.tw/z/zc/zco/zco0/zco0.djhtm?a=3607&amp;b=1650" TargetMode="External"/><Relationship Id="rId39" Type="http://schemas.openxmlformats.org/officeDocument/2006/relationships/hyperlink" Target="https://tw.stock.yahoo.com/d/s/earning_3687.html" TargetMode="External"/><Relationship Id="rId286" Type="http://schemas.openxmlformats.org/officeDocument/2006/relationships/hyperlink" Target="https://tw.stock.yahoo.com/d/s/earning_1752.html" TargetMode="External"/><Relationship Id="rId451" Type="http://schemas.openxmlformats.org/officeDocument/2006/relationships/hyperlink" Target="http://w.wantgoo.com/Stock/aStock/TechChart?StockNo=4160&amp;m=dk" TargetMode="External"/><Relationship Id="rId493" Type="http://schemas.openxmlformats.org/officeDocument/2006/relationships/hyperlink" Target="http://w.wantgoo.com/Stock/aStock/TechChart?StockNo=4991&amp;m=dk" TargetMode="External"/><Relationship Id="rId507" Type="http://schemas.openxmlformats.org/officeDocument/2006/relationships/hyperlink" Target="http://w.wantgoo.com/Stock/aStock/TechChart?StockNo=5284&amp;m=dk" TargetMode="External"/><Relationship Id="rId549" Type="http://schemas.openxmlformats.org/officeDocument/2006/relationships/hyperlink" Target="http://w.wantgoo.com/Stock/aStock/TechChart?StockNo=6292&amp;m=dk" TargetMode="External"/><Relationship Id="rId50" Type="http://schemas.openxmlformats.org/officeDocument/2006/relationships/hyperlink" Target="https://tw.stock.yahoo.com/d/s/earning_6235.html" TargetMode="External"/><Relationship Id="rId104" Type="http://schemas.openxmlformats.org/officeDocument/2006/relationships/hyperlink" Target="https://tw.stock.yahoo.com/d/s/earning_2233.html" TargetMode="External"/><Relationship Id="rId146" Type="http://schemas.openxmlformats.org/officeDocument/2006/relationships/hyperlink" Target="https://tw.stock.yahoo.com/d/s/earning_3376.html" TargetMode="External"/><Relationship Id="rId188" Type="http://schemas.openxmlformats.org/officeDocument/2006/relationships/hyperlink" Target="https://tw.stock.yahoo.com/d/s/earning_4746.html" TargetMode="External"/><Relationship Id="rId311" Type="http://schemas.openxmlformats.org/officeDocument/2006/relationships/hyperlink" Target="http://w.wantgoo.com/Stock/aStock/TechChart?StockNo=2417&amp;m=dk" TargetMode="External"/><Relationship Id="rId353" Type="http://schemas.openxmlformats.org/officeDocument/2006/relationships/hyperlink" Target="http://w.wantgoo.com/Stock/aStock/TechChart?StockNo=3078&amp;m=dk" TargetMode="External"/><Relationship Id="rId395" Type="http://schemas.openxmlformats.org/officeDocument/2006/relationships/hyperlink" Target="http://w.wantgoo.com/Stock/aStock/TechChart?StockNo=3454&amp;m=dk" TargetMode="External"/><Relationship Id="rId409" Type="http://schemas.openxmlformats.org/officeDocument/2006/relationships/hyperlink" Target="http://w.wantgoo.com/Stock/aStock/TechChart?StockNo=3548&amp;m=dk" TargetMode="External"/><Relationship Id="rId560" Type="http://schemas.openxmlformats.org/officeDocument/2006/relationships/hyperlink" Target="https://tw.stock.yahoo.com/d/s/earning_6426.html" TargetMode="External"/><Relationship Id="rId92" Type="http://schemas.openxmlformats.org/officeDocument/2006/relationships/hyperlink" Target="https://tw.stock.yahoo.com/d/s/earning_1618.html" TargetMode="External"/><Relationship Id="rId213" Type="http://schemas.openxmlformats.org/officeDocument/2006/relationships/hyperlink" Target="http://w.wantgoo.com/Stock/aStock/TechChart?StockNo=5487&amp;m=dk" TargetMode="External"/><Relationship Id="rId420" Type="http://schemas.openxmlformats.org/officeDocument/2006/relationships/hyperlink" Target="https://tw.stock.yahoo.com/d/s/earning_3665.html" TargetMode="External"/><Relationship Id="rId616" Type="http://schemas.openxmlformats.org/officeDocument/2006/relationships/hyperlink" Target="http://norway.twsthr.info/StockHolders.aspx?stock=1586" TargetMode="External"/><Relationship Id="rId658" Type="http://schemas.openxmlformats.org/officeDocument/2006/relationships/hyperlink" Target="http://jsjustweb.jihsun.com.tw/z/zc/zco/zco0/zco0.djhtm?a=8101&amp;b=1650" TargetMode="External"/><Relationship Id="rId255" Type="http://schemas.openxmlformats.org/officeDocument/2006/relationships/hyperlink" Target="http://w.wantgoo.com/Stock/aStock/TechChart?StockNo=1203&amp;m=dk" TargetMode="External"/><Relationship Id="rId297" Type="http://schemas.openxmlformats.org/officeDocument/2006/relationships/hyperlink" Target="http://w.wantgoo.com/Stock/aStock/TechChart?StockNo=1795&amp;m=dk" TargetMode="External"/><Relationship Id="rId462" Type="http://schemas.openxmlformats.org/officeDocument/2006/relationships/hyperlink" Target="https://tw.stock.yahoo.com/d/s/earning_4502.html" TargetMode="External"/><Relationship Id="rId518" Type="http://schemas.openxmlformats.org/officeDocument/2006/relationships/hyperlink" Target="https://tw.stock.yahoo.com/d/s/earning_5443.html" TargetMode="External"/><Relationship Id="rId115" Type="http://schemas.openxmlformats.org/officeDocument/2006/relationships/hyperlink" Target="http://w.wantgoo.com/Stock/aStock/TechChart?StockNo=2423&amp;m=dk" TargetMode="External"/><Relationship Id="rId157" Type="http://schemas.openxmlformats.org/officeDocument/2006/relationships/hyperlink" Target="http://w.wantgoo.com/Stock/aStock/TechChart?StockNo=3548&amp;m=dk" TargetMode="External"/><Relationship Id="rId322" Type="http://schemas.openxmlformats.org/officeDocument/2006/relationships/hyperlink" Target="https://tw.stock.yahoo.com/d/s/earning_2464.html" TargetMode="External"/><Relationship Id="rId364" Type="http://schemas.openxmlformats.org/officeDocument/2006/relationships/hyperlink" Target="https://tw.stock.yahoo.com/d/s/earning_3141.html" TargetMode="External"/><Relationship Id="rId61" Type="http://schemas.openxmlformats.org/officeDocument/2006/relationships/hyperlink" Target="https://tw.stock.yahoo.com/d/s/earning_2406.html" TargetMode="External"/><Relationship Id="rId199" Type="http://schemas.openxmlformats.org/officeDocument/2006/relationships/hyperlink" Target="http://w.wantgoo.com/Stock/aStock/TechChart?StockNo=5212&amp;m=dk" TargetMode="External"/><Relationship Id="rId571" Type="http://schemas.openxmlformats.org/officeDocument/2006/relationships/hyperlink" Target="http://w.wantgoo.com/Stock/aStock/TechChart?StockNo=8066&amp;m=dk" TargetMode="External"/><Relationship Id="rId627" Type="http://schemas.openxmlformats.org/officeDocument/2006/relationships/hyperlink" Target="http://norway.twsthr.info/StockHolders.aspx?stock=4123" TargetMode="External"/><Relationship Id="rId669" Type="http://schemas.openxmlformats.org/officeDocument/2006/relationships/hyperlink" Target="http://jsjustweb.jihsun.com.tw/z/zc/zco/zco0/zco0.djhtm?a=3587&amp;b=1650" TargetMode="External"/><Relationship Id="rId19" Type="http://schemas.openxmlformats.org/officeDocument/2006/relationships/hyperlink" Target="https://tw.stock.yahoo.com/d/s/earning_6244.html" TargetMode="External"/><Relationship Id="rId224" Type="http://schemas.openxmlformats.org/officeDocument/2006/relationships/hyperlink" Target="https://tw.stock.yahoo.com/d/s/earning_6279.html" TargetMode="External"/><Relationship Id="rId266" Type="http://schemas.openxmlformats.org/officeDocument/2006/relationships/hyperlink" Target="https://tw.stock.yahoo.com/d/s/earning_1476.html" TargetMode="External"/><Relationship Id="rId431" Type="http://schemas.openxmlformats.org/officeDocument/2006/relationships/hyperlink" Target="http://w.wantgoo.com/Stock/aStock/TechChart?StockNo=4105&amp;m=dk" TargetMode="External"/><Relationship Id="rId473" Type="http://schemas.openxmlformats.org/officeDocument/2006/relationships/hyperlink" Target="http://w.wantgoo.com/Stock/aStock/TechChart?StockNo=4743&amp;m=dk" TargetMode="External"/><Relationship Id="rId529" Type="http://schemas.openxmlformats.org/officeDocument/2006/relationships/hyperlink" Target="http://w.wantgoo.com/Stock/aStock/TechChart?StockNo=6171&amp;m=dk" TargetMode="External"/><Relationship Id="rId680" Type="http://schemas.openxmlformats.org/officeDocument/2006/relationships/hyperlink" Target="http://jsjustweb.jihsun.com.tw/z/zc/zco/zco0/zco0.djhtm?a=8403&amp;b=1650" TargetMode="External"/><Relationship Id="rId30" Type="http://schemas.openxmlformats.org/officeDocument/2006/relationships/hyperlink" Target="https://tw.stock.yahoo.com/d/s/earning_2406.html" TargetMode="External"/><Relationship Id="rId126" Type="http://schemas.openxmlformats.org/officeDocument/2006/relationships/hyperlink" Target="https://tw.stock.yahoo.com/d/s/earning_2926.html" TargetMode="External"/><Relationship Id="rId168" Type="http://schemas.openxmlformats.org/officeDocument/2006/relationships/hyperlink" Target="https://tw.stock.yahoo.com/d/s/earning_4129.html" TargetMode="External"/><Relationship Id="rId333" Type="http://schemas.openxmlformats.org/officeDocument/2006/relationships/hyperlink" Target="http://w.wantgoo.com/Stock/aStock/TechChart?StockNo=2496&amp;m=dk" TargetMode="External"/><Relationship Id="rId540" Type="http://schemas.openxmlformats.org/officeDocument/2006/relationships/hyperlink" Target="https://tw.stock.yahoo.com/d/s/earning_6238.html" TargetMode="External"/><Relationship Id="rId72" Type="http://schemas.openxmlformats.org/officeDocument/2006/relationships/hyperlink" Target="https://tw.stock.yahoo.com/d/s/earning_4502.html" TargetMode="External"/><Relationship Id="rId375" Type="http://schemas.openxmlformats.org/officeDocument/2006/relationships/hyperlink" Target="http://w.wantgoo.com/Stock/aStock/TechChart?StockNo=3234&amp;m=dk" TargetMode="External"/><Relationship Id="rId582" Type="http://schemas.openxmlformats.org/officeDocument/2006/relationships/hyperlink" Target="https://tw.stock.yahoo.com/d/s/earning_8266.html" TargetMode="External"/><Relationship Id="rId638" Type="http://schemas.openxmlformats.org/officeDocument/2006/relationships/hyperlink" Target="http://jsjustweb.jihsun.com.tw/z/zc/zco/zco0/zco0.djhtm?a=2062&amp;b=1650" TargetMode="External"/><Relationship Id="rId3" Type="http://schemas.openxmlformats.org/officeDocument/2006/relationships/hyperlink" Target="https://tw.stock.yahoo.com/d/s/earning_1442.html" TargetMode="External"/><Relationship Id="rId235" Type="http://schemas.openxmlformats.org/officeDocument/2006/relationships/hyperlink" Target="http://w.wantgoo.com/Stock/aStock/TechChart?StockNo=8040&amp;m=dk" TargetMode="External"/><Relationship Id="rId277" Type="http://schemas.openxmlformats.org/officeDocument/2006/relationships/hyperlink" Target="http://w.wantgoo.com/Stock/aStock/TechChart?StockNo=1570&amp;m=dk" TargetMode="External"/><Relationship Id="rId400" Type="http://schemas.openxmlformats.org/officeDocument/2006/relationships/hyperlink" Target="https://tw.stock.yahoo.com/d/s/earning_3521.html" TargetMode="External"/><Relationship Id="rId442" Type="http://schemas.openxmlformats.org/officeDocument/2006/relationships/hyperlink" Target="https://tw.stock.yahoo.com/d/s/earning_4130.html" TargetMode="External"/><Relationship Id="rId484" Type="http://schemas.openxmlformats.org/officeDocument/2006/relationships/hyperlink" Target="https://tw.stock.yahoo.com/d/s/earning_4965.html" TargetMode="External"/><Relationship Id="rId137" Type="http://schemas.openxmlformats.org/officeDocument/2006/relationships/hyperlink" Target="http://w.wantgoo.com/Stock/aStock/TechChart?StockNo=3131&amp;m=dk" TargetMode="External"/><Relationship Id="rId302" Type="http://schemas.openxmlformats.org/officeDocument/2006/relationships/hyperlink" Target="https://tw.stock.yahoo.com/d/s/earning_2313.html" TargetMode="External"/><Relationship Id="rId344" Type="http://schemas.openxmlformats.org/officeDocument/2006/relationships/hyperlink" Target="https://tw.stock.yahoo.com/d/s/earning_3027.html" TargetMode="External"/><Relationship Id="rId41" Type="http://schemas.openxmlformats.org/officeDocument/2006/relationships/hyperlink" Target="https://tw.stock.yahoo.com/d/s/earning_4123.html" TargetMode="External"/><Relationship Id="rId83" Type="http://schemas.openxmlformats.org/officeDocument/2006/relationships/hyperlink" Target="http://w.wantgoo.com/Stock/aStock/TechChart?StockNo=1339&amp;m=dk" TargetMode="External"/><Relationship Id="rId179" Type="http://schemas.openxmlformats.org/officeDocument/2006/relationships/hyperlink" Target="http://w.wantgoo.com/Stock/aStock/TechChart?StockNo=4161&amp;m=dk" TargetMode="External"/><Relationship Id="rId386" Type="http://schemas.openxmlformats.org/officeDocument/2006/relationships/hyperlink" Target="https://tw.stock.yahoo.com/d/s/earning_3376.html" TargetMode="External"/><Relationship Id="rId551" Type="http://schemas.openxmlformats.org/officeDocument/2006/relationships/hyperlink" Target="http://w.wantgoo.com/Stock/aStock/TechChart?StockNo=6294&amp;m=dk" TargetMode="External"/><Relationship Id="rId593" Type="http://schemas.openxmlformats.org/officeDocument/2006/relationships/hyperlink" Target="http://w.wantgoo.com/Stock/aStock/TechChart?StockNo=8416&amp;m=dk" TargetMode="External"/><Relationship Id="rId607" Type="http://schemas.openxmlformats.org/officeDocument/2006/relationships/hyperlink" Target="http://w.wantgoo.com/Stock/aStock/TechChart?StockNo=9945&amp;m=dk" TargetMode="External"/><Relationship Id="rId649" Type="http://schemas.openxmlformats.org/officeDocument/2006/relationships/hyperlink" Target="http://jsjustweb.jihsun.com.tw/z/zc/zco/zco0/zco0.djhtm?a=3653&amp;b=1650" TargetMode="External"/><Relationship Id="rId190" Type="http://schemas.openxmlformats.org/officeDocument/2006/relationships/hyperlink" Target="https://tw.stock.yahoo.com/d/s/earning_4747.html" TargetMode="External"/><Relationship Id="rId204" Type="http://schemas.openxmlformats.org/officeDocument/2006/relationships/hyperlink" Target="https://tw.stock.yahoo.com/d/s/earning_5301.html" TargetMode="External"/><Relationship Id="rId246" Type="http://schemas.openxmlformats.org/officeDocument/2006/relationships/hyperlink" Target="https://tw.stock.yahoo.com/d/s/earning_8416.html" TargetMode="External"/><Relationship Id="rId288" Type="http://schemas.openxmlformats.org/officeDocument/2006/relationships/hyperlink" Target="https://tw.stock.yahoo.com/d/s/earning_1762.html" TargetMode="External"/><Relationship Id="rId411" Type="http://schemas.openxmlformats.org/officeDocument/2006/relationships/hyperlink" Target="http://w.wantgoo.com/Stock/aStock/TechChart?StockNo=3552&amp;m=dk" TargetMode="External"/><Relationship Id="rId453" Type="http://schemas.openxmlformats.org/officeDocument/2006/relationships/hyperlink" Target="http://w.wantgoo.com/Stock/aStock/TechChart?StockNo=4171&amp;m=dk" TargetMode="External"/><Relationship Id="rId509" Type="http://schemas.openxmlformats.org/officeDocument/2006/relationships/hyperlink" Target="http://w.wantgoo.com/Stock/aStock/TechChart?StockNo=5306&amp;m=dk" TargetMode="External"/><Relationship Id="rId660" Type="http://schemas.openxmlformats.org/officeDocument/2006/relationships/hyperlink" Target="http://jsjustweb.jihsun.com.tw/z/zc/zco/zco0/zco0.djhtm?a=8427&amp;b=1650" TargetMode="External"/><Relationship Id="rId106" Type="http://schemas.openxmlformats.org/officeDocument/2006/relationships/hyperlink" Target="https://tw.stock.yahoo.com/d/s/earning_2305.html" TargetMode="External"/><Relationship Id="rId313" Type="http://schemas.openxmlformats.org/officeDocument/2006/relationships/hyperlink" Target="http://w.wantgoo.com/Stock/aStock/TechChart?StockNo=2419&amp;m=dk" TargetMode="External"/><Relationship Id="rId495" Type="http://schemas.openxmlformats.org/officeDocument/2006/relationships/hyperlink" Target="http://w.wantgoo.com/Stock/aStock/TechChart?StockNo=5202&amp;m=dk" TargetMode="External"/><Relationship Id="rId10" Type="http://schemas.openxmlformats.org/officeDocument/2006/relationships/hyperlink" Target="https://tw.stock.yahoo.com/d/s/earning_2489.html" TargetMode="External"/><Relationship Id="rId52" Type="http://schemas.openxmlformats.org/officeDocument/2006/relationships/hyperlink" Target="https://tw.stock.yahoo.com/d/s/earning_6264.html" TargetMode="External"/><Relationship Id="rId94" Type="http://schemas.openxmlformats.org/officeDocument/2006/relationships/hyperlink" Target="https://tw.stock.yahoo.com/d/s/earning_1707.html" TargetMode="External"/><Relationship Id="rId148" Type="http://schemas.openxmlformats.org/officeDocument/2006/relationships/hyperlink" Target="https://tw.stock.yahoo.com/d/s/earning_3416.html" TargetMode="External"/><Relationship Id="rId355" Type="http://schemas.openxmlformats.org/officeDocument/2006/relationships/hyperlink" Target="http://w.wantgoo.com/Stock/aStock/TechChart?StockNo=3088&amp;m=dk" TargetMode="External"/><Relationship Id="rId397" Type="http://schemas.openxmlformats.org/officeDocument/2006/relationships/hyperlink" Target="http://w.wantgoo.com/Stock/aStock/TechChart?StockNo=3479&amp;m=dk" TargetMode="External"/><Relationship Id="rId520" Type="http://schemas.openxmlformats.org/officeDocument/2006/relationships/hyperlink" Target="https://tw.stock.yahoo.com/d/s/earning_5490.html" TargetMode="External"/><Relationship Id="rId562" Type="http://schemas.openxmlformats.org/officeDocument/2006/relationships/hyperlink" Target="https://tw.stock.yahoo.com/d/s/earning_8016.html" TargetMode="External"/><Relationship Id="rId618" Type="http://schemas.openxmlformats.org/officeDocument/2006/relationships/hyperlink" Target="http://norway.twsthr.info/StockHolders.aspx?stock=2456" TargetMode="External"/><Relationship Id="rId215" Type="http://schemas.openxmlformats.org/officeDocument/2006/relationships/hyperlink" Target="http://w.wantgoo.com/Stock/aStock/TechChart?StockNo=5490&amp;m=dk" TargetMode="External"/><Relationship Id="rId257" Type="http://schemas.openxmlformats.org/officeDocument/2006/relationships/hyperlink" Target="http://w.wantgoo.com/Stock/aStock/TechChart?StockNo=1234&amp;m=dk" TargetMode="External"/><Relationship Id="rId422" Type="http://schemas.openxmlformats.org/officeDocument/2006/relationships/hyperlink" Target="https://tw.stock.yahoo.com/d/s/earning_3684.html" TargetMode="External"/><Relationship Id="rId464" Type="http://schemas.openxmlformats.org/officeDocument/2006/relationships/hyperlink" Target="https://tw.stock.yahoo.com/d/s/earning_4503.html" TargetMode="External"/><Relationship Id="rId299" Type="http://schemas.openxmlformats.org/officeDocument/2006/relationships/hyperlink" Target="http://w.wantgoo.com/Stock/aStock/TechChart?StockNo=2221&amp;m=dk" TargetMode="External"/><Relationship Id="rId63" Type="http://schemas.openxmlformats.org/officeDocument/2006/relationships/hyperlink" Target="https://tw.stock.yahoo.com/d/s/earning_2464.html" TargetMode="External"/><Relationship Id="rId159" Type="http://schemas.openxmlformats.org/officeDocument/2006/relationships/hyperlink" Target="http://w.wantgoo.com/Stock/aStock/TechChart?StockNo=3552&amp;m=dk" TargetMode="External"/><Relationship Id="rId366" Type="http://schemas.openxmlformats.org/officeDocument/2006/relationships/hyperlink" Target="https://tw.stock.yahoo.com/d/s/earning_3152.html" TargetMode="External"/><Relationship Id="rId573" Type="http://schemas.openxmlformats.org/officeDocument/2006/relationships/hyperlink" Target="http://w.wantgoo.com/Stock/aStock/TechChart?StockNo=8077&amp;m=dk" TargetMode="External"/><Relationship Id="rId226" Type="http://schemas.openxmlformats.org/officeDocument/2006/relationships/hyperlink" Target="https://tw.stock.yahoo.com/d/s/earning_6404.html" TargetMode="External"/><Relationship Id="rId433" Type="http://schemas.openxmlformats.org/officeDocument/2006/relationships/hyperlink" Target="http://w.wantgoo.com/Stock/aStock/TechChart?StockNo=4109&amp;m=dk" TargetMode="External"/><Relationship Id="rId640" Type="http://schemas.openxmlformats.org/officeDocument/2006/relationships/hyperlink" Target="http://jsjustweb.jihsun.com.tw/z/zc/zco/zco0/zco0.djhtm?a=2397&amp;b=1650" TargetMode="External"/><Relationship Id="rId74" Type="http://schemas.openxmlformats.org/officeDocument/2006/relationships/hyperlink" Target="https://tw.stock.yahoo.com/d/s/earning_4979.html" TargetMode="External"/><Relationship Id="rId377" Type="http://schemas.openxmlformats.org/officeDocument/2006/relationships/hyperlink" Target="http://w.wantgoo.com/Stock/aStock/TechChart?StockNo=3285&amp;m=dk" TargetMode="External"/><Relationship Id="rId500" Type="http://schemas.openxmlformats.org/officeDocument/2006/relationships/hyperlink" Target="https://tw.stock.yahoo.com/d/s/earning_5225.html" TargetMode="External"/><Relationship Id="rId584" Type="http://schemas.openxmlformats.org/officeDocument/2006/relationships/hyperlink" Target="https://tw.stock.yahoo.com/d/s/earning_8341.html" TargetMode="External"/><Relationship Id="rId5" Type="http://schemas.openxmlformats.org/officeDocument/2006/relationships/hyperlink" Target="https://tw.stock.yahoo.com/d/s/earning_1618.html" TargetMode="External"/><Relationship Id="rId237" Type="http://schemas.openxmlformats.org/officeDocument/2006/relationships/hyperlink" Target="http://w.wantgoo.com/Stock/aStock/TechChart?StockNo=8077&amp;m=dk" TargetMode="External"/><Relationship Id="rId444" Type="http://schemas.openxmlformats.org/officeDocument/2006/relationships/hyperlink" Target="https://tw.stock.yahoo.com/d/s/earning_4137.html" TargetMode="External"/><Relationship Id="rId651" Type="http://schemas.openxmlformats.org/officeDocument/2006/relationships/hyperlink" Target="http://jsjustweb.jihsun.com.tw/z/zc/zco/zco0/zco0.djhtm?a=4144&amp;b=1650" TargetMode="External"/><Relationship Id="rId290" Type="http://schemas.openxmlformats.org/officeDocument/2006/relationships/hyperlink" Target="https://tw.stock.yahoo.com/d/s/earning_1777.html" TargetMode="External"/><Relationship Id="rId304" Type="http://schemas.openxmlformats.org/officeDocument/2006/relationships/hyperlink" Target="https://tw.stock.yahoo.com/d/s/earning_2373.html" TargetMode="External"/><Relationship Id="rId388" Type="http://schemas.openxmlformats.org/officeDocument/2006/relationships/hyperlink" Target="https://tw.stock.yahoo.com/d/s/earning_3428.html" TargetMode="External"/><Relationship Id="rId511" Type="http://schemas.openxmlformats.org/officeDocument/2006/relationships/hyperlink" Target="http://w.wantgoo.com/Stock/aStock/TechChart?StockNo=5364&amp;m=dk" TargetMode="External"/><Relationship Id="rId609" Type="http://schemas.openxmlformats.org/officeDocument/2006/relationships/hyperlink" Target="http://w.wantgoo.com/Stock/aStock/TechChart?StockNo=9946&amp;m=dk" TargetMode="External"/><Relationship Id="rId85" Type="http://schemas.openxmlformats.org/officeDocument/2006/relationships/hyperlink" Target="http://w.wantgoo.com/Stock/aStock/TechChart?StockNo=1442&amp;m=dk" TargetMode="External"/><Relationship Id="rId150" Type="http://schemas.openxmlformats.org/officeDocument/2006/relationships/hyperlink" Target="https://tw.stock.yahoo.com/d/s/earning_3490.html" TargetMode="External"/><Relationship Id="rId595" Type="http://schemas.openxmlformats.org/officeDocument/2006/relationships/hyperlink" Target="http://w.wantgoo.com/Stock/aStock/TechChart?StockNo=8421&amp;m=dk" TargetMode="External"/><Relationship Id="rId248" Type="http://schemas.openxmlformats.org/officeDocument/2006/relationships/hyperlink" Target="https://tw.stock.yahoo.com/d/s/earning_8446.html" TargetMode="External"/><Relationship Id="rId455" Type="http://schemas.openxmlformats.org/officeDocument/2006/relationships/hyperlink" Target="http://w.wantgoo.com/Stock/aStock/TechChart?StockNo=4180&amp;m=dk" TargetMode="External"/><Relationship Id="rId662" Type="http://schemas.openxmlformats.org/officeDocument/2006/relationships/hyperlink" Target="http://jsjustweb.jihsun.com.tw/z/zc/zco/zco0/zco0.djhtm?a=9927&amp;b=1650" TargetMode="External"/><Relationship Id="rId12" Type="http://schemas.openxmlformats.org/officeDocument/2006/relationships/hyperlink" Target="https://tw.stock.yahoo.com/d/s/earning_3191.html" TargetMode="External"/><Relationship Id="rId108" Type="http://schemas.openxmlformats.org/officeDocument/2006/relationships/hyperlink" Target="https://tw.stock.yahoo.com/d/s/earning_2362.html" TargetMode="External"/><Relationship Id="rId315" Type="http://schemas.openxmlformats.org/officeDocument/2006/relationships/hyperlink" Target="http://w.wantgoo.com/Stock/aStock/TechChart?StockNo=2427&amp;m=dk" TargetMode="External"/><Relationship Id="rId522" Type="http://schemas.openxmlformats.org/officeDocument/2006/relationships/hyperlink" Target="https://tw.stock.yahoo.com/d/s/earning_6103.html" TargetMode="External"/><Relationship Id="rId96" Type="http://schemas.openxmlformats.org/officeDocument/2006/relationships/hyperlink" Target="https://tw.stock.yahoo.com/d/s/earning_1736.html" TargetMode="External"/><Relationship Id="rId161" Type="http://schemas.openxmlformats.org/officeDocument/2006/relationships/hyperlink" Target="http://w.wantgoo.com/Stock/aStock/TechChart?StockNo=3652&amp;m=dk" TargetMode="External"/><Relationship Id="rId399" Type="http://schemas.openxmlformats.org/officeDocument/2006/relationships/hyperlink" Target="http://w.wantgoo.com/Stock/aStock/TechChart?StockNo=3499&amp;m=dk" TargetMode="External"/><Relationship Id="rId259" Type="http://schemas.openxmlformats.org/officeDocument/2006/relationships/hyperlink" Target="http://w.wantgoo.com/Stock/aStock/TechChart?StockNo=1258&amp;m=dk" TargetMode="External"/><Relationship Id="rId466" Type="http://schemas.openxmlformats.org/officeDocument/2006/relationships/hyperlink" Target="https://tw.stock.yahoo.com/d/s/earning_4526.html" TargetMode="External"/><Relationship Id="rId673" Type="http://schemas.openxmlformats.org/officeDocument/2006/relationships/hyperlink" Target="http://jsjustweb.jihsun.com.tw/z/zc/zco/zco0/zco0.djhtm?a=4909&amp;b=1650" TargetMode="External"/><Relationship Id="rId23" Type="http://schemas.openxmlformats.org/officeDocument/2006/relationships/hyperlink" Target="https://tw.stock.yahoo.com/d/s/earning_8422.html" TargetMode="External"/><Relationship Id="rId119" Type="http://schemas.openxmlformats.org/officeDocument/2006/relationships/hyperlink" Target="http://w.wantgoo.com/Stock/aStock/TechChart?StockNo=2495&amp;m=dk" TargetMode="External"/><Relationship Id="rId326" Type="http://schemas.openxmlformats.org/officeDocument/2006/relationships/hyperlink" Target="https://tw.stock.yahoo.com/d/s/earning_2474.html" TargetMode="External"/><Relationship Id="rId533" Type="http://schemas.openxmlformats.org/officeDocument/2006/relationships/hyperlink" Target="http://w.wantgoo.com/Stock/aStock/TechChart?StockNo=6217&amp;m=dk" TargetMode="External"/><Relationship Id="rId172" Type="http://schemas.openxmlformats.org/officeDocument/2006/relationships/hyperlink" Target="https://tw.stock.yahoo.com/d/s/earning_4139.html" TargetMode="External"/><Relationship Id="rId477" Type="http://schemas.openxmlformats.org/officeDocument/2006/relationships/hyperlink" Target="http://w.wantgoo.com/Stock/aStock/TechChart?StockNo=4747&amp;m=dk" TargetMode="External"/><Relationship Id="rId600" Type="http://schemas.openxmlformats.org/officeDocument/2006/relationships/hyperlink" Target="https://tw.stock.yahoo.com/d/s/earning_8436.html" TargetMode="External"/><Relationship Id="rId337" Type="http://schemas.openxmlformats.org/officeDocument/2006/relationships/hyperlink" Target="http://w.wantgoo.com/Stock/aStock/TechChart?StockNo=2702&amp;m=dk" TargetMode="External"/><Relationship Id="rId34" Type="http://schemas.openxmlformats.org/officeDocument/2006/relationships/hyperlink" Target="https://tw.stock.yahoo.com/d/s/earning_2485.html" TargetMode="External"/><Relationship Id="rId544" Type="http://schemas.openxmlformats.org/officeDocument/2006/relationships/hyperlink" Target="https://tw.stock.yahoo.com/d/s/earning_6244.html" TargetMode="External"/><Relationship Id="rId183" Type="http://schemas.openxmlformats.org/officeDocument/2006/relationships/hyperlink" Target="http://w.wantgoo.com/Stock/aStock/TechChart?StockNo=4426&amp;m=dk" TargetMode="External"/><Relationship Id="rId390" Type="http://schemas.openxmlformats.org/officeDocument/2006/relationships/hyperlink" Target="https://tw.stock.yahoo.com/d/s/earning_3443.html" TargetMode="External"/><Relationship Id="rId404" Type="http://schemas.openxmlformats.org/officeDocument/2006/relationships/hyperlink" Target="https://tw.stock.yahoo.com/d/s/earning_3535.html" TargetMode="External"/><Relationship Id="rId611" Type="http://schemas.openxmlformats.org/officeDocument/2006/relationships/hyperlink" Target="http://w.wantgoo.com/Stock/aStock/TechChart?StockNo=9951&amp;m=dk" TargetMode="External"/><Relationship Id="rId250" Type="http://schemas.openxmlformats.org/officeDocument/2006/relationships/hyperlink" Target="https://tw.stock.yahoo.com/d/s/earning_8924.html" TargetMode="External"/><Relationship Id="rId488" Type="http://schemas.openxmlformats.org/officeDocument/2006/relationships/hyperlink" Target="https://tw.stock.yahoo.com/d/s/earning_4979.html" TargetMode="External"/><Relationship Id="rId45" Type="http://schemas.openxmlformats.org/officeDocument/2006/relationships/hyperlink" Target="https://tw.stock.yahoo.com/d/s/earning_4502.html" TargetMode="External"/><Relationship Id="rId110" Type="http://schemas.openxmlformats.org/officeDocument/2006/relationships/hyperlink" Target="https://tw.stock.yahoo.com/d/s/earning_2379.html" TargetMode="External"/><Relationship Id="rId348" Type="http://schemas.openxmlformats.org/officeDocument/2006/relationships/hyperlink" Target="https://tw.stock.yahoo.com/d/s/earning_3046.html" TargetMode="External"/><Relationship Id="rId555" Type="http://schemas.openxmlformats.org/officeDocument/2006/relationships/hyperlink" Target="http://w.wantgoo.com/Stock/aStock/TechChart?StockNo=6411&amp;m=dk" TargetMode="External"/><Relationship Id="rId194" Type="http://schemas.openxmlformats.org/officeDocument/2006/relationships/hyperlink" Target="https://tw.stock.yahoo.com/d/s/earning_5202.html" TargetMode="External"/><Relationship Id="rId208" Type="http://schemas.openxmlformats.org/officeDocument/2006/relationships/hyperlink" Target="https://tw.stock.yahoo.com/d/s/earning_5403.html" TargetMode="External"/><Relationship Id="rId415" Type="http://schemas.openxmlformats.org/officeDocument/2006/relationships/hyperlink" Target="http://w.wantgoo.com/Stock/aStock/TechChart?StockNo=3593&amp;m=dk" TargetMode="External"/><Relationship Id="rId622" Type="http://schemas.openxmlformats.org/officeDocument/2006/relationships/hyperlink" Target="http://norway.twsthr.info/StockHolders.aspx?stock=3376" TargetMode="External"/><Relationship Id="rId261" Type="http://schemas.openxmlformats.org/officeDocument/2006/relationships/hyperlink" Target="http://w.wantgoo.com/Stock/aStock/TechChart?StockNo=1339&amp;m=dk" TargetMode="External"/><Relationship Id="rId499" Type="http://schemas.openxmlformats.org/officeDocument/2006/relationships/hyperlink" Target="http://w.wantgoo.com/Stock/aStock/TechChart?StockNo=5213&amp;m=dk" TargetMode="External"/><Relationship Id="rId56" Type="http://schemas.openxmlformats.org/officeDocument/2006/relationships/hyperlink" Target="https://tw.stock.yahoo.com/d/s/earning_8422.html" TargetMode="External"/><Relationship Id="rId359" Type="http://schemas.openxmlformats.org/officeDocument/2006/relationships/hyperlink" Target="http://w.wantgoo.com/Stock/aStock/TechChart?StockNo=3105&amp;m=dk" TargetMode="External"/><Relationship Id="rId566" Type="http://schemas.openxmlformats.org/officeDocument/2006/relationships/hyperlink" Target="https://tw.stock.yahoo.com/d/s/earning_8042.html" TargetMode="External"/><Relationship Id="rId121" Type="http://schemas.openxmlformats.org/officeDocument/2006/relationships/hyperlink" Target="http://w.wantgoo.com/Stock/aStock/TechChart?StockNo=2496&amp;m=dk" TargetMode="External"/><Relationship Id="rId219" Type="http://schemas.openxmlformats.org/officeDocument/2006/relationships/hyperlink" Target="http://w.wantgoo.com/Stock/aStock/TechChart?StockNo=6214&amp;m=dk" TargetMode="External"/><Relationship Id="rId426" Type="http://schemas.openxmlformats.org/officeDocument/2006/relationships/hyperlink" Target="https://tw.stock.yahoo.com/d/s/earning_3691.html" TargetMode="External"/><Relationship Id="rId633" Type="http://schemas.openxmlformats.org/officeDocument/2006/relationships/hyperlink" Target="http://jsjustweb.jihsun.com.tw/z/zc/zco/zco0/zco0.djhtm?a=1715&amp;b=1650" TargetMode="External"/><Relationship Id="rId67" Type="http://schemas.openxmlformats.org/officeDocument/2006/relationships/hyperlink" Target="https://tw.stock.yahoo.com/d/s/earning_3205.html" TargetMode="External"/><Relationship Id="rId272" Type="http://schemas.openxmlformats.org/officeDocument/2006/relationships/hyperlink" Target="https://tw.stock.yahoo.com/d/s/earning_1565.html" TargetMode="External"/><Relationship Id="rId577" Type="http://schemas.openxmlformats.org/officeDocument/2006/relationships/hyperlink" Target="http://w.wantgoo.com/Stock/aStock/TechChart?StockNo=8114&amp;m=dk" TargetMode="External"/><Relationship Id="rId132" Type="http://schemas.openxmlformats.org/officeDocument/2006/relationships/hyperlink" Target="https://tw.stock.yahoo.com/d/s/earning_3078.html" TargetMode="External"/><Relationship Id="rId437" Type="http://schemas.openxmlformats.org/officeDocument/2006/relationships/hyperlink" Target="http://w.wantgoo.com/Stock/aStock/TechChart?StockNo=4123&amp;m=dk" TargetMode="External"/><Relationship Id="rId644" Type="http://schemas.openxmlformats.org/officeDocument/2006/relationships/hyperlink" Target="http://jsjustweb.jihsun.com.tw/z/zc/zco/zco0/zco0.djhtm?a=2608&amp;b=1650" TargetMode="External"/><Relationship Id="rId283" Type="http://schemas.openxmlformats.org/officeDocument/2006/relationships/hyperlink" Target="http://w.wantgoo.com/Stock/aStock/TechChart?StockNo=1707&amp;m=dk" TargetMode="External"/><Relationship Id="rId490" Type="http://schemas.openxmlformats.org/officeDocument/2006/relationships/hyperlink" Target="https://tw.stock.yahoo.com/d/s/earning_4984.html" TargetMode="External"/><Relationship Id="rId504" Type="http://schemas.openxmlformats.org/officeDocument/2006/relationships/hyperlink" Target="https://tw.stock.yahoo.com/d/s/earning_5269.html" TargetMode="External"/><Relationship Id="rId78" Type="http://schemas.openxmlformats.org/officeDocument/2006/relationships/hyperlink" Target="https://tw.stock.yahoo.com/d/s/earning_6244.html" TargetMode="External"/><Relationship Id="rId143" Type="http://schemas.openxmlformats.org/officeDocument/2006/relationships/hyperlink" Target="http://w.wantgoo.com/Stock/aStock/TechChart?StockNo=3234&amp;m=dk" TargetMode="External"/><Relationship Id="rId350" Type="http://schemas.openxmlformats.org/officeDocument/2006/relationships/hyperlink" Target="https://tw.stock.yahoo.com/d/s/earning_3050.html" TargetMode="External"/><Relationship Id="rId588" Type="http://schemas.openxmlformats.org/officeDocument/2006/relationships/hyperlink" Target="https://tw.stock.yahoo.com/d/s/earning_8409.html" TargetMode="External"/><Relationship Id="rId9" Type="http://schemas.openxmlformats.org/officeDocument/2006/relationships/hyperlink" Target="https://tw.stock.yahoo.com/d/s/earning_2443.html" TargetMode="External"/><Relationship Id="rId210" Type="http://schemas.openxmlformats.org/officeDocument/2006/relationships/hyperlink" Target="https://tw.stock.yahoo.com/d/s/earning_5410.html" TargetMode="External"/><Relationship Id="rId448" Type="http://schemas.openxmlformats.org/officeDocument/2006/relationships/hyperlink" Target="https://tw.stock.yahoo.com/d/s/earning_4153.html" TargetMode="External"/><Relationship Id="rId655" Type="http://schemas.openxmlformats.org/officeDocument/2006/relationships/hyperlink" Target="http://jsjustweb.jihsun.com.tw/z/zc/zco/zco0/zco0.djhtm?a=6412&amp;b=1650" TargetMode="External"/><Relationship Id="rId294" Type="http://schemas.openxmlformats.org/officeDocument/2006/relationships/hyperlink" Target="https://tw.stock.yahoo.com/d/s/earning_1786.html" TargetMode="External"/><Relationship Id="rId308" Type="http://schemas.openxmlformats.org/officeDocument/2006/relationships/hyperlink" Target="https://tw.stock.yahoo.com/d/s/earning_2406.html" TargetMode="External"/><Relationship Id="rId515" Type="http://schemas.openxmlformats.org/officeDocument/2006/relationships/hyperlink" Target="http://w.wantgoo.com/Stock/aStock/TechChart?StockNo=5392&amp;m=dk" TargetMode="External"/><Relationship Id="rId89" Type="http://schemas.openxmlformats.org/officeDocument/2006/relationships/hyperlink" Target="http://w.wantgoo.com/Stock/aStock/TechChart?StockNo=1512&amp;m=dk" TargetMode="External"/><Relationship Id="rId154" Type="http://schemas.openxmlformats.org/officeDocument/2006/relationships/hyperlink" Target="https://tw.stock.yahoo.com/d/s/earning_3529.html" TargetMode="External"/><Relationship Id="rId361" Type="http://schemas.openxmlformats.org/officeDocument/2006/relationships/hyperlink" Target="http://w.wantgoo.com/Stock/aStock/TechChart?StockNo=3122&amp;m=dk" TargetMode="External"/><Relationship Id="rId599" Type="http://schemas.openxmlformats.org/officeDocument/2006/relationships/hyperlink" Target="http://w.wantgoo.com/Stock/aStock/TechChart?StockNo=8433&amp;m=dk" TargetMode="External"/><Relationship Id="rId459" Type="http://schemas.openxmlformats.org/officeDocument/2006/relationships/hyperlink" Target="http://w.wantgoo.com/Stock/aStock/TechChart?StockNo=4420&amp;m=dk" TargetMode="External"/><Relationship Id="rId666" Type="http://schemas.openxmlformats.org/officeDocument/2006/relationships/hyperlink" Target="http://jsjustweb.jihsun.com.tw/z/zc/zco/zco0/zco0.djhtm?a=3324&amp;b=1650" TargetMode="External"/><Relationship Id="rId16" Type="http://schemas.openxmlformats.org/officeDocument/2006/relationships/hyperlink" Target="https://tw.stock.yahoo.com/d/s/earning_4523.html" TargetMode="External"/><Relationship Id="rId221" Type="http://schemas.openxmlformats.org/officeDocument/2006/relationships/hyperlink" Target="http://w.wantgoo.com/Stock/aStock/TechChart?StockNo=6237&amp;m=dk" TargetMode="External"/><Relationship Id="rId319" Type="http://schemas.openxmlformats.org/officeDocument/2006/relationships/hyperlink" Target="http://w.wantgoo.com/Stock/aStock/TechChart?StockNo=2438&amp;m=dk" TargetMode="External"/><Relationship Id="rId526" Type="http://schemas.openxmlformats.org/officeDocument/2006/relationships/hyperlink" Target="https://tw.stock.yahoo.com/d/s/earning_6136.html" TargetMode="External"/><Relationship Id="rId165" Type="http://schemas.openxmlformats.org/officeDocument/2006/relationships/hyperlink" Target="http://w.wantgoo.com/Stock/aStock/TechChart?StockNo=4109&amp;m=dk" TargetMode="External"/><Relationship Id="rId372" Type="http://schemas.openxmlformats.org/officeDocument/2006/relationships/hyperlink" Target="https://tw.stock.yahoo.com/d/s/earning_3226.html" TargetMode="External"/><Relationship Id="rId677" Type="http://schemas.openxmlformats.org/officeDocument/2006/relationships/hyperlink" Target="http://jsjustweb.jihsun.com.tw/z/zc/zco/zco0/zco0.djhtm?a=6803&amp;b=1650" TargetMode="External"/><Relationship Id="rId232" Type="http://schemas.openxmlformats.org/officeDocument/2006/relationships/hyperlink" Target="https://tw.stock.yahoo.com/d/s/earning_6605.html" TargetMode="External"/><Relationship Id="rId27" Type="http://schemas.openxmlformats.org/officeDocument/2006/relationships/hyperlink" Target="https://tw.stock.yahoo.com/d/s/earning_1536.html" TargetMode="External"/><Relationship Id="rId537" Type="http://schemas.openxmlformats.org/officeDocument/2006/relationships/hyperlink" Target="http://w.wantgoo.com/Stock/aStock/TechChart?StockNo=6233&amp;m=dk" TargetMode="External"/><Relationship Id="rId80" Type="http://schemas.openxmlformats.org/officeDocument/2006/relationships/hyperlink" Target="https://tw.stock.yahoo.com/d/s/earning_8112.html" TargetMode="External"/><Relationship Id="rId176" Type="http://schemas.openxmlformats.org/officeDocument/2006/relationships/hyperlink" Target="https://tw.stock.yahoo.com/d/s/earning_4154.html" TargetMode="External"/><Relationship Id="rId383" Type="http://schemas.openxmlformats.org/officeDocument/2006/relationships/hyperlink" Target="http://w.wantgoo.com/Stock/aStock/TechChart?StockNo=3325&amp;m=dk" TargetMode="External"/><Relationship Id="rId590" Type="http://schemas.openxmlformats.org/officeDocument/2006/relationships/hyperlink" Target="https://tw.stock.yahoo.com/d/s/earning_8411.html" TargetMode="External"/><Relationship Id="rId604" Type="http://schemas.openxmlformats.org/officeDocument/2006/relationships/hyperlink" Target="https://tw.stock.yahoo.com/d/s/earning_8913.html" TargetMode="External"/><Relationship Id="rId243" Type="http://schemas.openxmlformats.org/officeDocument/2006/relationships/hyperlink" Target="http://w.wantgoo.com/Stock/aStock/TechChart?StockNo=8176&amp;m=dk" TargetMode="External"/><Relationship Id="rId450" Type="http://schemas.openxmlformats.org/officeDocument/2006/relationships/hyperlink" Target="https://tw.stock.yahoo.com/d/s/earning_4160.html" TargetMode="External"/><Relationship Id="rId38" Type="http://schemas.openxmlformats.org/officeDocument/2006/relationships/hyperlink" Target="https://tw.stock.yahoo.com/d/s/earning_3552.html" TargetMode="External"/><Relationship Id="rId103" Type="http://schemas.openxmlformats.org/officeDocument/2006/relationships/hyperlink" Target="http://w.wantgoo.com/Stock/aStock/TechChart?StockNo=2221&amp;m=dk" TargetMode="External"/><Relationship Id="rId310" Type="http://schemas.openxmlformats.org/officeDocument/2006/relationships/hyperlink" Target="https://tw.stock.yahoo.com/d/s/earning_2417.html" TargetMode="External"/><Relationship Id="rId548" Type="http://schemas.openxmlformats.org/officeDocument/2006/relationships/hyperlink" Target="https://tw.stock.yahoo.com/d/s/earning_6292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設定"/>
  <dimension ref="A1:O1478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33" sqref="E33"/>
    </sheetView>
  </sheetViews>
  <sheetFormatPr defaultColWidth="15.625" defaultRowHeight="19.5"/>
  <cols>
    <col min="1" max="1" width="8.875" style="142" bestFit="1" customWidth="1"/>
    <col min="2" max="2" width="15.625" style="110"/>
    <col min="3" max="3" width="13.125" style="110" customWidth="1"/>
    <col min="4" max="4" width="13" style="142" bestFit="1" customWidth="1"/>
    <col min="5" max="5" width="13" style="142" customWidth="1"/>
    <col min="6" max="6" width="16.375" style="145" bestFit="1" customWidth="1"/>
    <col min="7" max="7" width="18" style="145" bestFit="1" customWidth="1"/>
    <col min="8" max="8" width="18.875" style="350" customWidth="1"/>
    <col min="9" max="9" width="13.875" style="142" bestFit="1" customWidth="1"/>
    <col min="10" max="10" width="15.625" style="424"/>
    <col min="11" max="11" width="15.625" style="350"/>
    <col min="12" max="12" width="13.875" style="350" bestFit="1" customWidth="1"/>
    <col min="13" max="13" width="17.125" style="110" bestFit="1" customWidth="1"/>
    <col min="14" max="14" width="13.875" style="110" bestFit="1" customWidth="1"/>
    <col min="15" max="16384" width="15.625" style="110"/>
  </cols>
  <sheetData>
    <row r="1" spans="1:15" s="134" customFormat="1" ht="24.75" customHeight="1" thickBot="1">
      <c r="A1" s="451" t="s">
        <v>2594</v>
      </c>
      <c r="B1" s="452"/>
      <c r="C1" s="453"/>
      <c r="D1" s="134" t="s">
        <v>2595</v>
      </c>
      <c r="E1" s="134" t="s">
        <v>2596</v>
      </c>
      <c r="F1" s="134" t="s">
        <v>2513</v>
      </c>
      <c r="G1" s="134" t="s">
        <v>2591</v>
      </c>
      <c r="H1" s="358" t="s">
        <v>2590</v>
      </c>
      <c r="J1" s="423" t="s">
        <v>3224</v>
      </c>
      <c r="K1" s="359" t="s">
        <v>3192</v>
      </c>
      <c r="L1" s="359" t="s">
        <v>3196</v>
      </c>
      <c r="M1" s="134" t="s">
        <v>3193</v>
      </c>
      <c r="N1" s="134" t="s">
        <v>3194</v>
      </c>
      <c r="O1" s="134" t="s">
        <v>3195</v>
      </c>
    </row>
    <row r="2" spans="1:15">
      <c r="A2" s="415" t="s">
        <v>2521</v>
      </c>
      <c r="B2" s="414">
        <f ca="1">TODAY()</f>
        <v>42438</v>
      </c>
      <c r="C2" s="416">
        <f ca="1">B2-WEEKDAY(TODAY())-1</f>
        <v>42433</v>
      </c>
      <c r="D2" s="142">
        <v>1101</v>
      </c>
      <c r="E2" s="142">
        <v>2330</v>
      </c>
      <c r="F2" s="142">
        <v>1473</v>
      </c>
      <c r="G2" s="145" t="s">
        <v>2565</v>
      </c>
      <c r="H2" s="350">
        <v>1236</v>
      </c>
      <c r="J2" s="424" t="s">
        <v>3198</v>
      </c>
      <c r="K2" s="350">
        <v>1258</v>
      </c>
    </row>
    <row r="3" spans="1:15">
      <c r="A3" s="417" t="s">
        <v>2522</v>
      </c>
      <c r="B3" s="413" t="s">
        <v>1850</v>
      </c>
      <c r="C3" s="418">
        <f ca="1">C2-7</f>
        <v>42426</v>
      </c>
      <c r="D3" s="142">
        <v>1102</v>
      </c>
      <c r="E3" s="142">
        <v>2344</v>
      </c>
      <c r="F3" s="142">
        <v>1590</v>
      </c>
      <c r="G3" s="142" t="s">
        <v>2564</v>
      </c>
      <c r="H3" s="350">
        <v>1259</v>
      </c>
      <c r="J3" s="424" t="s">
        <v>3222</v>
      </c>
      <c r="K3" s="350">
        <v>1568</v>
      </c>
    </row>
    <row r="4" spans="1:15">
      <c r="A4" s="417" t="s">
        <v>2523</v>
      </c>
      <c r="B4" s="413" t="s">
        <v>1846</v>
      </c>
      <c r="C4" s="418">
        <f ca="1">C3-7</f>
        <v>42419</v>
      </c>
      <c r="D4" s="142">
        <v>1103</v>
      </c>
      <c r="E4" s="142">
        <v>2405</v>
      </c>
      <c r="F4" s="279">
        <v>1626</v>
      </c>
      <c r="G4" s="142" t="s">
        <v>2566</v>
      </c>
      <c r="H4" s="350">
        <v>1452</v>
      </c>
      <c r="J4" s="424" t="s">
        <v>3199</v>
      </c>
      <c r="K4" s="350">
        <v>1730</v>
      </c>
    </row>
    <row r="5" spans="1:15">
      <c r="A5" s="417" t="s">
        <v>2524</v>
      </c>
      <c r="B5" s="413" t="s">
        <v>1847</v>
      </c>
      <c r="C5" s="418">
        <f ca="1">C4-7</f>
        <v>42412</v>
      </c>
      <c r="D5" s="142">
        <v>1104</v>
      </c>
      <c r="E5" s="142">
        <v>2409</v>
      </c>
      <c r="F5" s="145">
        <v>2395</v>
      </c>
      <c r="G5" s="145" t="s">
        <v>2567</v>
      </c>
      <c r="H5" s="350">
        <v>1560</v>
      </c>
      <c r="J5" s="424" t="s">
        <v>3212</v>
      </c>
      <c r="K5" s="350">
        <v>2419</v>
      </c>
    </row>
    <row r="6" spans="1:15">
      <c r="A6" s="417" t="s">
        <v>2525</v>
      </c>
      <c r="B6" s="413" t="s">
        <v>1848</v>
      </c>
      <c r="C6" s="418">
        <f ca="1">C5-7</f>
        <v>42405</v>
      </c>
      <c r="D6" s="142">
        <v>1108</v>
      </c>
      <c r="E6" s="142">
        <v>3044</v>
      </c>
      <c r="F6" s="145">
        <v>2437</v>
      </c>
      <c r="G6" s="142" t="s">
        <v>2568</v>
      </c>
      <c r="H6" s="350">
        <v>1605</v>
      </c>
      <c r="J6" s="424" t="s">
        <v>3206</v>
      </c>
      <c r="K6" s="350">
        <v>2637</v>
      </c>
    </row>
    <row r="7" spans="1:15">
      <c r="A7" s="417" t="s">
        <v>2526</v>
      </c>
      <c r="B7" s="413" t="s">
        <v>1849</v>
      </c>
      <c r="C7" s="418">
        <f ca="1">C6-7</f>
        <v>42398</v>
      </c>
      <c r="D7" s="142">
        <v>1109</v>
      </c>
      <c r="E7" s="142">
        <v>3045</v>
      </c>
      <c r="F7" s="142">
        <v>2492</v>
      </c>
      <c r="G7" s="350" t="s">
        <v>2569</v>
      </c>
      <c r="H7" s="350">
        <v>1721</v>
      </c>
      <c r="J7" s="424" t="s">
        <v>3214</v>
      </c>
      <c r="K7" s="350">
        <v>3044</v>
      </c>
    </row>
    <row r="8" spans="1:15">
      <c r="A8" s="417" t="s">
        <v>2527</v>
      </c>
      <c r="B8" s="413"/>
      <c r="C8" s="419">
        <v>0.02</v>
      </c>
      <c r="D8" s="142">
        <v>1110</v>
      </c>
      <c r="E8" s="142">
        <v>3081</v>
      </c>
      <c r="F8" s="142">
        <v>3030</v>
      </c>
      <c r="G8" s="142" t="s">
        <v>2570</v>
      </c>
      <c r="H8" s="350">
        <v>1730</v>
      </c>
      <c r="J8" s="424" t="s">
        <v>3200</v>
      </c>
      <c r="K8" s="350">
        <v>3068</v>
      </c>
    </row>
    <row r="9" spans="1:15" ht="20.25" thickBot="1">
      <c r="A9" s="420" t="s">
        <v>148</v>
      </c>
      <c r="B9" s="421"/>
      <c r="C9" s="422">
        <v>17</v>
      </c>
      <c r="D9" s="142">
        <v>1201</v>
      </c>
      <c r="E9" s="142">
        <v>3088</v>
      </c>
      <c r="F9" s="145">
        <v>3515</v>
      </c>
      <c r="G9" s="350" t="s">
        <v>2571</v>
      </c>
      <c r="H9" s="350">
        <v>1731</v>
      </c>
      <c r="J9" s="424" t="s">
        <v>3201</v>
      </c>
      <c r="K9" s="350">
        <v>3078</v>
      </c>
    </row>
    <row r="10" spans="1:15" ht="20.25" thickBot="1">
      <c r="A10" s="350"/>
      <c r="D10" s="142">
        <v>1203</v>
      </c>
      <c r="E10" s="142">
        <v>3152</v>
      </c>
      <c r="F10" s="145">
        <v>3573</v>
      </c>
      <c r="G10" s="145" t="s">
        <v>2572</v>
      </c>
      <c r="H10" s="350">
        <v>1813</v>
      </c>
      <c r="J10" s="424" t="s">
        <v>3202</v>
      </c>
      <c r="K10" s="350">
        <v>3088</v>
      </c>
    </row>
    <row r="11" spans="1:15" ht="21" thickBot="1">
      <c r="A11" s="442" t="s">
        <v>2518</v>
      </c>
      <c r="B11" s="443"/>
      <c r="C11" s="444"/>
      <c r="D11" s="142">
        <v>1210</v>
      </c>
      <c r="E11" s="142">
        <v>3265</v>
      </c>
      <c r="F11" s="145">
        <v>3698</v>
      </c>
      <c r="G11" s="145" t="s">
        <v>2573</v>
      </c>
      <c r="H11" s="350">
        <v>2035</v>
      </c>
      <c r="J11" s="424" t="s">
        <v>3203</v>
      </c>
      <c r="K11" s="350">
        <v>3189</v>
      </c>
    </row>
    <row r="12" spans="1:15">
      <c r="A12" s="428">
        <v>1</v>
      </c>
      <c r="B12" s="394" t="s">
        <v>2574</v>
      </c>
      <c r="C12" s="395" t="s">
        <v>2593</v>
      </c>
      <c r="D12" s="142">
        <v>1213</v>
      </c>
      <c r="E12" s="142">
        <v>3374</v>
      </c>
      <c r="F12" s="279">
        <v>4137</v>
      </c>
      <c r="G12" s="191">
        <v>5498</v>
      </c>
      <c r="H12" s="350">
        <v>2059</v>
      </c>
      <c r="J12" s="424" t="s">
        <v>3204</v>
      </c>
      <c r="K12" s="350">
        <v>3234</v>
      </c>
    </row>
    <row r="13" spans="1:15">
      <c r="A13" s="429">
        <v>2</v>
      </c>
      <c r="B13" s="390" t="s">
        <v>2575</v>
      </c>
      <c r="C13" s="391" t="s">
        <v>2593</v>
      </c>
      <c r="D13" s="142">
        <v>1215</v>
      </c>
      <c r="E13" s="142">
        <v>3443</v>
      </c>
      <c r="F13" s="142">
        <v>4904</v>
      </c>
      <c r="G13" s="142">
        <v>5493</v>
      </c>
      <c r="H13" s="350">
        <v>2062</v>
      </c>
      <c r="J13" s="424" t="s">
        <v>3205</v>
      </c>
      <c r="K13" s="350">
        <v>3413</v>
      </c>
    </row>
    <row r="14" spans="1:15">
      <c r="A14" s="429">
        <v>3</v>
      </c>
      <c r="B14" s="390" t="s">
        <v>3508</v>
      </c>
      <c r="C14" s="391" t="s">
        <v>3509</v>
      </c>
      <c r="D14" s="142">
        <v>1216</v>
      </c>
      <c r="E14" s="142">
        <v>3474</v>
      </c>
      <c r="F14" s="200">
        <v>4968</v>
      </c>
      <c r="G14" s="142">
        <v>5491</v>
      </c>
      <c r="H14" s="350">
        <v>2325</v>
      </c>
      <c r="J14" s="424" t="s">
        <v>3207</v>
      </c>
      <c r="K14" s="350">
        <v>3548</v>
      </c>
    </row>
    <row r="15" spans="1:15">
      <c r="A15" s="429">
        <v>4</v>
      </c>
      <c r="B15" s="390"/>
      <c r="C15" s="391"/>
      <c r="D15" s="142">
        <v>1217</v>
      </c>
      <c r="E15" s="142">
        <v>3504</v>
      </c>
      <c r="F15" s="145">
        <v>5906</v>
      </c>
      <c r="G15" s="142">
        <v>5878</v>
      </c>
      <c r="H15" s="350">
        <v>2330</v>
      </c>
      <c r="J15" s="424" t="s">
        <v>3208</v>
      </c>
      <c r="K15" s="350">
        <v>4991</v>
      </c>
    </row>
    <row r="16" spans="1:15" ht="20.25" thickBot="1">
      <c r="A16" s="430">
        <v>5</v>
      </c>
      <c r="B16" s="392"/>
      <c r="C16" s="393"/>
      <c r="D16" s="142">
        <v>1218</v>
      </c>
      <c r="E16" s="142">
        <v>4919</v>
      </c>
      <c r="F16" s="142">
        <v>6257</v>
      </c>
      <c r="G16" s="145">
        <v>6171</v>
      </c>
      <c r="H16" s="350">
        <v>2344</v>
      </c>
      <c r="J16" s="424" t="s">
        <v>3209</v>
      </c>
      <c r="K16" s="350">
        <v>5315</v>
      </c>
    </row>
    <row r="17" spans="1:11" ht="20.25" thickBot="1">
      <c r="D17" s="142">
        <v>1219</v>
      </c>
      <c r="E17" s="142">
        <v>5347</v>
      </c>
      <c r="F17" s="145">
        <v>6271</v>
      </c>
      <c r="G17" s="142">
        <v>6211</v>
      </c>
      <c r="H17" s="350">
        <v>2405</v>
      </c>
      <c r="J17" s="424" t="s">
        <v>3210</v>
      </c>
      <c r="K17" s="350">
        <v>6123</v>
      </c>
    </row>
    <row r="18" spans="1:11" ht="21" thickBot="1">
      <c r="A18" s="445" t="s">
        <v>2519</v>
      </c>
      <c r="B18" s="446"/>
      <c r="C18" s="447"/>
      <c r="D18" s="142">
        <v>1220</v>
      </c>
      <c r="E18" s="142">
        <v>5371</v>
      </c>
      <c r="F18" s="145">
        <v>9940</v>
      </c>
      <c r="G18" s="145">
        <v>8082</v>
      </c>
      <c r="H18" s="350">
        <v>2409</v>
      </c>
      <c r="J18" s="424" t="s">
        <v>3211</v>
      </c>
      <c r="K18" s="350">
        <v>6456</v>
      </c>
    </row>
    <row r="19" spans="1:11">
      <c r="A19" s="431">
        <v>1</v>
      </c>
      <c r="B19" s="396" t="s">
        <v>2579</v>
      </c>
      <c r="C19" s="397" t="s">
        <v>3502</v>
      </c>
      <c r="D19" s="142">
        <v>1225</v>
      </c>
      <c r="E19" s="142">
        <v>5904</v>
      </c>
      <c r="F19" s="142">
        <v>3211</v>
      </c>
      <c r="H19" s="350">
        <v>2439</v>
      </c>
      <c r="J19" s="424" t="s">
        <v>3213</v>
      </c>
      <c r="K19" s="350">
        <v>6605</v>
      </c>
    </row>
    <row r="20" spans="1:11">
      <c r="A20" s="432">
        <v>2</v>
      </c>
      <c r="B20" s="389" t="s">
        <v>3511</v>
      </c>
      <c r="C20" s="398"/>
      <c r="D20" s="142">
        <v>1227</v>
      </c>
      <c r="E20" s="142">
        <v>6120</v>
      </c>
      <c r="F20" s="145">
        <v>3290</v>
      </c>
      <c r="H20" s="350">
        <v>2442</v>
      </c>
      <c r="J20" s="424" t="s">
        <v>3215</v>
      </c>
      <c r="K20" s="350">
        <v>8042</v>
      </c>
    </row>
    <row r="21" spans="1:11">
      <c r="A21" s="432">
        <v>3</v>
      </c>
      <c r="B21" s="389" t="s">
        <v>3512</v>
      </c>
      <c r="C21" s="398"/>
      <c r="D21" s="142">
        <v>1229</v>
      </c>
      <c r="E21" s="142">
        <v>6202</v>
      </c>
      <c r="F21" s="142">
        <v>3323</v>
      </c>
      <c r="H21" s="350">
        <v>2465</v>
      </c>
      <c r="J21" s="424" t="s">
        <v>3216</v>
      </c>
      <c r="K21" s="350">
        <v>8049</v>
      </c>
    </row>
    <row r="22" spans="1:11">
      <c r="A22" s="432">
        <v>4</v>
      </c>
      <c r="B22" s="389"/>
      <c r="C22" s="398"/>
      <c r="D22" s="142">
        <v>1231</v>
      </c>
      <c r="E22" s="142">
        <v>6414</v>
      </c>
      <c r="F22" s="142">
        <v>3455</v>
      </c>
      <c r="G22" s="191"/>
      <c r="H22" s="350">
        <v>2474</v>
      </c>
      <c r="J22" s="424" t="s">
        <v>3217</v>
      </c>
      <c r="K22" s="350">
        <v>8421</v>
      </c>
    </row>
    <row r="23" spans="1:11" ht="20.25" thickBot="1">
      <c r="A23" s="433">
        <v>5</v>
      </c>
      <c r="B23" s="399"/>
      <c r="C23" s="400"/>
      <c r="D23" s="142">
        <v>1232</v>
      </c>
      <c r="E23" s="142">
        <v>8083</v>
      </c>
      <c r="F23" s="133">
        <v>4188</v>
      </c>
      <c r="H23" s="350">
        <v>2480</v>
      </c>
      <c r="J23" s="424" t="s">
        <v>3218</v>
      </c>
      <c r="K23" s="350">
        <v>8422</v>
      </c>
    </row>
    <row r="24" spans="1:11" ht="20.25" thickBot="1">
      <c r="D24" s="142">
        <v>1233</v>
      </c>
      <c r="E24" s="142">
        <v>8454</v>
      </c>
      <c r="F24" s="145">
        <v>4979</v>
      </c>
      <c r="G24" s="191"/>
      <c r="H24" s="350">
        <v>2612</v>
      </c>
      <c r="J24" s="424" t="s">
        <v>3219</v>
      </c>
    </row>
    <row r="25" spans="1:11" ht="21" thickBot="1">
      <c r="A25" s="448" t="s">
        <v>2520</v>
      </c>
      <c r="B25" s="449"/>
      <c r="C25" s="450"/>
      <c r="D25" s="142">
        <v>1234</v>
      </c>
      <c r="E25" s="142">
        <v>1236</v>
      </c>
      <c r="F25" s="133">
        <v>4991</v>
      </c>
      <c r="G25" s="191"/>
      <c r="H25" s="350">
        <v>2637</v>
      </c>
      <c r="J25" s="424" t="s">
        <v>3220</v>
      </c>
    </row>
    <row r="26" spans="1:11">
      <c r="A26" s="434">
        <v>1</v>
      </c>
      <c r="B26" s="401" t="s">
        <v>2580</v>
      </c>
      <c r="C26" s="402" t="s">
        <v>2592</v>
      </c>
      <c r="D26" s="142">
        <v>1235</v>
      </c>
      <c r="E26" s="142">
        <v>1259</v>
      </c>
      <c r="F26" s="133">
        <v>5278</v>
      </c>
      <c r="G26" s="191"/>
      <c r="H26" s="350">
        <v>2718</v>
      </c>
      <c r="J26" s="424" t="s">
        <v>3221</v>
      </c>
    </row>
    <row r="27" spans="1:11">
      <c r="A27" s="435">
        <v>2</v>
      </c>
      <c r="B27" s="403" t="s">
        <v>2581</v>
      </c>
      <c r="C27" s="404"/>
      <c r="D27" s="142">
        <v>1236</v>
      </c>
      <c r="E27" s="142">
        <v>1721</v>
      </c>
      <c r="F27" s="133">
        <v>6417</v>
      </c>
      <c r="G27" s="191"/>
      <c r="H27" s="350">
        <v>2722</v>
      </c>
      <c r="J27" s="424" t="s">
        <v>3223</v>
      </c>
    </row>
    <row r="28" spans="1:11">
      <c r="A28" s="435">
        <v>3</v>
      </c>
      <c r="B28" s="403"/>
      <c r="C28" s="404"/>
      <c r="D28" s="142">
        <v>1262</v>
      </c>
      <c r="E28" s="142">
        <v>2062</v>
      </c>
      <c r="F28" s="133">
        <v>6485</v>
      </c>
      <c r="G28" s="191"/>
      <c r="H28" s="350">
        <v>2841</v>
      </c>
      <c r="J28" s="424" t="s">
        <v>3226</v>
      </c>
    </row>
    <row r="29" spans="1:11">
      <c r="A29" s="435">
        <v>4</v>
      </c>
      <c r="B29" s="403"/>
      <c r="C29" s="404"/>
      <c r="D29" s="142">
        <v>1301</v>
      </c>
      <c r="E29" s="142">
        <v>2325</v>
      </c>
      <c r="F29" s="133"/>
      <c r="G29" s="191"/>
      <c r="H29" s="350">
        <v>2923</v>
      </c>
      <c r="J29" s="424" t="s">
        <v>3227</v>
      </c>
    </row>
    <row r="30" spans="1:11" ht="20.25" thickBot="1">
      <c r="A30" s="436">
        <v>5</v>
      </c>
      <c r="B30" s="405"/>
      <c r="C30" s="406"/>
      <c r="D30" s="142">
        <v>1303</v>
      </c>
      <c r="E30" s="142">
        <v>2474</v>
      </c>
      <c r="F30" s="133"/>
      <c r="G30" s="191"/>
      <c r="H30" s="350">
        <v>3008</v>
      </c>
      <c r="J30" s="424" t="s">
        <v>3228</v>
      </c>
    </row>
    <row r="31" spans="1:11" ht="20.25" thickBot="1">
      <c r="D31" s="142">
        <v>1304</v>
      </c>
      <c r="E31" s="142">
        <v>3008</v>
      </c>
      <c r="F31" s="133"/>
      <c r="H31" s="350">
        <v>3011</v>
      </c>
      <c r="J31" s="424" t="s">
        <v>3229</v>
      </c>
    </row>
    <row r="32" spans="1:11" ht="21" thickBot="1">
      <c r="A32" s="454" t="s">
        <v>3503</v>
      </c>
      <c r="B32" s="455"/>
      <c r="C32" s="456"/>
      <c r="D32" s="142">
        <v>1305</v>
      </c>
      <c r="E32" s="142">
        <v>3029</v>
      </c>
      <c r="H32" s="350">
        <v>3014</v>
      </c>
      <c r="J32" s="424" t="s">
        <v>3230</v>
      </c>
    </row>
    <row r="33" spans="1:10">
      <c r="A33" s="437">
        <v>1</v>
      </c>
      <c r="B33" s="407" t="s">
        <v>3504</v>
      </c>
      <c r="C33" s="408" t="s">
        <v>3505</v>
      </c>
      <c r="D33" s="142">
        <v>1307</v>
      </c>
      <c r="E33" s="142">
        <v>3413</v>
      </c>
      <c r="H33" s="350">
        <v>3029</v>
      </c>
      <c r="J33" s="424" t="s">
        <v>3231</v>
      </c>
    </row>
    <row r="34" spans="1:10">
      <c r="A34" s="438">
        <v>2</v>
      </c>
      <c r="B34" s="409" t="s">
        <v>3506</v>
      </c>
      <c r="C34" s="410" t="s">
        <v>3505</v>
      </c>
      <c r="D34" s="142">
        <v>1308</v>
      </c>
      <c r="E34" s="142">
        <v>3528</v>
      </c>
      <c r="G34" s="191"/>
      <c r="H34" s="350">
        <v>3040</v>
      </c>
      <c r="J34" s="424" t="s">
        <v>3232</v>
      </c>
    </row>
    <row r="35" spans="1:10">
      <c r="A35" s="438">
        <v>3</v>
      </c>
      <c r="B35" s="409" t="s">
        <v>3507</v>
      </c>
      <c r="C35" s="410" t="s">
        <v>3505</v>
      </c>
      <c r="D35" s="142">
        <v>1309</v>
      </c>
      <c r="E35" s="142">
        <v>3558</v>
      </c>
      <c r="F35" s="133"/>
      <c r="G35" s="191"/>
      <c r="H35" s="350">
        <v>3044</v>
      </c>
      <c r="I35" s="350"/>
      <c r="J35" s="424" t="s">
        <v>3233</v>
      </c>
    </row>
    <row r="36" spans="1:10">
      <c r="A36" s="438">
        <v>4</v>
      </c>
      <c r="B36" s="409"/>
      <c r="C36" s="410"/>
      <c r="D36" s="142">
        <v>1310</v>
      </c>
      <c r="E36" s="142">
        <v>3666</v>
      </c>
      <c r="F36" s="133"/>
      <c r="G36" s="191"/>
      <c r="H36" s="350">
        <v>3045</v>
      </c>
      <c r="J36" s="424" t="s">
        <v>3234</v>
      </c>
    </row>
    <row r="37" spans="1:10" ht="20.25" thickBot="1">
      <c r="A37" s="439">
        <v>5</v>
      </c>
      <c r="B37" s="411"/>
      <c r="C37" s="412"/>
      <c r="D37" s="142">
        <v>1312</v>
      </c>
      <c r="E37" s="142">
        <v>3686</v>
      </c>
      <c r="F37" s="133"/>
      <c r="H37" s="350">
        <v>3081</v>
      </c>
      <c r="J37" s="424" t="s">
        <v>3235</v>
      </c>
    </row>
    <row r="38" spans="1:10">
      <c r="A38" s="350"/>
      <c r="D38" s="142">
        <v>1313</v>
      </c>
      <c r="E38" s="142">
        <v>4108</v>
      </c>
      <c r="G38" s="191"/>
      <c r="H38" s="350">
        <v>3088</v>
      </c>
      <c r="J38" s="424" t="s">
        <v>3236</v>
      </c>
    </row>
    <row r="39" spans="1:10">
      <c r="D39" s="142">
        <v>1314</v>
      </c>
      <c r="E39" s="142">
        <v>4152</v>
      </c>
      <c r="F39" s="133"/>
      <c r="G39" s="191"/>
      <c r="H39" s="350">
        <v>3141</v>
      </c>
      <c r="J39" s="424" t="s">
        <v>3237</v>
      </c>
    </row>
    <row r="40" spans="1:10">
      <c r="D40" s="142">
        <v>1315</v>
      </c>
      <c r="E40" s="142">
        <v>6129</v>
      </c>
      <c r="F40" s="133"/>
      <c r="G40" s="191"/>
      <c r="H40" s="350">
        <v>3152</v>
      </c>
      <c r="J40" s="424" t="s">
        <v>3238</v>
      </c>
    </row>
    <row r="41" spans="1:10">
      <c r="D41" s="142">
        <v>1316</v>
      </c>
      <c r="E41" s="142">
        <v>6155</v>
      </c>
      <c r="F41" s="133"/>
      <c r="G41" s="191"/>
      <c r="H41" s="350">
        <v>3189</v>
      </c>
      <c r="J41" s="424" t="s">
        <v>3239</v>
      </c>
    </row>
    <row r="42" spans="1:10">
      <c r="D42" s="142">
        <v>1319</v>
      </c>
      <c r="E42" s="142">
        <v>6183</v>
      </c>
      <c r="F42" s="133"/>
      <c r="G42" s="191"/>
      <c r="H42" s="350">
        <v>3265</v>
      </c>
      <c r="J42" s="424" t="s">
        <v>3240</v>
      </c>
    </row>
    <row r="43" spans="1:10">
      <c r="D43" s="142">
        <v>1321</v>
      </c>
      <c r="E43" s="142">
        <v>6251</v>
      </c>
      <c r="F43" s="133"/>
      <c r="G43" s="191"/>
      <c r="H43" s="350">
        <v>3373</v>
      </c>
      <c r="J43" s="424" t="s">
        <v>3241</v>
      </c>
    </row>
    <row r="44" spans="1:10">
      <c r="D44" s="142">
        <v>1323</v>
      </c>
      <c r="E44" s="142">
        <v>6282</v>
      </c>
      <c r="F44" s="133"/>
      <c r="G44" s="191"/>
      <c r="H44" s="350">
        <v>3374</v>
      </c>
      <c r="J44" s="424" t="s">
        <v>3242</v>
      </c>
    </row>
    <row r="45" spans="1:10">
      <c r="D45" s="142">
        <v>1324</v>
      </c>
      <c r="E45" s="142">
        <v>6409</v>
      </c>
      <c r="F45" s="133"/>
      <c r="H45" s="350">
        <v>3413</v>
      </c>
      <c r="J45" s="424" t="s">
        <v>3243</v>
      </c>
    </row>
    <row r="46" spans="1:10">
      <c r="D46" s="142">
        <v>1325</v>
      </c>
      <c r="E46" s="142">
        <v>6452</v>
      </c>
      <c r="H46" s="350">
        <v>3443</v>
      </c>
      <c r="J46" s="424" t="s">
        <v>3244</v>
      </c>
    </row>
    <row r="47" spans="1:10">
      <c r="D47" s="142">
        <v>1326</v>
      </c>
      <c r="E47" s="142">
        <v>8222</v>
      </c>
      <c r="G47" s="191"/>
      <c r="H47" s="350">
        <v>3474</v>
      </c>
      <c r="J47" s="424" t="s">
        <v>3245</v>
      </c>
    </row>
    <row r="48" spans="1:10">
      <c r="D48" s="142">
        <v>1337</v>
      </c>
      <c r="E48" s="142">
        <v>1452</v>
      </c>
      <c r="F48" s="133"/>
      <c r="H48" s="350">
        <v>3504</v>
      </c>
      <c r="I48" s="350"/>
      <c r="J48" s="424" t="s">
        <v>3246</v>
      </c>
    </row>
    <row r="49" spans="4:10">
      <c r="D49" s="142">
        <v>1338</v>
      </c>
      <c r="E49" s="142">
        <v>1560</v>
      </c>
      <c r="G49" s="191"/>
      <c r="H49" s="350">
        <v>3511</v>
      </c>
      <c r="I49" s="350"/>
      <c r="J49" s="424" t="s">
        <v>3247</v>
      </c>
    </row>
    <row r="50" spans="4:10">
      <c r="D50" s="142">
        <v>1339</v>
      </c>
      <c r="E50" s="142">
        <v>1605</v>
      </c>
      <c r="F50" s="133"/>
      <c r="H50" s="350">
        <v>3518</v>
      </c>
      <c r="I50" s="350"/>
      <c r="J50" s="424" t="s">
        <v>3248</v>
      </c>
    </row>
    <row r="51" spans="4:10">
      <c r="D51" s="142">
        <v>1340</v>
      </c>
      <c r="E51" s="142">
        <v>1730</v>
      </c>
      <c r="H51" s="350">
        <v>3528</v>
      </c>
      <c r="J51" s="424" t="s">
        <v>3249</v>
      </c>
    </row>
    <row r="52" spans="4:10">
      <c r="D52" s="142">
        <v>1402</v>
      </c>
      <c r="E52" s="142">
        <v>1731</v>
      </c>
      <c r="G52" s="191"/>
      <c r="H52" s="350">
        <v>3529</v>
      </c>
      <c r="J52" s="424" t="s">
        <v>3250</v>
      </c>
    </row>
    <row r="53" spans="4:10">
      <c r="D53" s="142">
        <v>1410</v>
      </c>
      <c r="E53" s="142">
        <v>2059</v>
      </c>
      <c r="F53" s="133"/>
      <c r="G53" s="191"/>
      <c r="H53" s="350">
        <v>3558</v>
      </c>
      <c r="J53" s="424" t="s">
        <v>3251</v>
      </c>
    </row>
    <row r="54" spans="4:10">
      <c r="D54" s="142">
        <v>1413</v>
      </c>
      <c r="E54" s="142">
        <v>2439</v>
      </c>
      <c r="F54" s="133"/>
      <c r="H54" s="350">
        <v>3563</v>
      </c>
      <c r="J54" s="424" t="s">
        <v>3252</v>
      </c>
    </row>
    <row r="55" spans="4:10">
      <c r="D55" s="142">
        <v>1414</v>
      </c>
      <c r="E55" s="142">
        <v>2442</v>
      </c>
      <c r="G55" s="191"/>
      <c r="H55" s="350">
        <v>3658</v>
      </c>
      <c r="J55" s="424" t="s">
        <v>3253</v>
      </c>
    </row>
    <row r="56" spans="4:10">
      <c r="D56" s="142">
        <v>1416</v>
      </c>
      <c r="E56" s="142">
        <v>2465</v>
      </c>
      <c r="F56" s="133"/>
      <c r="G56" s="191"/>
      <c r="H56" s="350">
        <v>3666</v>
      </c>
      <c r="J56" s="424" t="s">
        <v>3254</v>
      </c>
    </row>
    <row r="57" spans="4:10">
      <c r="D57" s="142">
        <v>1417</v>
      </c>
      <c r="E57" s="142">
        <v>2480</v>
      </c>
      <c r="F57" s="133"/>
      <c r="G57" s="191"/>
      <c r="H57" s="350">
        <v>3675</v>
      </c>
      <c r="J57" s="424" t="s">
        <v>3255</v>
      </c>
    </row>
    <row r="58" spans="4:10">
      <c r="D58" s="142">
        <v>1418</v>
      </c>
      <c r="E58" s="142">
        <v>2612</v>
      </c>
      <c r="F58" s="133"/>
      <c r="G58" s="142"/>
      <c r="H58" s="350">
        <v>3679</v>
      </c>
      <c r="J58" s="424" t="s">
        <v>3256</v>
      </c>
    </row>
    <row r="59" spans="4:10">
      <c r="D59" s="142">
        <v>1419</v>
      </c>
      <c r="E59" s="142">
        <v>2637</v>
      </c>
      <c r="F59" s="142"/>
      <c r="G59" s="142"/>
      <c r="H59" s="350">
        <v>3686</v>
      </c>
      <c r="J59" s="424" t="s">
        <v>3257</v>
      </c>
    </row>
    <row r="60" spans="4:10">
      <c r="D60" s="142">
        <v>1423</v>
      </c>
      <c r="E60" s="142">
        <v>2722</v>
      </c>
      <c r="F60" s="142"/>
      <c r="G60" s="17"/>
      <c r="H60" s="350">
        <v>4107</v>
      </c>
      <c r="J60" s="424" t="s">
        <v>3197</v>
      </c>
    </row>
    <row r="61" spans="4:10">
      <c r="D61" s="142">
        <v>1432</v>
      </c>
      <c r="E61" s="142">
        <v>2841</v>
      </c>
      <c r="F61" s="17"/>
      <c r="G61" s="142"/>
      <c r="H61" s="350">
        <v>4108</v>
      </c>
    </row>
    <row r="62" spans="4:10">
      <c r="D62" s="142">
        <v>1434</v>
      </c>
      <c r="E62" s="142">
        <v>2923</v>
      </c>
      <c r="F62" s="142"/>
      <c r="H62" s="350">
        <v>4120</v>
      </c>
    </row>
    <row r="63" spans="4:10">
      <c r="D63" s="142">
        <v>1436</v>
      </c>
      <c r="E63" s="142">
        <v>3011</v>
      </c>
      <c r="G63" s="191"/>
      <c r="H63" s="350">
        <v>4121</v>
      </c>
    </row>
    <row r="64" spans="4:10">
      <c r="D64" s="142">
        <v>1437</v>
      </c>
      <c r="E64" s="142">
        <v>3014</v>
      </c>
      <c r="F64" s="133"/>
      <c r="H64" s="350">
        <v>4126</v>
      </c>
    </row>
    <row r="65" spans="4:9">
      <c r="D65" s="142">
        <v>1439</v>
      </c>
      <c r="E65" s="142">
        <v>3040</v>
      </c>
      <c r="F65" s="133"/>
      <c r="G65" s="191"/>
      <c r="H65" s="350">
        <v>4144</v>
      </c>
    </row>
    <row r="66" spans="4:9">
      <c r="D66" s="142">
        <v>1440</v>
      </c>
      <c r="E66" s="142">
        <v>3189</v>
      </c>
      <c r="F66" s="133"/>
      <c r="H66" s="350">
        <v>4152</v>
      </c>
    </row>
    <row r="67" spans="4:9">
      <c r="D67" s="142">
        <v>1441</v>
      </c>
      <c r="E67" s="142">
        <v>3518</v>
      </c>
      <c r="G67" s="191"/>
      <c r="H67" s="350">
        <v>4712</v>
      </c>
    </row>
    <row r="68" spans="4:9">
      <c r="D68" s="142">
        <v>1442</v>
      </c>
      <c r="E68" s="142">
        <v>3679</v>
      </c>
      <c r="F68" s="133"/>
      <c r="H68" s="350">
        <v>4733</v>
      </c>
    </row>
    <row r="69" spans="4:9">
      <c r="D69" s="142">
        <v>1443</v>
      </c>
      <c r="E69" s="142">
        <v>4144</v>
      </c>
      <c r="H69" s="350">
        <v>4919</v>
      </c>
    </row>
    <row r="70" spans="4:9">
      <c r="D70" s="142">
        <v>1444</v>
      </c>
      <c r="E70" s="142">
        <v>4733</v>
      </c>
      <c r="G70" s="191"/>
      <c r="H70" s="350">
        <v>4934</v>
      </c>
    </row>
    <row r="71" spans="4:9">
      <c r="D71" s="142">
        <v>1445</v>
      </c>
      <c r="E71" s="142">
        <v>4934</v>
      </c>
      <c r="F71" s="133"/>
      <c r="H71" s="350">
        <v>4939</v>
      </c>
    </row>
    <row r="72" spans="4:9">
      <c r="D72" s="142">
        <v>1446</v>
      </c>
      <c r="E72" s="142">
        <v>4999</v>
      </c>
      <c r="G72" s="191"/>
      <c r="H72" s="350">
        <v>4972</v>
      </c>
    </row>
    <row r="73" spans="4:9">
      <c r="D73" s="142">
        <v>1447</v>
      </c>
      <c r="E73" s="142">
        <v>5007</v>
      </c>
      <c r="F73" s="133"/>
      <c r="H73" s="350">
        <v>4999</v>
      </c>
    </row>
    <row r="74" spans="4:9">
      <c r="D74" s="142">
        <v>1449</v>
      </c>
      <c r="E74" s="142">
        <v>5203</v>
      </c>
      <c r="G74" s="191"/>
      <c r="H74" s="350">
        <v>5007</v>
      </c>
      <c r="I74" s="350"/>
    </row>
    <row r="75" spans="4:9">
      <c r="D75" s="142">
        <v>1451</v>
      </c>
      <c r="E75" s="142">
        <v>5225</v>
      </c>
      <c r="F75" s="133"/>
      <c r="G75" s="191"/>
      <c r="H75" s="350">
        <v>5203</v>
      </c>
      <c r="I75" s="350"/>
    </row>
    <row r="76" spans="4:9">
      <c r="D76" s="142">
        <v>1452</v>
      </c>
      <c r="E76" s="142">
        <v>6196</v>
      </c>
      <c r="F76" s="133"/>
      <c r="G76" s="191"/>
      <c r="H76" s="350">
        <v>5225</v>
      </c>
    </row>
    <row r="77" spans="4:9">
      <c r="D77" s="142">
        <v>1453</v>
      </c>
      <c r="E77" s="142">
        <v>6269</v>
      </c>
      <c r="F77" s="133"/>
      <c r="G77" s="191"/>
      <c r="H77" s="350">
        <v>5347</v>
      </c>
    </row>
    <row r="78" spans="4:9">
      <c r="D78" s="142">
        <v>1454</v>
      </c>
      <c r="E78" s="142">
        <v>8039</v>
      </c>
      <c r="F78" s="133"/>
      <c r="G78" s="142"/>
      <c r="H78" s="350">
        <v>5371</v>
      </c>
    </row>
    <row r="79" spans="4:9">
      <c r="D79" s="142">
        <v>1455</v>
      </c>
      <c r="E79" s="142">
        <v>8201</v>
      </c>
      <c r="F79" s="142"/>
      <c r="H79" s="350">
        <v>5878</v>
      </c>
    </row>
    <row r="80" spans="4:9">
      <c r="D80" s="142">
        <v>1456</v>
      </c>
      <c r="E80" s="142">
        <v>8341</v>
      </c>
      <c r="G80" s="17"/>
      <c r="H80" s="350">
        <v>5904</v>
      </c>
    </row>
    <row r="81" spans="4:9">
      <c r="D81" s="142">
        <v>1457</v>
      </c>
      <c r="E81" s="142">
        <v>8940</v>
      </c>
      <c r="F81" s="17"/>
      <c r="G81" s="142"/>
      <c r="H81" s="350">
        <v>6120</v>
      </c>
    </row>
    <row r="82" spans="4:9">
      <c r="D82" s="142">
        <v>1459</v>
      </c>
      <c r="E82" s="142">
        <v>9919</v>
      </c>
      <c r="F82" s="142"/>
      <c r="G82" s="17"/>
      <c r="H82" s="350">
        <v>6129</v>
      </c>
    </row>
    <row r="83" spans="4:9">
      <c r="D83" s="142">
        <v>1460</v>
      </c>
      <c r="E83" s="142">
        <v>1813</v>
      </c>
      <c r="F83" s="17"/>
      <c r="H83" s="350">
        <v>6155</v>
      </c>
    </row>
    <row r="84" spans="4:9">
      <c r="D84" s="142">
        <v>1463</v>
      </c>
      <c r="E84" s="142">
        <v>2035</v>
      </c>
      <c r="G84" s="191"/>
      <c r="H84" s="350">
        <v>6183</v>
      </c>
    </row>
    <row r="85" spans="4:9">
      <c r="D85" s="142">
        <v>1464</v>
      </c>
      <c r="E85" s="142">
        <v>2718</v>
      </c>
      <c r="F85" s="133"/>
      <c r="G85" s="191"/>
      <c r="H85" s="350">
        <v>6196</v>
      </c>
    </row>
    <row r="86" spans="4:9">
      <c r="D86" s="142">
        <v>1465</v>
      </c>
      <c r="E86" s="142">
        <v>3141</v>
      </c>
      <c r="F86" s="133"/>
      <c r="G86" s="142"/>
      <c r="H86" s="350">
        <v>6202</v>
      </c>
    </row>
    <row r="87" spans="4:9">
      <c r="D87" s="142">
        <v>1466</v>
      </c>
      <c r="E87" s="142">
        <v>3373</v>
      </c>
      <c r="F87" s="142"/>
      <c r="H87" s="350">
        <v>6251</v>
      </c>
    </row>
    <row r="88" spans="4:9">
      <c r="D88" s="142">
        <v>1467</v>
      </c>
      <c r="E88" s="142">
        <v>3511</v>
      </c>
      <c r="G88" s="191"/>
      <c r="H88" s="350">
        <v>6269</v>
      </c>
    </row>
    <row r="89" spans="4:9">
      <c r="D89" s="142">
        <v>1468</v>
      </c>
      <c r="E89" s="142">
        <v>3529</v>
      </c>
      <c r="F89" s="133"/>
      <c r="G89" s="191"/>
      <c r="H89" s="350">
        <v>6282</v>
      </c>
    </row>
    <row r="90" spans="4:9">
      <c r="D90" s="142">
        <v>1469</v>
      </c>
      <c r="E90" s="142">
        <v>3563</v>
      </c>
      <c r="F90" s="133"/>
      <c r="G90" s="191"/>
      <c r="H90" s="350">
        <v>6409</v>
      </c>
      <c r="I90" s="110"/>
    </row>
    <row r="91" spans="4:9">
      <c r="D91" s="142">
        <v>1470</v>
      </c>
      <c r="E91" s="142">
        <v>3658</v>
      </c>
      <c r="F91" s="133"/>
      <c r="G91" s="191"/>
      <c r="H91" s="350">
        <v>6414</v>
      </c>
      <c r="I91" s="110"/>
    </row>
    <row r="92" spans="4:9">
      <c r="D92" s="142">
        <v>1471</v>
      </c>
      <c r="E92" s="142">
        <v>3675</v>
      </c>
      <c r="F92" s="133"/>
      <c r="H92" s="350">
        <v>6452</v>
      </c>
    </row>
    <row r="93" spans="4:9">
      <c r="D93" s="142">
        <v>1472</v>
      </c>
      <c r="E93" s="142">
        <v>4107</v>
      </c>
      <c r="G93" s="191"/>
      <c r="H93" s="350">
        <v>8039</v>
      </c>
    </row>
    <row r="94" spans="4:9">
      <c r="D94" s="142">
        <v>1473</v>
      </c>
      <c r="E94" s="142">
        <v>4120</v>
      </c>
      <c r="F94" s="133"/>
      <c r="H94" s="350">
        <v>8083</v>
      </c>
    </row>
    <row r="95" spans="4:9">
      <c r="D95" s="142">
        <v>1474</v>
      </c>
      <c r="E95" s="142">
        <v>4121</v>
      </c>
      <c r="G95" s="191"/>
      <c r="H95" s="350">
        <v>8201</v>
      </c>
    </row>
    <row r="96" spans="4:9">
      <c r="D96" s="142">
        <v>1475</v>
      </c>
      <c r="E96" s="142">
        <v>4126</v>
      </c>
      <c r="F96" s="133"/>
      <c r="G96" s="191"/>
      <c r="H96" s="350">
        <v>8222</v>
      </c>
    </row>
    <row r="97" spans="4:8">
      <c r="D97" s="142">
        <v>1476</v>
      </c>
      <c r="E97" s="142">
        <v>4712</v>
      </c>
      <c r="F97" s="133"/>
      <c r="G97" s="191"/>
      <c r="H97" s="350">
        <v>8341</v>
      </c>
    </row>
    <row r="98" spans="4:8">
      <c r="D98" s="142">
        <v>1477</v>
      </c>
      <c r="E98" s="142">
        <v>4939</v>
      </c>
      <c r="F98" s="133"/>
      <c r="H98" s="350">
        <v>8454</v>
      </c>
    </row>
    <row r="99" spans="4:8">
      <c r="D99" s="142">
        <v>1503</v>
      </c>
      <c r="E99" s="142">
        <v>4972</v>
      </c>
      <c r="G99" s="191"/>
      <c r="H99" s="350">
        <v>8940</v>
      </c>
    </row>
    <row r="100" spans="4:8">
      <c r="D100" s="142">
        <v>1504</v>
      </c>
      <c r="E100" s="142">
        <v>5878</v>
      </c>
      <c r="F100" s="133"/>
      <c r="G100" s="191"/>
      <c r="H100" s="350">
        <v>9919</v>
      </c>
    </row>
    <row r="101" spans="4:8">
      <c r="D101" s="142">
        <v>1506</v>
      </c>
      <c r="F101" s="133"/>
      <c r="G101" s="191"/>
      <c r="H101" s="350">
        <v>1473</v>
      </c>
    </row>
    <row r="102" spans="4:8">
      <c r="D102" s="142">
        <v>1507</v>
      </c>
      <c r="F102" s="133"/>
      <c r="G102" s="142"/>
      <c r="H102" s="350">
        <v>1590</v>
      </c>
    </row>
    <row r="103" spans="4:8">
      <c r="D103" s="142">
        <v>1512</v>
      </c>
      <c r="F103" s="142"/>
      <c r="G103" s="191"/>
      <c r="H103" s="350">
        <v>1626</v>
      </c>
    </row>
    <row r="104" spans="4:8">
      <c r="D104" s="142">
        <v>1513</v>
      </c>
      <c r="F104" s="133"/>
      <c r="H104" s="350">
        <v>2395</v>
      </c>
    </row>
    <row r="105" spans="4:8">
      <c r="D105" s="142">
        <v>1514</v>
      </c>
      <c r="G105" s="142"/>
      <c r="H105" s="350">
        <v>2437</v>
      </c>
    </row>
    <row r="106" spans="4:8">
      <c r="D106" s="142">
        <v>1515</v>
      </c>
      <c r="F106" s="142"/>
      <c r="H106" s="350">
        <v>2492</v>
      </c>
    </row>
    <row r="107" spans="4:8">
      <c r="D107" s="142">
        <v>1516</v>
      </c>
      <c r="G107" s="17"/>
      <c r="H107" s="350">
        <v>3030</v>
      </c>
    </row>
    <row r="108" spans="4:8">
      <c r="D108" s="142">
        <v>1517</v>
      </c>
      <c r="F108" s="17"/>
      <c r="G108" s="142"/>
      <c r="H108" s="350">
        <v>3515</v>
      </c>
    </row>
    <row r="109" spans="4:8">
      <c r="D109" s="142">
        <v>1519</v>
      </c>
      <c r="F109" s="142"/>
      <c r="G109" s="191"/>
      <c r="H109" s="350">
        <v>3573</v>
      </c>
    </row>
    <row r="110" spans="4:8">
      <c r="D110" s="142">
        <v>1521</v>
      </c>
      <c r="F110" s="133"/>
      <c r="H110" s="350">
        <v>3698</v>
      </c>
    </row>
    <row r="111" spans="4:8">
      <c r="D111" s="142">
        <v>1522</v>
      </c>
      <c r="H111" s="350">
        <v>4137</v>
      </c>
    </row>
    <row r="112" spans="4:8">
      <c r="D112" s="142">
        <v>1524</v>
      </c>
      <c r="G112" s="191"/>
      <c r="H112" s="350">
        <v>4904</v>
      </c>
    </row>
    <row r="113" spans="4:8">
      <c r="D113" s="142">
        <v>1525</v>
      </c>
      <c r="F113" s="133"/>
      <c r="G113" s="191"/>
      <c r="H113" s="350">
        <v>4968</v>
      </c>
    </row>
    <row r="114" spans="4:8">
      <c r="D114" s="142">
        <v>1526</v>
      </c>
      <c r="F114" s="133"/>
      <c r="H114" s="350">
        <v>5906</v>
      </c>
    </row>
    <row r="115" spans="4:8">
      <c r="D115" s="142">
        <v>1527</v>
      </c>
      <c r="G115" s="191"/>
      <c r="H115" s="350">
        <v>6257</v>
      </c>
    </row>
    <row r="116" spans="4:8">
      <c r="D116" s="142">
        <v>1528</v>
      </c>
      <c r="F116" s="133"/>
      <c r="G116" s="191"/>
      <c r="H116" s="350">
        <v>6271</v>
      </c>
    </row>
    <row r="117" spans="4:8">
      <c r="D117" s="142">
        <v>1529</v>
      </c>
      <c r="F117" s="133"/>
      <c r="G117" s="142"/>
      <c r="H117" s="350">
        <v>9940</v>
      </c>
    </row>
    <row r="118" spans="4:8">
      <c r="D118" s="142">
        <v>1530</v>
      </c>
      <c r="F118" s="142"/>
      <c r="G118" s="191"/>
      <c r="H118" s="350">
        <v>3211</v>
      </c>
    </row>
    <row r="119" spans="4:8">
      <c r="D119" s="142">
        <v>1531</v>
      </c>
      <c r="F119" s="133"/>
      <c r="H119" s="350">
        <v>3290</v>
      </c>
    </row>
    <row r="120" spans="4:8">
      <c r="D120" s="142">
        <v>1532</v>
      </c>
      <c r="H120" s="350">
        <v>3323</v>
      </c>
    </row>
    <row r="121" spans="4:8">
      <c r="D121" s="142">
        <v>1533</v>
      </c>
      <c r="H121" s="350">
        <v>3455</v>
      </c>
    </row>
    <row r="122" spans="4:8">
      <c r="D122" s="142">
        <v>1535</v>
      </c>
      <c r="G122" s="142"/>
      <c r="H122" s="350">
        <v>4188</v>
      </c>
    </row>
    <row r="123" spans="4:8">
      <c r="D123" s="142">
        <v>1536</v>
      </c>
      <c r="F123" s="142"/>
      <c r="G123" s="142"/>
      <c r="H123" s="350">
        <v>4979</v>
      </c>
    </row>
    <row r="124" spans="4:8">
      <c r="D124" s="142">
        <v>1537</v>
      </c>
      <c r="F124" s="142"/>
      <c r="H124" s="350">
        <v>4991</v>
      </c>
    </row>
    <row r="125" spans="4:8">
      <c r="D125" s="142">
        <v>1538</v>
      </c>
      <c r="G125" s="142"/>
      <c r="H125" s="350">
        <v>5278</v>
      </c>
    </row>
    <row r="126" spans="4:8">
      <c r="D126" s="142">
        <v>1539</v>
      </c>
      <c r="F126" s="142"/>
      <c r="G126" s="142"/>
      <c r="H126" s="350">
        <v>6417</v>
      </c>
    </row>
    <row r="127" spans="4:8">
      <c r="D127" s="142">
        <v>1540</v>
      </c>
      <c r="F127" s="142"/>
      <c r="G127" s="142"/>
      <c r="H127" s="350">
        <v>6485</v>
      </c>
    </row>
    <row r="128" spans="4:8">
      <c r="D128" s="142">
        <v>1541</v>
      </c>
      <c r="F128" s="142"/>
      <c r="G128" s="142"/>
    </row>
    <row r="129" spans="4:7">
      <c r="D129" s="142">
        <v>1558</v>
      </c>
      <c r="F129" s="142"/>
      <c r="G129" s="142"/>
    </row>
    <row r="130" spans="4:7">
      <c r="D130" s="142">
        <v>1560</v>
      </c>
      <c r="F130" s="142"/>
    </row>
    <row r="131" spans="4:7">
      <c r="D131" s="142">
        <v>1568</v>
      </c>
      <c r="G131" s="142"/>
    </row>
    <row r="132" spans="4:7">
      <c r="D132" s="142">
        <v>1582</v>
      </c>
      <c r="F132" s="142"/>
    </row>
    <row r="133" spans="4:7">
      <c r="D133" s="142">
        <v>1583</v>
      </c>
      <c r="G133" s="142"/>
    </row>
    <row r="134" spans="4:7">
      <c r="D134" s="142">
        <v>1589</v>
      </c>
      <c r="F134" s="142"/>
    </row>
    <row r="135" spans="4:7">
      <c r="D135" s="142">
        <v>1590</v>
      </c>
      <c r="G135" s="142"/>
    </row>
    <row r="136" spans="4:7">
      <c r="D136" s="142">
        <v>1592</v>
      </c>
      <c r="F136" s="142"/>
    </row>
    <row r="137" spans="4:7">
      <c r="D137" s="142">
        <v>1603</v>
      </c>
    </row>
    <row r="138" spans="4:7">
      <c r="D138" s="142">
        <v>1604</v>
      </c>
      <c r="G138" s="142"/>
    </row>
    <row r="139" spans="4:7">
      <c r="D139" s="142">
        <v>1605</v>
      </c>
      <c r="F139" s="142"/>
    </row>
    <row r="140" spans="4:7">
      <c r="D140" s="142">
        <v>1608</v>
      </c>
      <c r="G140" s="142"/>
    </row>
    <row r="141" spans="4:7">
      <c r="D141" s="142">
        <v>1609</v>
      </c>
      <c r="F141" s="142"/>
      <c r="G141" s="142"/>
    </row>
    <row r="142" spans="4:7">
      <c r="D142" s="142">
        <v>1611</v>
      </c>
      <c r="F142" s="142"/>
      <c r="G142" s="142"/>
    </row>
    <row r="143" spans="4:7">
      <c r="D143" s="142">
        <v>1612</v>
      </c>
      <c r="F143" s="142"/>
    </row>
    <row r="144" spans="4:7">
      <c r="D144" s="142">
        <v>1613</v>
      </c>
      <c r="G144" s="142"/>
    </row>
    <row r="145" spans="4:7">
      <c r="D145" s="142">
        <v>1614</v>
      </c>
      <c r="F145" s="142"/>
    </row>
    <row r="146" spans="4:7">
      <c r="D146" s="142">
        <v>1615</v>
      </c>
      <c r="G146" s="142"/>
    </row>
    <row r="147" spans="4:7">
      <c r="D147" s="142">
        <v>1616</v>
      </c>
      <c r="F147" s="142"/>
      <c r="G147" s="142"/>
    </row>
    <row r="148" spans="4:7">
      <c r="D148" s="142">
        <v>1617</v>
      </c>
      <c r="F148" s="142"/>
      <c r="G148" s="142"/>
    </row>
    <row r="149" spans="4:7">
      <c r="D149" s="142">
        <v>1618</v>
      </c>
      <c r="F149" s="142"/>
      <c r="G149" s="142"/>
    </row>
    <row r="150" spans="4:7">
      <c r="D150" s="142">
        <v>1626</v>
      </c>
      <c r="F150" s="142"/>
      <c r="G150" s="142"/>
    </row>
    <row r="151" spans="4:7">
      <c r="D151" s="142">
        <v>1701</v>
      </c>
      <c r="F151" s="142"/>
      <c r="G151" s="142"/>
    </row>
    <row r="152" spans="4:7">
      <c r="D152" s="142">
        <v>1702</v>
      </c>
      <c r="F152" s="142"/>
      <c r="G152" s="142"/>
    </row>
    <row r="153" spans="4:7">
      <c r="D153" s="142">
        <v>1704</v>
      </c>
      <c r="F153" s="142"/>
      <c r="G153" s="142"/>
    </row>
    <row r="154" spans="4:7">
      <c r="D154" s="142">
        <v>1707</v>
      </c>
      <c r="F154" s="142"/>
      <c r="G154" s="142"/>
    </row>
    <row r="155" spans="4:7">
      <c r="D155" s="142">
        <v>1708</v>
      </c>
      <c r="F155" s="142"/>
      <c r="G155" s="142"/>
    </row>
    <row r="156" spans="4:7">
      <c r="D156" s="142">
        <v>1709</v>
      </c>
      <c r="F156" s="142"/>
    </row>
    <row r="157" spans="4:7">
      <c r="D157" s="142">
        <v>1710</v>
      </c>
    </row>
    <row r="158" spans="4:7">
      <c r="D158" s="142">
        <v>1711</v>
      </c>
      <c r="G158" s="142"/>
    </row>
    <row r="159" spans="4:7">
      <c r="D159" s="142">
        <v>1712</v>
      </c>
      <c r="F159" s="142"/>
    </row>
    <row r="160" spans="4:7">
      <c r="D160" s="142">
        <v>1713</v>
      </c>
      <c r="G160" s="142"/>
    </row>
    <row r="161" spans="4:7">
      <c r="D161" s="142">
        <v>1714</v>
      </c>
      <c r="F161" s="142"/>
    </row>
    <row r="162" spans="4:7">
      <c r="D162" s="142">
        <v>1715</v>
      </c>
      <c r="G162" s="142"/>
    </row>
    <row r="163" spans="4:7">
      <c r="D163" s="142">
        <v>1717</v>
      </c>
      <c r="F163" s="142"/>
    </row>
    <row r="164" spans="4:7">
      <c r="D164" s="142">
        <v>1720</v>
      </c>
    </row>
    <row r="165" spans="4:7">
      <c r="D165" s="142">
        <v>1721</v>
      </c>
      <c r="G165" s="142"/>
    </row>
    <row r="166" spans="4:7">
      <c r="D166" s="142">
        <v>1722</v>
      </c>
      <c r="F166" s="142"/>
      <c r="G166" s="17"/>
    </row>
    <row r="167" spans="4:7">
      <c r="D167" s="142">
        <v>1723</v>
      </c>
      <c r="F167" s="17"/>
      <c r="G167" s="142"/>
    </row>
    <row r="168" spans="4:7">
      <c r="D168" s="142">
        <v>1724</v>
      </c>
      <c r="F168" s="142"/>
      <c r="G168" s="142"/>
    </row>
    <row r="169" spans="4:7">
      <c r="D169" s="142">
        <v>1725</v>
      </c>
      <c r="F169" s="142"/>
      <c r="G169" s="142"/>
    </row>
    <row r="170" spans="4:7">
      <c r="D170" s="142">
        <v>1726</v>
      </c>
      <c r="F170" s="142"/>
      <c r="G170" s="142"/>
    </row>
    <row r="171" spans="4:7">
      <c r="D171" s="142">
        <v>1727</v>
      </c>
      <c r="F171" s="142"/>
      <c r="G171" s="17"/>
    </row>
    <row r="172" spans="4:7">
      <c r="D172" s="142">
        <v>1729</v>
      </c>
      <c r="F172" s="17"/>
      <c r="G172" s="142"/>
    </row>
    <row r="173" spans="4:7">
      <c r="D173" s="142">
        <v>1730</v>
      </c>
      <c r="F173" s="142"/>
      <c r="G173" s="142"/>
    </row>
    <row r="174" spans="4:7">
      <c r="D174" s="142">
        <v>1731</v>
      </c>
      <c r="F174" s="142"/>
      <c r="G174" s="142"/>
    </row>
    <row r="175" spans="4:7">
      <c r="D175" s="142">
        <v>1732</v>
      </c>
      <c r="F175" s="142"/>
      <c r="G175" s="142"/>
    </row>
    <row r="176" spans="4:7">
      <c r="D176" s="142">
        <v>1733</v>
      </c>
      <c r="F176" s="142"/>
      <c r="G176" s="17"/>
    </row>
    <row r="177" spans="4:7">
      <c r="D177" s="142">
        <v>1734</v>
      </c>
      <c r="F177" s="17"/>
      <c r="G177" s="142"/>
    </row>
    <row r="178" spans="4:7">
      <c r="D178" s="142">
        <v>1735</v>
      </c>
      <c r="F178" s="142"/>
    </row>
    <row r="179" spans="4:7">
      <c r="D179" s="142">
        <v>1736</v>
      </c>
      <c r="G179" s="142"/>
    </row>
    <row r="180" spans="4:7">
      <c r="D180" s="142">
        <v>1737</v>
      </c>
      <c r="F180" s="142"/>
      <c r="G180" s="142"/>
    </row>
    <row r="181" spans="4:7">
      <c r="D181" s="142">
        <v>1762</v>
      </c>
      <c r="F181" s="142"/>
      <c r="G181" s="142"/>
    </row>
    <row r="182" spans="4:7">
      <c r="D182" s="142">
        <v>1773</v>
      </c>
      <c r="F182" s="142"/>
    </row>
    <row r="183" spans="4:7">
      <c r="D183" s="142">
        <v>1783</v>
      </c>
      <c r="G183" s="142"/>
    </row>
    <row r="184" spans="4:7">
      <c r="D184" s="142">
        <v>1786</v>
      </c>
      <c r="F184" s="142"/>
      <c r="G184" s="142"/>
    </row>
    <row r="185" spans="4:7">
      <c r="D185" s="142">
        <v>1789</v>
      </c>
      <c r="F185" s="142"/>
      <c r="G185" s="142"/>
    </row>
    <row r="186" spans="4:7">
      <c r="D186" s="142">
        <v>1802</v>
      </c>
      <c r="F186" s="142"/>
      <c r="G186" s="17"/>
    </row>
    <row r="187" spans="4:7">
      <c r="D187" s="142">
        <v>1805</v>
      </c>
      <c r="F187" s="17"/>
      <c r="G187" s="17"/>
    </row>
    <row r="188" spans="4:7">
      <c r="D188" s="142">
        <v>1806</v>
      </c>
      <c r="F188" s="17"/>
      <c r="G188" s="142"/>
    </row>
    <row r="189" spans="4:7">
      <c r="D189" s="142">
        <v>1808</v>
      </c>
      <c r="F189" s="142"/>
      <c r="G189" s="17"/>
    </row>
    <row r="190" spans="4:7">
      <c r="D190" s="142">
        <v>1809</v>
      </c>
      <c r="F190" s="17"/>
      <c r="G190" s="142"/>
    </row>
    <row r="191" spans="4:7">
      <c r="D191" s="142">
        <v>1810</v>
      </c>
      <c r="F191" s="142"/>
      <c r="G191" s="142"/>
    </row>
    <row r="192" spans="4:7">
      <c r="D192" s="142">
        <v>1817</v>
      </c>
      <c r="F192" s="142"/>
      <c r="G192" s="17"/>
    </row>
    <row r="193" spans="4:7">
      <c r="D193" s="142">
        <v>1902</v>
      </c>
      <c r="F193" s="17"/>
      <c r="G193" s="17"/>
    </row>
    <row r="194" spans="4:7">
      <c r="D194" s="142">
        <v>1903</v>
      </c>
      <c r="F194" s="17"/>
      <c r="G194" s="142"/>
    </row>
    <row r="195" spans="4:7">
      <c r="D195" s="142">
        <v>1904</v>
      </c>
      <c r="F195" s="142"/>
      <c r="G195" s="17"/>
    </row>
    <row r="196" spans="4:7">
      <c r="D196" s="142">
        <v>1905</v>
      </c>
      <c r="F196" s="17"/>
      <c r="G196" s="142"/>
    </row>
    <row r="197" spans="4:7">
      <c r="D197" s="142">
        <v>1906</v>
      </c>
      <c r="F197" s="142"/>
    </row>
    <row r="198" spans="4:7">
      <c r="D198" s="142">
        <v>1907</v>
      </c>
      <c r="G198" s="17"/>
    </row>
    <row r="199" spans="4:7">
      <c r="D199" s="142">
        <v>1909</v>
      </c>
      <c r="F199" s="17"/>
      <c r="G199" s="17"/>
    </row>
    <row r="200" spans="4:7">
      <c r="D200" s="142">
        <v>2002</v>
      </c>
      <c r="F200" s="17"/>
      <c r="G200" s="142"/>
    </row>
    <row r="201" spans="4:7">
      <c r="D201" s="142">
        <v>2006</v>
      </c>
      <c r="F201" s="142"/>
      <c r="G201" s="142"/>
    </row>
    <row r="202" spans="4:7">
      <c r="D202" s="142">
        <v>2007</v>
      </c>
      <c r="F202" s="142"/>
      <c r="G202" s="17"/>
    </row>
    <row r="203" spans="4:7">
      <c r="D203" s="142">
        <v>2008</v>
      </c>
      <c r="F203" s="17"/>
      <c r="G203" s="17"/>
    </row>
    <row r="204" spans="4:7">
      <c r="D204" s="142">
        <v>2009</v>
      </c>
      <c r="F204" s="17"/>
      <c r="G204" s="17"/>
    </row>
    <row r="205" spans="4:7">
      <c r="D205" s="142">
        <v>2010</v>
      </c>
      <c r="F205" s="17"/>
      <c r="G205" s="142"/>
    </row>
    <row r="206" spans="4:7">
      <c r="D206" s="142">
        <v>2012</v>
      </c>
      <c r="F206" s="142"/>
      <c r="G206" s="142"/>
    </row>
    <row r="207" spans="4:7">
      <c r="D207" s="142">
        <v>2013</v>
      </c>
      <c r="F207" s="142"/>
      <c r="G207" s="142"/>
    </row>
    <row r="208" spans="4:7">
      <c r="D208" s="142">
        <v>2014</v>
      </c>
      <c r="F208" s="142"/>
      <c r="G208" s="17"/>
    </row>
    <row r="209" spans="4:7">
      <c r="D209" s="142">
        <v>2015</v>
      </c>
      <c r="F209" s="17"/>
      <c r="G209" s="142"/>
    </row>
    <row r="210" spans="4:7">
      <c r="D210" s="142">
        <v>2017</v>
      </c>
      <c r="F210" s="142"/>
      <c r="G210" s="142"/>
    </row>
    <row r="211" spans="4:7">
      <c r="D211" s="142">
        <v>2020</v>
      </c>
      <c r="F211" s="142"/>
      <c r="G211" s="142"/>
    </row>
    <row r="212" spans="4:7">
      <c r="D212" s="142">
        <v>2022</v>
      </c>
      <c r="F212" s="142"/>
      <c r="G212" s="142"/>
    </row>
    <row r="213" spans="4:7">
      <c r="D213" s="142">
        <v>2023</v>
      </c>
      <c r="F213" s="142"/>
      <c r="G213" s="142"/>
    </row>
    <row r="214" spans="4:7">
      <c r="D214" s="142">
        <v>2024</v>
      </c>
      <c r="F214" s="142"/>
      <c r="G214" s="142"/>
    </row>
    <row r="215" spans="4:7">
      <c r="D215" s="142">
        <v>2025</v>
      </c>
      <c r="F215" s="142"/>
      <c r="G215" s="17"/>
    </row>
    <row r="216" spans="4:7">
      <c r="D216" s="142">
        <v>2027</v>
      </c>
      <c r="F216" s="17"/>
      <c r="G216" s="17"/>
    </row>
    <row r="217" spans="4:7">
      <c r="D217" s="142">
        <v>2028</v>
      </c>
      <c r="F217" s="17"/>
      <c r="G217" s="142"/>
    </row>
    <row r="218" spans="4:7">
      <c r="D218" s="142">
        <v>2029</v>
      </c>
      <c r="F218" s="142"/>
      <c r="G218" s="17"/>
    </row>
    <row r="219" spans="4:7">
      <c r="D219" s="142">
        <v>2030</v>
      </c>
      <c r="F219" s="17"/>
      <c r="G219" s="142"/>
    </row>
    <row r="220" spans="4:7">
      <c r="D220" s="142">
        <v>2031</v>
      </c>
      <c r="F220" s="142"/>
      <c r="G220" s="142"/>
    </row>
    <row r="221" spans="4:7">
      <c r="D221" s="142">
        <v>2032</v>
      </c>
      <c r="F221" s="142"/>
      <c r="G221" s="17"/>
    </row>
    <row r="222" spans="4:7">
      <c r="D222" s="142">
        <v>2033</v>
      </c>
      <c r="F222" s="17"/>
      <c r="G222" s="17"/>
    </row>
    <row r="223" spans="4:7">
      <c r="D223" s="142">
        <v>2034</v>
      </c>
      <c r="F223" s="17"/>
      <c r="G223" s="17"/>
    </row>
    <row r="224" spans="4:7">
      <c r="D224" s="142">
        <v>2038</v>
      </c>
      <c r="F224" s="17"/>
      <c r="G224" s="17"/>
    </row>
    <row r="225" spans="4:7">
      <c r="D225" s="142">
        <v>2049</v>
      </c>
      <c r="F225" s="17"/>
    </row>
    <row r="226" spans="4:7">
      <c r="D226" s="142">
        <v>2059</v>
      </c>
      <c r="G226" s="17"/>
    </row>
    <row r="227" spans="4:7">
      <c r="D227" s="142">
        <v>2062</v>
      </c>
      <c r="F227" s="17"/>
      <c r="G227" s="17"/>
    </row>
    <row r="228" spans="4:7">
      <c r="D228" s="142">
        <v>2101</v>
      </c>
      <c r="F228" s="17"/>
      <c r="G228" s="17"/>
    </row>
    <row r="229" spans="4:7">
      <c r="D229" s="142">
        <v>2102</v>
      </c>
      <c r="F229" s="17"/>
      <c r="G229" s="17"/>
    </row>
    <row r="230" spans="4:7">
      <c r="D230" s="142">
        <v>2103</v>
      </c>
      <c r="F230" s="17"/>
    </row>
    <row r="231" spans="4:7">
      <c r="D231" s="142">
        <v>2104</v>
      </c>
      <c r="G231" s="142"/>
    </row>
    <row r="232" spans="4:7">
      <c r="D232" s="142">
        <v>2105</v>
      </c>
      <c r="F232" s="142"/>
      <c r="G232" s="17"/>
    </row>
    <row r="233" spans="4:7">
      <c r="D233" s="142">
        <v>2106</v>
      </c>
      <c r="F233" s="17"/>
      <c r="G233" s="17"/>
    </row>
    <row r="234" spans="4:7">
      <c r="D234" s="142">
        <v>2107</v>
      </c>
      <c r="F234" s="17"/>
      <c r="G234" s="142"/>
    </row>
    <row r="235" spans="4:7">
      <c r="D235" s="142">
        <v>2108</v>
      </c>
      <c r="F235" s="142"/>
      <c r="G235" s="17"/>
    </row>
    <row r="236" spans="4:7">
      <c r="D236" s="142">
        <v>2109</v>
      </c>
      <c r="F236" s="17"/>
    </row>
    <row r="237" spans="4:7">
      <c r="D237" s="142">
        <v>2114</v>
      </c>
      <c r="G237" s="17"/>
    </row>
    <row r="238" spans="4:7">
      <c r="D238" s="142">
        <v>2115</v>
      </c>
      <c r="F238" s="17"/>
      <c r="G238" s="17"/>
    </row>
    <row r="239" spans="4:7">
      <c r="D239" s="142">
        <v>2201</v>
      </c>
      <c r="F239" s="17"/>
      <c r="G239" s="17"/>
    </row>
    <row r="240" spans="4:7">
      <c r="D240" s="142">
        <v>2204</v>
      </c>
      <c r="F240" s="17"/>
      <c r="G240" s="142"/>
    </row>
    <row r="241" spans="4:7">
      <c r="D241" s="142">
        <v>2206</v>
      </c>
      <c r="F241" s="142"/>
      <c r="G241" s="142"/>
    </row>
    <row r="242" spans="4:7">
      <c r="D242" s="142">
        <v>2207</v>
      </c>
      <c r="F242" s="142"/>
    </row>
    <row r="243" spans="4:7">
      <c r="D243" s="142">
        <v>2208</v>
      </c>
      <c r="G243" s="142"/>
    </row>
    <row r="244" spans="4:7">
      <c r="D244" s="142">
        <v>2227</v>
      </c>
      <c r="F244" s="142"/>
      <c r="G244" s="142"/>
    </row>
    <row r="245" spans="4:7">
      <c r="D245" s="142">
        <v>2228</v>
      </c>
      <c r="F245" s="142"/>
    </row>
    <row r="246" spans="4:7">
      <c r="D246" s="142">
        <v>2231</v>
      </c>
      <c r="G246" s="142"/>
    </row>
    <row r="247" spans="4:7">
      <c r="D247" s="142">
        <v>2236</v>
      </c>
      <c r="F247" s="142"/>
    </row>
    <row r="248" spans="4:7">
      <c r="D248" s="142">
        <v>2301</v>
      </c>
      <c r="G248" s="17"/>
    </row>
    <row r="249" spans="4:7">
      <c r="D249" s="142">
        <v>2302</v>
      </c>
      <c r="F249" s="17"/>
      <c r="G249" s="142"/>
    </row>
    <row r="250" spans="4:7">
      <c r="D250" s="142">
        <v>2303</v>
      </c>
      <c r="F250" s="142"/>
      <c r="G250" s="142"/>
    </row>
    <row r="251" spans="4:7">
      <c r="D251" s="142">
        <v>2305</v>
      </c>
      <c r="F251" s="142"/>
      <c r="G251" s="142"/>
    </row>
    <row r="252" spans="4:7">
      <c r="D252" s="142">
        <v>2308</v>
      </c>
      <c r="F252" s="142"/>
      <c r="G252" s="17"/>
    </row>
    <row r="253" spans="4:7">
      <c r="D253" s="142">
        <v>2311</v>
      </c>
      <c r="F253" s="17"/>
      <c r="G253" s="142"/>
    </row>
    <row r="254" spans="4:7">
      <c r="D254" s="142">
        <v>2312</v>
      </c>
      <c r="F254" s="142"/>
      <c r="G254" s="142"/>
    </row>
    <row r="255" spans="4:7">
      <c r="D255" s="142">
        <v>2313</v>
      </c>
      <c r="F255" s="142"/>
      <c r="G255" s="142"/>
    </row>
    <row r="256" spans="4:7">
      <c r="D256" s="142">
        <v>2314</v>
      </c>
      <c r="F256" s="142"/>
      <c r="G256" s="142"/>
    </row>
    <row r="257" spans="4:7">
      <c r="D257" s="142">
        <v>2316</v>
      </c>
      <c r="F257" s="142"/>
      <c r="G257" s="17"/>
    </row>
    <row r="258" spans="4:7">
      <c r="D258" s="142">
        <v>2317</v>
      </c>
      <c r="F258" s="17"/>
    </row>
    <row r="259" spans="4:7">
      <c r="D259" s="142">
        <v>2321</v>
      </c>
      <c r="G259" s="142"/>
    </row>
    <row r="260" spans="4:7">
      <c r="D260" s="142">
        <v>2323</v>
      </c>
      <c r="F260" s="142"/>
      <c r="G260" s="142"/>
    </row>
    <row r="261" spans="4:7">
      <c r="D261" s="142">
        <v>2324</v>
      </c>
      <c r="F261" s="142"/>
      <c r="G261" s="142"/>
    </row>
    <row r="262" spans="4:7">
      <c r="D262" s="142">
        <v>2325</v>
      </c>
      <c r="F262" s="142"/>
      <c r="G262" s="142"/>
    </row>
    <row r="263" spans="4:7">
      <c r="D263" s="142">
        <v>2327</v>
      </c>
      <c r="F263" s="142"/>
    </row>
    <row r="264" spans="4:7">
      <c r="D264" s="142">
        <v>2328</v>
      </c>
      <c r="G264" s="142"/>
    </row>
    <row r="265" spans="4:7">
      <c r="D265" s="142">
        <v>2329</v>
      </c>
      <c r="F265" s="142"/>
      <c r="G265" s="17"/>
    </row>
    <row r="266" spans="4:7">
      <c r="D266" s="142">
        <v>2330</v>
      </c>
      <c r="F266" s="17"/>
      <c r="G266" s="142"/>
    </row>
    <row r="267" spans="4:7">
      <c r="D267" s="142">
        <v>2331</v>
      </c>
      <c r="F267" s="142"/>
      <c r="G267" s="142"/>
    </row>
    <row r="268" spans="4:7">
      <c r="D268" s="142">
        <v>2332</v>
      </c>
      <c r="F268" s="142"/>
      <c r="G268" s="142"/>
    </row>
    <row r="269" spans="4:7">
      <c r="D269" s="142">
        <v>2337</v>
      </c>
      <c r="F269" s="142"/>
      <c r="G269" s="142"/>
    </row>
    <row r="270" spans="4:7">
      <c r="D270" s="142">
        <v>2338</v>
      </c>
      <c r="F270" s="142"/>
      <c r="G270" s="142"/>
    </row>
    <row r="271" spans="4:7">
      <c r="D271" s="142">
        <v>2340</v>
      </c>
      <c r="F271" s="142"/>
      <c r="G271" s="17"/>
    </row>
    <row r="272" spans="4:7">
      <c r="D272" s="142">
        <v>2342</v>
      </c>
      <c r="F272" s="17"/>
      <c r="G272" s="142"/>
    </row>
    <row r="273" spans="4:7">
      <c r="D273" s="142">
        <v>2344</v>
      </c>
      <c r="F273" s="142"/>
      <c r="G273" s="17"/>
    </row>
    <row r="274" spans="4:7">
      <c r="D274" s="142">
        <v>2345</v>
      </c>
      <c r="F274" s="17"/>
      <c r="G274" s="17"/>
    </row>
    <row r="275" spans="4:7">
      <c r="D275" s="142">
        <v>2347</v>
      </c>
      <c r="F275" s="17"/>
      <c r="G275" s="142"/>
    </row>
    <row r="276" spans="4:7">
      <c r="D276" s="142">
        <v>2348</v>
      </c>
      <c r="F276" s="142"/>
      <c r="G276" s="17"/>
    </row>
    <row r="277" spans="4:7">
      <c r="D277" s="142">
        <v>2349</v>
      </c>
      <c r="F277" s="17"/>
      <c r="G277" s="142"/>
    </row>
    <row r="278" spans="4:7">
      <c r="D278" s="142">
        <v>2351</v>
      </c>
      <c r="F278" s="142"/>
      <c r="G278" s="142"/>
    </row>
    <row r="279" spans="4:7">
      <c r="D279" s="142">
        <v>2352</v>
      </c>
      <c r="F279" s="142"/>
      <c r="G279" s="142"/>
    </row>
    <row r="280" spans="4:7">
      <c r="D280" s="142">
        <v>2353</v>
      </c>
      <c r="F280" s="142"/>
      <c r="G280" s="17"/>
    </row>
    <row r="281" spans="4:7">
      <c r="D281" s="142">
        <v>2354</v>
      </c>
      <c r="F281" s="17"/>
      <c r="G281" s="142"/>
    </row>
    <row r="282" spans="4:7">
      <c r="D282" s="142">
        <v>2355</v>
      </c>
      <c r="F282" s="142"/>
      <c r="G282" s="142"/>
    </row>
    <row r="283" spans="4:7">
      <c r="D283" s="142">
        <v>2356</v>
      </c>
      <c r="F283" s="142"/>
      <c r="G283" s="142"/>
    </row>
    <row r="284" spans="4:7">
      <c r="D284" s="142">
        <v>2357</v>
      </c>
      <c r="F284" s="142"/>
      <c r="G284" s="17"/>
    </row>
    <row r="285" spans="4:7">
      <c r="D285" s="142">
        <v>2358</v>
      </c>
      <c r="F285" s="17"/>
      <c r="G285" s="142"/>
    </row>
    <row r="286" spans="4:7">
      <c r="D286" s="142">
        <v>2359</v>
      </c>
      <c r="F286" s="142"/>
      <c r="G286" s="142"/>
    </row>
    <row r="287" spans="4:7">
      <c r="D287" s="142">
        <v>2361</v>
      </c>
      <c r="F287" s="142"/>
      <c r="G287" s="142"/>
    </row>
    <row r="288" spans="4:7">
      <c r="D288" s="142">
        <v>2362</v>
      </c>
      <c r="F288" s="142"/>
      <c r="G288" s="17"/>
    </row>
    <row r="289" spans="4:7">
      <c r="D289" s="142">
        <v>2363</v>
      </c>
      <c r="F289" s="17"/>
      <c r="G289" s="17"/>
    </row>
    <row r="290" spans="4:7">
      <c r="D290" s="142">
        <v>2364</v>
      </c>
      <c r="F290" s="17"/>
      <c r="G290" s="142"/>
    </row>
    <row r="291" spans="4:7">
      <c r="D291" s="142">
        <v>2365</v>
      </c>
      <c r="F291" s="142"/>
      <c r="G291" s="142"/>
    </row>
    <row r="292" spans="4:7">
      <c r="D292" s="142">
        <v>2367</v>
      </c>
      <c r="F292" s="142"/>
      <c r="G292" s="142"/>
    </row>
    <row r="293" spans="4:7">
      <c r="D293" s="142">
        <v>2368</v>
      </c>
      <c r="F293" s="142"/>
      <c r="G293" s="142"/>
    </row>
    <row r="294" spans="4:7">
      <c r="D294" s="142">
        <v>2369</v>
      </c>
      <c r="F294" s="142"/>
    </row>
    <row r="295" spans="4:7">
      <c r="D295" s="142">
        <v>2371</v>
      </c>
      <c r="G295" s="142"/>
    </row>
    <row r="296" spans="4:7">
      <c r="D296" s="142">
        <v>2373</v>
      </c>
      <c r="F296" s="142"/>
      <c r="G296" s="17"/>
    </row>
    <row r="297" spans="4:7">
      <c r="D297" s="142">
        <v>2374</v>
      </c>
      <c r="F297" s="17"/>
      <c r="G297" s="17"/>
    </row>
    <row r="298" spans="4:7">
      <c r="D298" s="142">
        <v>2375</v>
      </c>
      <c r="F298" s="17"/>
      <c r="G298" s="17"/>
    </row>
    <row r="299" spans="4:7">
      <c r="D299" s="142">
        <v>2376</v>
      </c>
      <c r="F299" s="17"/>
      <c r="G299" s="17"/>
    </row>
    <row r="300" spans="4:7">
      <c r="D300" s="142">
        <v>2377</v>
      </c>
      <c r="F300" s="17"/>
      <c r="G300" s="142"/>
    </row>
    <row r="301" spans="4:7">
      <c r="D301" s="142">
        <v>2379</v>
      </c>
      <c r="F301" s="142"/>
      <c r="G301" s="142"/>
    </row>
    <row r="302" spans="4:7">
      <c r="D302" s="142">
        <v>2380</v>
      </c>
      <c r="F302" s="142"/>
      <c r="G302" s="142"/>
    </row>
    <row r="303" spans="4:7">
      <c r="D303" s="142">
        <v>2382</v>
      </c>
      <c r="F303" s="142"/>
      <c r="G303" s="142"/>
    </row>
    <row r="304" spans="4:7">
      <c r="D304" s="142">
        <v>2383</v>
      </c>
      <c r="F304" s="142"/>
      <c r="G304" s="142"/>
    </row>
    <row r="305" spans="4:7">
      <c r="D305" s="142">
        <v>2385</v>
      </c>
      <c r="F305" s="142"/>
      <c r="G305" s="142"/>
    </row>
    <row r="306" spans="4:7">
      <c r="D306" s="142">
        <v>2387</v>
      </c>
      <c r="F306" s="142"/>
      <c r="G306" s="17"/>
    </row>
    <row r="307" spans="4:7">
      <c r="D307" s="142">
        <v>2388</v>
      </c>
      <c r="F307" s="17"/>
      <c r="G307" s="17"/>
    </row>
    <row r="308" spans="4:7">
      <c r="D308" s="142">
        <v>2390</v>
      </c>
      <c r="F308" s="17"/>
      <c r="G308" s="17"/>
    </row>
    <row r="309" spans="4:7">
      <c r="D309" s="142">
        <v>2392</v>
      </c>
      <c r="F309" s="17"/>
      <c r="G309" s="142"/>
    </row>
    <row r="310" spans="4:7">
      <c r="D310" s="142">
        <v>2393</v>
      </c>
      <c r="F310" s="142"/>
      <c r="G310" s="142"/>
    </row>
    <row r="311" spans="4:7">
      <c r="D311" s="142">
        <v>2395</v>
      </c>
      <c r="F311" s="142"/>
      <c r="G311" s="142"/>
    </row>
    <row r="312" spans="4:7">
      <c r="D312" s="142">
        <v>2397</v>
      </c>
      <c r="F312" s="142"/>
      <c r="G312" s="142"/>
    </row>
    <row r="313" spans="4:7">
      <c r="D313" s="142">
        <v>2399</v>
      </c>
      <c r="F313" s="142"/>
      <c r="G313" s="142"/>
    </row>
    <row r="314" spans="4:7">
      <c r="D314" s="142">
        <v>2401</v>
      </c>
      <c r="F314" s="142"/>
    </row>
    <row r="315" spans="4:7">
      <c r="D315" s="142">
        <v>2402</v>
      </c>
    </row>
    <row r="316" spans="4:7">
      <c r="D316" s="142">
        <v>2404</v>
      </c>
      <c r="G316" s="17"/>
    </row>
    <row r="317" spans="4:7">
      <c r="D317" s="142">
        <v>2405</v>
      </c>
      <c r="F317" s="17"/>
      <c r="G317" s="142"/>
    </row>
    <row r="318" spans="4:7">
      <c r="D318" s="142">
        <v>2406</v>
      </c>
      <c r="F318" s="142"/>
      <c r="G318" s="142"/>
    </row>
    <row r="319" spans="4:7">
      <c r="D319" s="142">
        <v>2408</v>
      </c>
      <c r="F319" s="142"/>
      <c r="G319" s="142"/>
    </row>
    <row r="320" spans="4:7">
      <c r="D320" s="142">
        <v>2409</v>
      </c>
      <c r="F320" s="142"/>
    </row>
    <row r="321" spans="4:7">
      <c r="D321" s="142">
        <v>2412</v>
      </c>
      <c r="G321" s="142"/>
    </row>
    <row r="322" spans="4:7">
      <c r="D322" s="142">
        <v>2413</v>
      </c>
      <c r="F322" s="142"/>
      <c r="G322" s="142"/>
    </row>
    <row r="323" spans="4:7">
      <c r="D323" s="142">
        <v>2414</v>
      </c>
      <c r="F323" s="142"/>
      <c r="G323" s="142"/>
    </row>
    <row r="324" spans="4:7">
      <c r="D324" s="142">
        <v>2415</v>
      </c>
      <c r="F324" s="142"/>
      <c r="G324" s="142"/>
    </row>
    <row r="325" spans="4:7">
      <c r="D325" s="142">
        <v>2417</v>
      </c>
      <c r="F325" s="142"/>
      <c r="G325" s="142"/>
    </row>
    <row r="326" spans="4:7">
      <c r="D326" s="142">
        <v>2419</v>
      </c>
      <c r="F326" s="142"/>
      <c r="G326" s="17"/>
    </row>
    <row r="327" spans="4:7">
      <c r="D327" s="142">
        <v>2420</v>
      </c>
      <c r="F327" s="17"/>
      <c r="G327" s="142"/>
    </row>
    <row r="328" spans="4:7">
      <c r="D328" s="142">
        <v>2421</v>
      </c>
      <c r="F328" s="142"/>
    </row>
    <row r="329" spans="4:7">
      <c r="D329" s="142">
        <v>2423</v>
      </c>
      <c r="G329" s="142"/>
    </row>
    <row r="330" spans="4:7">
      <c r="D330" s="142">
        <v>2424</v>
      </c>
      <c r="F330" s="142"/>
      <c r="G330" s="142"/>
    </row>
    <row r="331" spans="4:7">
      <c r="D331" s="142">
        <v>2425</v>
      </c>
      <c r="F331" s="142"/>
    </row>
    <row r="332" spans="4:7">
      <c r="D332" s="142">
        <v>2426</v>
      </c>
      <c r="G332" s="142"/>
    </row>
    <row r="333" spans="4:7">
      <c r="D333" s="142">
        <v>2427</v>
      </c>
      <c r="F333" s="142"/>
      <c r="G333" s="17"/>
    </row>
    <row r="334" spans="4:7">
      <c r="D334" s="142">
        <v>2428</v>
      </c>
      <c r="F334" s="17"/>
    </row>
    <row r="335" spans="4:7">
      <c r="D335" s="142">
        <v>2429</v>
      </c>
      <c r="G335" s="142"/>
    </row>
    <row r="336" spans="4:7">
      <c r="D336" s="142">
        <v>2430</v>
      </c>
      <c r="F336" s="142"/>
    </row>
    <row r="337" spans="4:7">
      <c r="D337" s="142">
        <v>2431</v>
      </c>
      <c r="G337" s="142"/>
    </row>
    <row r="338" spans="4:7">
      <c r="D338" s="142">
        <v>2433</v>
      </c>
      <c r="F338" s="142"/>
      <c r="G338" s="142"/>
    </row>
    <row r="339" spans="4:7">
      <c r="D339" s="142">
        <v>2434</v>
      </c>
      <c r="F339" s="142"/>
      <c r="G339" s="142"/>
    </row>
    <row r="340" spans="4:7">
      <c r="D340" s="142">
        <v>2436</v>
      </c>
      <c r="F340" s="142"/>
      <c r="G340" s="142"/>
    </row>
    <row r="341" spans="4:7">
      <c r="D341" s="142">
        <v>2437</v>
      </c>
      <c r="F341" s="142"/>
      <c r="G341" s="142"/>
    </row>
    <row r="342" spans="4:7">
      <c r="D342" s="142">
        <v>2438</v>
      </c>
      <c r="F342" s="142"/>
    </row>
    <row r="343" spans="4:7">
      <c r="D343" s="142">
        <v>2439</v>
      </c>
      <c r="G343" s="17"/>
    </row>
    <row r="344" spans="4:7">
      <c r="D344" s="142">
        <v>2440</v>
      </c>
      <c r="F344" s="17"/>
      <c r="G344" s="142"/>
    </row>
    <row r="345" spans="4:7">
      <c r="D345" s="142">
        <v>2441</v>
      </c>
      <c r="F345" s="142"/>
      <c r="G345" s="17"/>
    </row>
    <row r="346" spans="4:7">
      <c r="D346" s="142">
        <v>2442</v>
      </c>
      <c r="F346" s="17"/>
      <c r="G346" s="142"/>
    </row>
    <row r="347" spans="4:7">
      <c r="D347" s="142">
        <v>2443</v>
      </c>
      <c r="F347" s="142"/>
      <c r="G347" s="142"/>
    </row>
    <row r="348" spans="4:7">
      <c r="D348" s="142">
        <v>2444</v>
      </c>
      <c r="F348" s="142"/>
      <c r="G348" s="17"/>
    </row>
    <row r="349" spans="4:7">
      <c r="D349" s="142">
        <v>2448</v>
      </c>
      <c r="F349" s="17"/>
    </row>
    <row r="350" spans="4:7">
      <c r="D350" s="142">
        <v>2449</v>
      </c>
      <c r="G350" s="142"/>
    </row>
    <row r="351" spans="4:7">
      <c r="D351" s="142">
        <v>2450</v>
      </c>
      <c r="F351" s="142"/>
      <c r="G351" s="17"/>
    </row>
    <row r="352" spans="4:7">
      <c r="D352" s="142">
        <v>2451</v>
      </c>
      <c r="F352" s="17"/>
      <c r="G352" s="142"/>
    </row>
    <row r="353" spans="4:8">
      <c r="D353" s="142">
        <v>2453</v>
      </c>
      <c r="F353" s="142"/>
    </row>
    <row r="354" spans="4:8">
      <c r="D354" s="142">
        <v>2454</v>
      </c>
      <c r="G354" s="142"/>
      <c r="H354" s="200"/>
    </row>
    <row r="355" spans="4:8">
      <c r="D355" s="142">
        <v>2455</v>
      </c>
      <c r="F355" s="142"/>
      <c r="G355" s="17"/>
      <c r="H355" s="200"/>
    </row>
    <row r="356" spans="4:8">
      <c r="D356" s="142">
        <v>2456</v>
      </c>
      <c r="F356" s="17"/>
      <c r="G356" s="17"/>
      <c r="H356" s="200"/>
    </row>
    <row r="357" spans="4:8">
      <c r="D357" s="142">
        <v>2457</v>
      </c>
      <c r="F357" s="17"/>
      <c r="G357" s="17"/>
      <c r="H357" s="200"/>
    </row>
    <row r="358" spans="4:8">
      <c r="D358" s="142">
        <v>2458</v>
      </c>
      <c r="F358" s="17"/>
      <c r="G358" s="142"/>
      <c r="H358" s="200"/>
    </row>
    <row r="359" spans="4:8">
      <c r="D359" s="142">
        <v>2459</v>
      </c>
      <c r="F359" s="142"/>
      <c r="G359" s="17"/>
      <c r="H359" s="200"/>
    </row>
    <row r="360" spans="4:8">
      <c r="D360" s="142">
        <v>2460</v>
      </c>
      <c r="F360" s="17"/>
      <c r="G360" s="142"/>
      <c r="H360" s="200"/>
    </row>
    <row r="361" spans="4:8">
      <c r="D361" s="142">
        <v>2461</v>
      </c>
      <c r="F361" s="142"/>
      <c r="G361" s="17"/>
      <c r="H361" s="200"/>
    </row>
    <row r="362" spans="4:8">
      <c r="D362" s="142">
        <v>2462</v>
      </c>
      <c r="F362" s="17"/>
      <c r="G362" s="17"/>
      <c r="H362" s="200"/>
    </row>
    <row r="363" spans="4:8">
      <c r="D363" s="142">
        <v>2464</v>
      </c>
      <c r="F363" s="17"/>
      <c r="G363" s="142"/>
      <c r="H363" s="200"/>
    </row>
    <row r="364" spans="4:8">
      <c r="D364" s="142">
        <v>2465</v>
      </c>
      <c r="F364" s="142"/>
      <c r="G364" s="142"/>
      <c r="H364" s="200"/>
    </row>
    <row r="365" spans="4:8">
      <c r="D365" s="142">
        <v>2466</v>
      </c>
      <c r="F365" s="142"/>
      <c r="G365" s="142"/>
      <c r="H365" s="200"/>
    </row>
    <row r="366" spans="4:8">
      <c r="D366" s="142">
        <v>2467</v>
      </c>
      <c r="F366" s="142"/>
      <c r="G366" s="142"/>
      <c r="H366" s="200"/>
    </row>
    <row r="367" spans="4:8">
      <c r="D367" s="142">
        <v>2468</v>
      </c>
      <c r="F367" s="142"/>
      <c r="G367" s="17"/>
      <c r="H367" s="200"/>
    </row>
    <row r="368" spans="4:8">
      <c r="D368" s="142">
        <v>2471</v>
      </c>
      <c r="F368" s="17"/>
      <c r="G368" s="142"/>
      <c r="H368" s="200"/>
    </row>
    <row r="369" spans="4:8">
      <c r="D369" s="142">
        <v>2472</v>
      </c>
      <c r="F369" s="142"/>
      <c r="G369" s="142"/>
      <c r="H369" s="200"/>
    </row>
    <row r="370" spans="4:8">
      <c r="D370" s="142">
        <v>2474</v>
      </c>
      <c r="F370" s="142"/>
      <c r="H370" s="200"/>
    </row>
    <row r="371" spans="4:8">
      <c r="D371" s="142">
        <v>2475</v>
      </c>
      <c r="G371" s="17"/>
      <c r="H371" s="200"/>
    </row>
    <row r="372" spans="4:8">
      <c r="D372" s="142">
        <v>2476</v>
      </c>
      <c r="F372" s="17"/>
      <c r="G372" s="142"/>
      <c r="H372" s="200"/>
    </row>
    <row r="373" spans="4:8">
      <c r="D373" s="142">
        <v>2477</v>
      </c>
      <c r="F373" s="142"/>
      <c r="G373" s="17"/>
      <c r="H373" s="200"/>
    </row>
    <row r="374" spans="4:8">
      <c r="D374" s="142">
        <v>2478</v>
      </c>
      <c r="F374" s="17"/>
      <c r="G374" s="142"/>
      <c r="H374" s="200"/>
    </row>
    <row r="375" spans="4:8">
      <c r="D375" s="142">
        <v>2480</v>
      </c>
      <c r="F375" s="142"/>
      <c r="H375" s="200"/>
    </row>
    <row r="376" spans="4:8">
      <c r="D376" s="142">
        <v>2481</v>
      </c>
      <c r="G376" s="142"/>
      <c r="H376" s="200"/>
    </row>
    <row r="377" spans="4:8">
      <c r="D377" s="142">
        <v>2482</v>
      </c>
      <c r="F377" s="142"/>
      <c r="G377" s="142"/>
      <c r="H377" s="200"/>
    </row>
    <row r="378" spans="4:8">
      <c r="D378" s="142">
        <v>2483</v>
      </c>
      <c r="F378" s="142"/>
      <c r="G378" s="142"/>
      <c r="H378" s="200"/>
    </row>
    <row r="379" spans="4:8">
      <c r="D379" s="142">
        <v>2484</v>
      </c>
      <c r="F379" s="142"/>
      <c r="G379" s="142"/>
      <c r="H379" s="200"/>
    </row>
    <row r="380" spans="4:8">
      <c r="D380" s="142">
        <v>2485</v>
      </c>
      <c r="F380" s="142"/>
      <c r="G380" s="17"/>
      <c r="H380" s="200"/>
    </row>
    <row r="381" spans="4:8">
      <c r="D381" s="142">
        <v>2486</v>
      </c>
      <c r="F381" s="17"/>
      <c r="H381" s="200"/>
    </row>
    <row r="382" spans="4:8">
      <c r="D382" s="142">
        <v>2488</v>
      </c>
      <c r="G382" s="17"/>
      <c r="H382" s="200"/>
    </row>
    <row r="383" spans="4:8">
      <c r="D383" s="142">
        <v>2489</v>
      </c>
      <c r="F383" s="17"/>
      <c r="G383" s="17"/>
      <c r="H383" s="200"/>
    </row>
    <row r="384" spans="4:8">
      <c r="D384" s="142">
        <v>2491</v>
      </c>
      <c r="F384" s="17"/>
      <c r="G384" s="142"/>
      <c r="H384" s="200"/>
    </row>
    <row r="385" spans="4:8">
      <c r="D385" s="142">
        <v>2492</v>
      </c>
      <c r="F385" s="142"/>
      <c r="G385" s="142"/>
      <c r="H385" s="200"/>
    </row>
    <row r="386" spans="4:8">
      <c r="D386" s="142">
        <v>2493</v>
      </c>
      <c r="F386" s="142"/>
      <c r="G386" s="142"/>
      <c r="H386" s="200"/>
    </row>
    <row r="387" spans="4:8">
      <c r="D387" s="142">
        <v>2495</v>
      </c>
      <c r="F387" s="142"/>
      <c r="G387" s="142"/>
      <c r="H387" s="200"/>
    </row>
    <row r="388" spans="4:8">
      <c r="D388" s="142">
        <v>2496</v>
      </c>
      <c r="F388" s="142"/>
      <c r="G388" s="142"/>
      <c r="H388" s="200"/>
    </row>
    <row r="389" spans="4:8">
      <c r="D389" s="142">
        <v>2497</v>
      </c>
      <c r="F389" s="142"/>
      <c r="G389" s="142"/>
      <c r="H389" s="200"/>
    </row>
    <row r="390" spans="4:8">
      <c r="D390" s="142">
        <v>2498</v>
      </c>
      <c r="F390" s="142"/>
      <c r="G390" s="17"/>
      <c r="H390" s="200"/>
    </row>
    <row r="391" spans="4:8">
      <c r="D391" s="142">
        <v>2499</v>
      </c>
      <c r="F391" s="17"/>
      <c r="G391" s="142"/>
      <c r="H391" s="200"/>
    </row>
    <row r="392" spans="4:8">
      <c r="D392" s="142">
        <v>2601</v>
      </c>
      <c r="F392" s="142"/>
      <c r="G392" s="17"/>
      <c r="H392" s="200"/>
    </row>
    <row r="393" spans="4:8">
      <c r="D393" s="142">
        <v>2603</v>
      </c>
      <c r="F393" s="17"/>
      <c r="G393" s="142"/>
      <c r="H393" s="200"/>
    </row>
    <row r="394" spans="4:8">
      <c r="D394" s="142">
        <v>2605</v>
      </c>
      <c r="F394" s="142"/>
      <c r="G394" s="142"/>
      <c r="H394" s="200"/>
    </row>
    <row r="395" spans="4:8">
      <c r="D395" s="142">
        <v>2606</v>
      </c>
      <c r="F395" s="142"/>
      <c r="G395" s="142"/>
      <c r="H395" s="200"/>
    </row>
    <row r="396" spans="4:8">
      <c r="D396" s="142">
        <v>2607</v>
      </c>
      <c r="F396" s="142"/>
      <c r="G396" s="142"/>
      <c r="H396" s="200"/>
    </row>
    <row r="397" spans="4:8">
      <c r="D397" s="142">
        <v>2608</v>
      </c>
      <c r="F397" s="142"/>
      <c r="G397" s="17"/>
      <c r="H397" s="200"/>
    </row>
    <row r="398" spans="4:8">
      <c r="D398" s="142">
        <v>2609</v>
      </c>
      <c r="F398" s="17"/>
      <c r="G398" s="142"/>
      <c r="H398" s="200"/>
    </row>
    <row r="399" spans="4:8">
      <c r="D399" s="142">
        <v>2610</v>
      </c>
      <c r="F399" s="142"/>
      <c r="H399" s="200"/>
    </row>
    <row r="400" spans="4:8">
      <c r="D400" s="142">
        <v>2611</v>
      </c>
      <c r="G400" s="17"/>
      <c r="H400" s="200"/>
    </row>
    <row r="401" spans="4:8">
      <c r="D401" s="142">
        <v>2612</v>
      </c>
      <c r="F401" s="17"/>
      <c r="G401" s="17"/>
      <c r="H401" s="200"/>
    </row>
    <row r="402" spans="4:8">
      <c r="D402" s="142">
        <v>2613</v>
      </c>
      <c r="F402" s="17"/>
      <c r="G402" s="142"/>
      <c r="H402" s="200"/>
    </row>
    <row r="403" spans="4:8">
      <c r="D403" s="142">
        <v>2614</v>
      </c>
      <c r="F403" s="142"/>
      <c r="G403" s="17"/>
      <c r="H403" s="200"/>
    </row>
    <row r="404" spans="4:8">
      <c r="D404" s="142">
        <v>2615</v>
      </c>
      <c r="F404" s="17"/>
      <c r="G404" s="142"/>
      <c r="H404" s="200"/>
    </row>
    <row r="405" spans="4:8">
      <c r="D405" s="142">
        <v>2616</v>
      </c>
      <c r="F405" s="142"/>
      <c r="G405" s="17"/>
      <c r="H405" s="200"/>
    </row>
    <row r="406" spans="4:8">
      <c r="D406" s="142">
        <v>2617</v>
      </c>
      <c r="F406" s="17"/>
      <c r="G406" s="142"/>
      <c r="H406" s="200"/>
    </row>
    <row r="407" spans="4:8">
      <c r="D407" s="142">
        <v>2618</v>
      </c>
      <c r="F407" s="142"/>
      <c r="G407" s="17"/>
      <c r="H407" s="200"/>
    </row>
    <row r="408" spans="4:8">
      <c r="D408" s="142">
        <v>2634</v>
      </c>
      <c r="F408" s="17"/>
      <c r="G408" s="142"/>
      <c r="H408" s="200"/>
    </row>
    <row r="409" spans="4:8">
      <c r="D409" s="142">
        <v>2637</v>
      </c>
      <c r="F409" s="142"/>
      <c r="G409" s="17"/>
      <c r="H409" s="200"/>
    </row>
    <row r="410" spans="4:8">
      <c r="D410" s="142">
        <v>2642</v>
      </c>
      <c r="F410" s="17"/>
      <c r="G410" s="17"/>
      <c r="H410" s="200"/>
    </row>
    <row r="411" spans="4:8">
      <c r="D411" s="142">
        <v>2701</v>
      </c>
      <c r="F411" s="17"/>
      <c r="G411" s="142"/>
      <c r="H411" s="200"/>
    </row>
    <row r="412" spans="4:8">
      <c r="D412" s="142">
        <v>2702</v>
      </c>
      <c r="F412" s="142"/>
      <c r="G412" s="142"/>
      <c r="H412" s="200"/>
    </row>
    <row r="413" spans="4:8">
      <c r="D413" s="142">
        <v>2704</v>
      </c>
      <c r="F413" s="142"/>
      <c r="H413" s="200"/>
    </row>
    <row r="414" spans="4:8">
      <c r="D414" s="142">
        <v>2705</v>
      </c>
      <c r="G414" s="142"/>
      <c r="H414" s="200"/>
    </row>
    <row r="415" spans="4:8">
      <c r="D415" s="142">
        <v>2706</v>
      </c>
      <c r="F415" s="142"/>
      <c r="G415" s="142"/>
      <c r="H415" s="200"/>
    </row>
    <row r="416" spans="4:8">
      <c r="D416" s="142">
        <v>2707</v>
      </c>
      <c r="F416" s="142"/>
      <c r="G416" s="142"/>
      <c r="H416" s="200"/>
    </row>
    <row r="417" spans="4:8">
      <c r="D417" s="142">
        <v>2712</v>
      </c>
      <c r="F417" s="142"/>
      <c r="G417" s="17"/>
      <c r="H417" s="200"/>
    </row>
    <row r="418" spans="4:8">
      <c r="D418" s="142">
        <v>2722</v>
      </c>
      <c r="F418" s="17"/>
      <c r="G418" s="142"/>
      <c r="H418" s="200"/>
    </row>
    <row r="419" spans="4:8">
      <c r="D419" s="142">
        <v>2723</v>
      </c>
      <c r="F419" s="142"/>
      <c r="G419" s="142"/>
      <c r="H419" s="200"/>
    </row>
    <row r="420" spans="4:8">
      <c r="D420" s="142">
        <v>2727</v>
      </c>
      <c r="F420" s="142"/>
      <c r="G420" s="142"/>
      <c r="H420" s="200"/>
    </row>
    <row r="421" spans="4:8">
      <c r="D421" s="142">
        <v>2731</v>
      </c>
      <c r="F421" s="142"/>
      <c r="H421" s="200"/>
    </row>
    <row r="422" spans="4:8">
      <c r="D422" s="142">
        <v>2901</v>
      </c>
      <c r="F422" s="142"/>
      <c r="H422" s="200"/>
    </row>
    <row r="423" spans="4:8">
      <c r="D423" s="142">
        <v>2903</v>
      </c>
      <c r="G423" s="17"/>
      <c r="H423" s="200"/>
    </row>
    <row r="424" spans="4:8">
      <c r="D424" s="142">
        <v>2904</v>
      </c>
      <c r="F424" s="17"/>
      <c r="G424" s="17"/>
      <c r="H424" s="200"/>
    </row>
    <row r="425" spans="4:8">
      <c r="D425" s="142">
        <v>2906</v>
      </c>
      <c r="F425" s="17"/>
      <c r="G425" s="142"/>
      <c r="H425" s="200"/>
    </row>
    <row r="426" spans="4:8">
      <c r="D426" s="142">
        <v>2908</v>
      </c>
      <c r="F426" s="142"/>
      <c r="G426" s="142"/>
      <c r="H426" s="200"/>
    </row>
    <row r="427" spans="4:8">
      <c r="D427" s="142">
        <v>2910</v>
      </c>
      <c r="F427" s="142"/>
      <c r="G427" s="17"/>
      <c r="H427" s="200"/>
    </row>
    <row r="428" spans="4:8">
      <c r="D428" s="142">
        <v>2911</v>
      </c>
      <c r="F428" s="17"/>
      <c r="G428" s="17"/>
      <c r="H428" s="200"/>
    </row>
    <row r="429" spans="4:8">
      <c r="D429" s="142">
        <v>2912</v>
      </c>
      <c r="F429" s="17"/>
      <c r="G429" s="142"/>
      <c r="H429" s="200"/>
    </row>
    <row r="430" spans="4:8">
      <c r="D430" s="142">
        <v>2913</v>
      </c>
      <c r="F430" s="142"/>
      <c r="G430" s="17"/>
      <c r="H430" s="200"/>
    </row>
    <row r="431" spans="4:8">
      <c r="D431" s="142">
        <v>2915</v>
      </c>
      <c r="F431" s="17"/>
      <c r="H431" s="200"/>
    </row>
    <row r="432" spans="4:8">
      <c r="D432" s="142">
        <v>2923</v>
      </c>
      <c r="G432" s="142"/>
      <c r="H432" s="200"/>
    </row>
    <row r="433" spans="4:8">
      <c r="D433" s="142">
        <v>2929</v>
      </c>
      <c r="F433" s="142"/>
      <c r="G433" s="142"/>
      <c r="H433" s="200"/>
    </row>
    <row r="434" spans="4:8">
      <c r="D434" s="142">
        <v>3002</v>
      </c>
      <c r="F434" s="142"/>
      <c r="G434" s="17"/>
      <c r="H434" s="200"/>
    </row>
    <row r="435" spans="4:8">
      <c r="D435" s="142">
        <v>3003</v>
      </c>
      <c r="F435" s="17"/>
      <c r="G435" s="142"/>
      <c r="H435" s="200"/>
    </row>
    <row r="436" spans="4:8">
      <c r="D436" s="142">
        <v>3004</v>
      </c>
      <c r="F436" s="142"/>
      <c r="H436" s="200"/>
    </row>
    <row r="437" spans="4:8">
      <c r="D437" s="142">
        <v>3005</v>
      </c>
      <c r="G437" s="17"/>
      <c r="H437" s="200"/>
    </row>
    <row r="438" spans="4:8">
      <c r="D438" s="142">
        <v>3006</v>
      </c>
      <c r="F438" s="17"/>
      <c r="G438" s="142"/>
      <c r="H438" s="200"/>
    </row>
    <row r="439" spans="4:8">
      <c r="D439" s="142">
        <v>3008</v>
      </c>
      <c r="F439" s="142"/>
      <c r="G439" s="142"/>
      <c r="H439" s="200"/>
    </row>
    <row r="440" spans="4:8">
      <c r="D440" s="142">
        <v>3010</v>
      </c>
      <c r="F440" s="142"/>
      <c r="G440" s="17"/>
      <c r="H440" s="200"/>
    </row>
    <row r="441" spans="4:8">
      <c r="D441" s="142">
        <v>3011</v>
      </c>
      <c r="F441" s="17"/>
      <c r="G441" s="142"/>
      <c r="H441" s="200"/>
    </row>
    <row r="442" spans="4:8">
      <c r="D442" s="142">
        <v>3013</v>
      </c>
      <c r="F442" s="142"/>
      <c r="G442" s="142"/>
      <c r="H442" s="200"/>
    </row>
    <row r="443" spans="4:8">
      <c r="D443" s="142">
        <v>3014</v>
      </c>
      <c r="F443" s="142"/>
      <c r="G443" s="142"/>
      <c r="H443" s="200"/>
    </row>
    <row r="444" spans="4:8">
      <c r="D444" s="142">
        <v>3015</v>
      </c>
      <c r="F444" s="142"/>
      <c r="G444" s="142"/>
      <c r="H444" s="200"/>
    </row>
    <row r="445" spans="4:8">
      <c r="D445" s="142">
        <v>3016</v>
      </c>
      <c r="F445" s="142"/>
      <c r="G445" s="17"/>
      <c r="H445" s="200"/>
    </row>
    <row r="446" spans="4:8">
      <c r="D446" s="142">
        <v>3017</v>
      </c>
      <c r="F446" s="17"/>
      <c r="G446" s="142"/>
      <c r="H446" s="200"/>
    </row>
    <row r="447" spans="4:8">
      <c r="D447" s="142">
        <v>3018</v>
      </c>
      <c r="F447" s="142"/>
      <c r="G447" s="17"/>
      <c r="H447" s="200"/>
    </row>
    <row r="448" spans="4:8">
      <c r="D448" s="142">
        <v>3019</v>
      </c>
      <c r="F448" s="17"/>
      <c r="H448" s="200"/>
    </row>
    <row r="449" spans="4:8">
      <c r="D449" s="142">
        <v>3021</v>
      </c>
      <c r="G449" s="142"/>
      <c r="H449" s="200"/>
    </row>
    <row r="450" spans="4:8">
      <c r="D450" s="142">
        <v>3022</v>
      </c>
      <c r="F450" s="142"/>
      <c r="G450" s="17"/>
      <c r="H450" s="200"/>
    </row>
    <row r="451" spans="4:8">
      <c r="D451" s="142">
        <v>3023</v>
      </c>
      <c r="F451" s="17"/>
      <c r="H451" s="200"/>
    </row>
    <row r="452" spans="4:8">
      <c r="D452" s="142">
        <v>3024</v>
      </c>
      <c r="G452" s="142"/>
      <c r="H452" s="200"/>
    </row>
    <row r="453" spans="4:8">
      <c r="D453" s="142">
        <v>3025</v>
      </c>
      <c r="F453" s="142"/>
      <c r="G453" s="142"/>
      <c r="H453" s="200"/>
    </row>
    <row r="454" spans="4:8">
      <c r="D454" s="142">
        <v>3026</v>
      </c>
      <c r="F454" s="142"/>
      <c r="G454" s="142"/>
      <c r="H454" s="200"/>
    </row>
    <row r="455" spans="4:8">
      <c r="D455" s="142">
        <v>3027</v>
      </c>
      <c r="F455" s="142"/>
      <c r="G455" s="142"/>
      <c r="H455" s="200"/>
    </row>
    <row r="456" spans="4:8">
      <c r="D456" s="142">
        <v>3028</v>
      </c>
      <c r="F456" s="142"/>
      <c r="G456" s="17"/>
      <c r="H456" s="200"/>
    </row>
    <row r="457" spans="4:8">
      <c r="D457" s="142">
        <v>3029</v>
      </c>
      <c r="F457" s="17"/>
      <c r="G457" s="142"/>
      <c r="H457" s="200"/>
    </row>
    <row r="458" spans="4:8">
      <c r="D458" s="142">
        <v>3030</v>
      </c>
      <c r="F458" s="142"/>
      <c r="G458" s="17"/>
      <c r="H458" s="200"/>
    </row>
    <row r="459" spans="4:8">
      <c r="D459" s="142">
        <v>3031</v>
      </c>
      <c r="F459" s="17"/>
      <c r="H459" s="200"/>
    </row>
    <row r="460" spans="4:8">
      <c r="D460" s="142">
        <v>3032</v>
      </c>
      <c r="G460" s="142"/>
      <c r="H460" s="200"/>
    </row>
    <row r="461" spans="4:8">
      <c r="D461" s="142">
        <v>3033</v>
      </c>
      <c r="F461" s="142"/>
      <c r="G461" s="17"/>
      <c r="H461" s="200"/>
    </row>
    <row r="462" spans="4:8">
      <c r="D462" s="142">
        <v>3034</v>
      </c>
      <c r="F462" s="17"/>
      <c r="G462" s="142"/>
      <c r="H462" s="200"/>
    </row>
    <row r="463" spans="4:8">
      <c r="D463" s="142">
        <v>3035</v>
      </c>
      <c r="F463" s="142"/>
      <c r="G463" s="142"/>
      <c r="H463" s="200"/>
    </row>
    <row r="464" spans="4:8">
      <c r="D464" s="142">
        <v>3036</v>
      </c>
      <c r="F464" s="142"/>
      <c r="H464" s="200"/>
    </row>
    <row r="465" spans="4:8">
      <c r="D465" s="142">
        <v>3037</v>
      </c>
      <c r="G465" s="17"/>
      <c r="H465" s="200"/>
    </row>
    <row r="466" spans="4:8">
      <c r="D466" s="142">
        <v>3038</v>
      </c>
      <c r="F466" s="17"/>
      <c r="G466" s="142"/>
      <c r="H466" s="200"/>
    </row>
    <row r="467" spans="4:8">
      <c r="D467" s="142">
        <v>3040</v>
      </c>
      <c r="F467" s="142"/>
      <c r="G467" s="142"/>
      <c r="H467" s="200"/>
    </row>
    <row r="468" spans="4:8">
      <c r="D468" s="142">
        <v>3041</v>
      </c>
      <c r="F468" s="142"/>
      <c r="G468" s="142"/>
      <c r="H468" s="200"/>
    </row>
    <row r="469" spans="4:8">
      <c r="D469" s="142">
        <v>3042</v>
      </c>
      <c r="F469" s="142"/>
      <c r="G469" s="142"/>
      <c r="H469" s="200"/>
    </row>
    <row r="470" spans="4:8">
      <c r="D470" s="142">
        <v>3043</v>
      </c>
      <c r="F470" s="142"/>
      <c r="G470" s="142"/>
      <c r="H470" s="200"/>
    </row>
    <row r="471" spans="4:8">
      <c r="D471" s="142">
        <v>3044</v>
      </c>
      <c r="F471" s="142"/>
      <c r="G471" s="142"/>
      <c r="H471" s="200"/>
    </row>
    <row r="472" spans="4:8">
      <c r="D472" s="142">
        <v>3045</v>
      </c>
      <c r="F472" s="142"/>
      <c r="G472" s="142"/>
      <c r="H472" s="200"/>
    </row>
    <row r="473" spans="4:8">
      <c r="D473" s="142">
        <v>3046</v>
      </c>
      <c r="F473" s="142"/>
      <c r="G473" s="142"/>
      <c r="H473" s="200"/>
    </row>
    <row r="474" spans="4:8">
      <c r="D474" s="142">
        <v>3047</v>
      </c>
      <c r="F474" s="142"/>
      <c r="G474" s="17"/>
      <c r="H474" s="200"/>
    </row>
    <row r="475" spans="4:8">
      <c r="D475" s="142">
        <v>3048</v>
      </c>
      <c r="F475" s="17"/>
      <c r="G475" s="191"/>
      <c r="H475" s="200"/>
    </row>
    <row r="476" spans="4:8">
      <c r="D476" s="142">
        <v>3049</v>
      </c>
      <c r="F476" s="133"/>
      <c r="G476" s="17"/>
      <c r="H476" s="200"/>
    </row>
    <row r="477" spans="4:8">
      <c r="D477" s="142">
        <v>3050</v>
      </c>
      <c r="F477" s="17"/>
      <c r="G477" s="142"/>
      <c r="H477" s="200"/>
    </row>
    <row r="478" spans="4:8">
      <c r="D478" s="142">
        <v>3051</v>
      </c>
      <c r="F478" s="142"/>
      <c r="G478" s="17"/>
      <c r="H478" s="200"/>
    </row>
    <row r="479" spans="4:8">
      <c r="D479" s="142">
        <v>3052</v>
      </c>
      <c r="F479" s="17"/>
      <c r="G479" s="142"/>
      <c r="H479" s="200"/>
    </row>
    <row r="480" spans="4:8">
      <c r="D480" s="142">
        <v>3054</v>
      </c>
      <c r="F480" s="142"/>
      <c r="G480" s="142"/>
      <c r="H480" s="200"/>
    </row>
    <row r="481" spans="4:8">
      <c r="D481" s="142">
        <v>3055</v>
      </c>
      <c r="F481" s="142"/>
      <c r="G481" s="142"/>
      <c r="H481" s="200"/>
    </row>
    <row r="482" spans="4:8">
      <c r="D482" s="142">
        <v>3056</v>
      </c>
      <c r="F482" s="142"/>
      <c r="G482" s="142"/>
      <c r="H482" s="200"/>
    </row>
    <row r="483" spans="4:8">
      <c r="D483" s="142">
        <v>3057</v>
      </c>
      <c r="F483" s="142"/>
      <c r="G483" s="17"/>
      <c r="H483" s="200"/>
    </row>
    <row r="484" spans="4:8">
      <c r="D484" s="142">
        <v>3058</v>
      </c>
      <c r="F484" s="17"/>
      <c r="G484" s="17"/>
      <c r="H484" s="200"/>
    </row>
    <row r="485" spans="4:8">
      <c r="D485" s="142">
        <v>3059</v>
      </c>
      <c r="F485" s="17"/>
      <c r="G485" s="17"/>
      <c r="H485" s="200"/>
    </row>
    <row r="486" spans="4:8">
      <c r="D486" s="142">
        <v>3060</v>
      </c>
      <c r="F486" s="17"/>
      <c r="H486" s="200"/>
    </row>
    <row r="487" spans="4:8">
      <c r="D487" s="142">
        <v>3062</v>
      </c>
      <c r="G487" s="191"/>
      <c r="H487" s="200"/>
    </row>
    <row r="488" spans="4:8">
      <c r="D488" s="142">
        <v>3090</v>
      </c>
      <c r="F488" s="133"/>
      <c r="G488" s="17"/>
      <c r="H488" s="200"/>
    </row>
    <row r="489" spans="4:8">
      <c r="D489" s="142">
        <v>3094</v>
      </c>
      <c r="F489" s="17"/>
      <c r="G489" s="191"/>
      <c r="H489" s="200"/>
    </row>
    <row r="490" spans="4:8">
      <c r="D490" s="142">
        <v>3130</v>
      </c>
      <c r="F490" s="133"/>
      <c r="G490" s="191"/>
      <c r="H490" s="200"/>
    </row>
    <row r="491" spans="4:8">
      <c r="D491" s="142">
        <v>3149</v>
      </c>
      <c r="F491" s="133"/>
      <c r="G491" s="142"/>
      <c r="H491" s="200"/>
    </row>
    <row r="492" spans="4:8">
      <c r="D492" s="142">
        <v>3164</v>
      </c>
      <c r="F492" s="142"/>
      <c r="G492" s="142"/>
      <c r="H492" s="200"/>
    </row>
    <row r="493" spans="4:8">
      <c r="D493" s="142">
        <v>3167</v>
      </c>
      <c r="F493" s="142"/>
      <c r="G493" s="142"/>
      <c r="H493" s="200"/>
    </row>
    <row r="494" spans="4:8">
      <c r="D494" s="142">
        <v>3189</v>
      </c>
      <c r="F494" s="142"/>
      <c r="G494" s="191"/>
      <c r="H494" s="200"/>
    </row>
    <row r="495" spans="4:8">
      <c r="D495" s="142">
        <v>3209</v>
      </c>
      <c r="F495" s="133"/>
      <c r="G495" s="142"/>
      <c r="H495" s="200"/>
    </row>
    <row r="496" spans="4:8">
      <c r="D496" s="142">
        <v>3229</v>
      </c>
      <c r="F496" s="142"/>
      <c r="G496" s="142"/>
      <c r="H496" s="200"/>
    </row>
    <row r="497" spans="4:8">
      <c r="D497" s="142">
        <v>3231</v>
      </c>
      <c r="F497" s="142"/>
      <c r="G497" s="142"/>
      <c r="H497" s="200"/>
    </row>
    <row r="498" spans="4:8">
      <c r="D498" s="142">
        <v>3257</v>
      </c>
      <c r="F498" s="142"/>
      <c r="G498" s="142"/>
      <c r="H498" s="200"/>
    </row>
    <row r="499" spans="4:8">
      <c r="D499" s="142">
        <v>3266</v>
      </c>
      <c r="F499" s="142"/>
      <c r="G499" s="17"/>
      <c r="H499" s="200"/>
    </row>
    <row r="500" spans="4:8">
      <c r="D500" s="142">
        <v>3296</v>
      </c>
      <c r="F500" s="17"/>
      <c r="G500" s="142"/>
      <c r="H500" s="200"/>
    </row>
    <row r="501" spans="4:8">
      <c r="D501" s="142">
        <v>3305</v>
      </c>
      <c r="F501" s="142"/>
      <c r="H501" s="200"/>
    </row>
    <row r="502" spans="4:8">
      <c r="D502" s="142">
        <v>3308</v>
      </c>
      <c r="G502" s="191"/>
      <c r="H502" s="200"/>
    </row>
    <row r="503" spans="4:8">
      <c r="D503" s="142">
        <v>3311</v>
      </c>
      <c r="F503" s="133"/>
      <c r="G503" s="17"/>
      <c r="H503" s="200"/>
    </row>
    <row r="504" spans="4:8">
      <c r="D504" s="142">
        <v>3312</v>
      </c>
      <c r="F504" s="17"/>
      <c r="G504" s="142"/>
      <c r="H504" s="200"/>
    </row>
    <row r="505" spans="4:8">
      <c r="D505" s="142">
        <v>3315</v>
      </c>
      <c r="F505" s="142"/>
      <c r="G505" s="17"/>
      <c r="H505" s="200"/>
    </row>
    <row r="506" spans="4:8">
      <c r="D506" s="142">
        <v>3338</v>
      </c>
      <c r="F506" s="17"/>
      <c r="G506" s="17"/>
      <c r="H506" s="200"/>
    </row>
    <row r="507" spans="4:8">
      <c r="D507" s="142">
        <v>3356</v>
      </c>
      <c r="F507" s="17"/>
      <c r="G507" s="142"/>
      <c r="H507" s="200"/>
    </row>
    <row r="508" spans="4:8">
      <c r="D508" s="142">
        <v>3376</v>
      </c>
      <c r="F508" s="142"/>
      <c r="G508" s="142"/>
      <c r="H508" s="200"/>
    </row>
    <row r="509" spans="4:8">
      <c r="D509" s="142">
        <v>3380</v>
      </c>
      <c r="F509" s="142"/>
      <c r="G509" s="191"/>
      <c r="H509" s="200"/>
    </row>
    <row r="510" spans="4:8">
      <c r="D510" s="142">
        <v>3383</v>
      </c>
      <c r="F510" s="133"/>
      <c r="G510" s="142"/>
      <c r="H510" s="200"/>
    </row>
    <row r="511" spans="4:8">
      <c r="D511" s="142">
        <v>3406</v>
      </c>
      <c r="F511" s="142"/>
      <c r="G511" s="142"/>
      <c r="H511" s="200"/>
    </row>
    <row r="512" spans="4:8">
      <c r="D512" s="142">
        <v>3413</v>
      </c>
      <c r="F512" s="142"/>
      <c r="G512" s="191"/>
      <c r="H512" s="200"/>
    </row>
    <row r="513" spans="4:8">
      <c r="D513" s="142">
        <v>3416</v>
      </c>
      <c r="F513" s="133"/>
      <c r="G513" s="17"/>
      <c r="H513" s="200"/>
    </row>
    <row r="514" spans="4:8">
      <c r="D514" s="142">
        <v>3419</v>
      </c>
      <c r="F514" s="17"/>
      <c r="G514" s="142"/>
      <c r="H514" s="200"/>
    </row>
    <row r="515" spans="4:8">
      <c r="D515" s="142">
        <v>3432</v>
      </c>
      <c r="F515" s="142"/>
      <c r="G515" s="142"/>
      <c r="H515" s="200"/>
    </row>
    <row r="516" spans="4:8">
      <c r="D516" s="142">
        <v>3437</v>
      </c>
      <c r="F516" s="142"/>
      <c r="H516" s="200"/>
    </row>
    <row r="517" spans="4:8">
      <c r="D517" s="142">
        <v>3443</v>
      </c>
      <c r="H517" s="200"/>
    </row>
    <row r="518" spans="4:8">
      <c r="D518" s="142">
        <v>3450</v>
      </c>
      <c r="G518" s="142"/>
      <c r="H518" s="200"/>
    </row>
    <row r="519" spans="4:8">
      <c r="D519" s="142">
        <v>3454</v>
      </c>
      <c r="F519" s="142"/>
      <c r="G519" s="191"/>
      <c r="H519" s="200"/>
    </row>
    <row r="520" spans="4:8">
      <c r="D520" s="142">
        <v>3474</v>
      </c>
      <c r="F520" s="133"/>
      <c r="G520" s="191"/>
      <c r="H520" s="200"/>
    </row>
    <row r="521" spans="4:8">
      <c r="D521" s="142">
        <v>3481</v>
      </c>
      <c r="F521" s="133"/>
      <c r="G521" s="17"/>
      <c r="H521" s="200"/>
    </row>
    <row r="522" spans="4:8">
      <c r="D522" s="142">
        <v>3494</v>
      </c>
      <c r="F522" s="17"/>
      <c r="G522" s="142"/>
      <c r="H522" s="200"/>
    </row>
    <row r="523" spans="4:8">
      <c r="D523" s="142">
        <v>3501</v>
      </c>
      <c r="F523" s="142"/>
      <c r="H523" s="200"/>
    </row>
    <row r="524" spans="4:8">
      <c r="D524" s="142">
        <v>3504</v>
      </c>
      <c r="G524" s="142"/>
      <c r="H524" s="200"/>
    </row>
    <row r="525" spans="4:8">
      <c r="D525" s="142">
        <v>3514</v>
      </c>
      <c r="F525" s="142"/>
      <c r="G525" s="17"/>
      <c r="H525" s="200"/>
    </row>
    <row r="526" spans="4:8">
      <c r="D526" s="142">
        <v>3515</v>
      </c>
      <c r="F526" s="17"/>
      <c r="G526" s="142"/>
      <c r="H526" s="200"/>
    </row>
    <row r="527" spans="4:8">
      <c r="D527" s="142">
        <v>3518</v>
      </c>
      <c r="F527" s="142"/>
      <c r="G527" s="142"/>
      <c r="H527" s="200"/>
    </row>
    <row r="528" spans="4:8">
      <c r="D528" s="142">
        <v>3519</v>
      </c>
      <c r="F528" s="142"/>
      <c r="G528" s="17"/>
      <c r="H528" s="200"/>
    </row>
    <row r="529" spans="4:8">
      <c r="D529" s="142">
        <v>3532</v>
      </c>
      <c r="F529" s="17"/>
      <c r="G529" s="17"/>
      <c r="H529" s="200"/>
    </row>
    <row r="530" spans="4:8">
      <c r="D530" s="142">
        <v>3533</v>
      </c>
      <c r="F530" s="17"/>
      <c r="G530" s="191"/>
      <c r="H530" s="200"/>
    </row>
    <row r="531" spans="4:8">
      <c r="D531" s="142">
        <v>3535</v>
      </c>
      <c r="F531" s="133"/>
      <c r="G531" s="17"/>
      <c r="H531" s="200"/>
    </row>
    <row r="532" spans="4:8">
      <c r="D532" s="142">
        <v>3536</v>
      </c>
      <c r="F532" s="17"/>
      <c r="G532" s="142"/>
      <c r="H532" s="200"/>
    </row>
    <row r="533" spans="4:8">
      <c r="D533" s="142">
        <v>3545</v>
      </c>
      <c r="F533" s="142"/>
      <c r="G533" s="142"/>
      <c r="H533" s="200"/>
    </row>
    <row r="534" spans="4:8">
      <c r="D534" s="142">
        <v>3550</v>
      </c>
      <c r="F534" s="142"/>
      <c r="H534" s="200"/>
    </row>
    <row r="535" spans="4:8">
      <c r="D535" s="142">
        <v>3557</v>
      </c>
      <c r="G535" s="191"/>
      <c r="H535" s="200"/>
    </row>
    <row r="536" spans="4:8">
      <c r="D536" s="142">
        <v>3559</v>
      </c>
      <c r="F536" s="133"/>
      <c r="G536" s="17"/>
      <c r="H536" s="200"/>
    </row>
    <row r="537" spans="4:8">
      <c r="D537" s="142">
        <v>3561</v>
      </c>
      <c r="F537" s="17"/>
      <c r="G537" s="142"/>
      <c r="H537" s="200"/>
    </row>
    <row r="538" spans="4:8">
      <c r="D538" s="142">
        <v>3573</v>
      </c>
      <c r="F538" s="142"/>
      <c r="G538" s="17"/>
      <c r="H538" s="200"/>
    </row>
    <row r="539" spans="4:8">
      <c r="D539" s="142">
        <v>3576</v>
      </c>
      <c r="F539" s="17"/>
      <c r="G539" s="142"/>
      <c r="H539" s="200"/>
    </row>
    <row r="540" spans="4:8">
      <c r="D540" s="142">
        <v>3579</v>
      </c>
      <c r="F540" s="142"/>
      <c r="G540" s="17"/>
      <c r="H540" s="200"/>
    </row>
    <row r="541" spans="4:8">
      <c r="D541" s="142">
        <v>3583</v>
      </c>
      <c r="F541" s="17"/>
      <c r="G541" s="191"/>
      <c r="H541" s="200"/>
    </row>
    <row r="542" spans="4:8">
      <c r="D542" s="142">
        <v>3584</v>
      </c>
      <c r="F542" s="133"/>
      <c r="G542" s="17"/>
      <c r="H542" s="200"/>
    </row>
    <row r="543" spans="4:8">
      <c r="D543" s="142">
        <v>3588</v>
      </c>
      <c r="F543" s="17"/>
      <c r="G543" s="191"/>
      <c r="H543" s="200"/>
    </row>
    <row r="544" spans="4:8">
      <c r="D544" s="142">
        <v>3591</v>
      </c>
      <c r="F544" s="133"/>
      <c r="G544" s="17"/>
      <c r="H544" s="200"/>
    </row>
    <row r="545" spans="4:8">
      <c r="D545" s="142">
        <v>3593</v>
      </c>
      <c r="F545" s="17"/>
      <c r="G545" s="191"/>
      <c r="H545" s="200"/>
    </row>
    <row r="546" spans="4:8">
      <c r="D546" s="142">
        <v>3596</v>
      </c>
      <c r="F546" s="133"/>
      <c r="H546" s="200"/>
    </row>
    <row r="547" spans="4:8">
      <c r="D547" s="142">
        <v>3598</v>
      </c>
      <c r="G547" s="142"/>
      <c r="H547" s="200"/>
    </row>
    <row r="548" spans="4:8">
      <c r="D548" s="142">
        <v>3605</v>
      </c>
      <c r="F548" s="142"/>
      <c r="G548" s="17"/>
      <c r="H548" s="200"/>
    </row>
    <row r="549" spans="4:8">
      <c r="D549" s="142">
        <v>3607</v>
      </c>
      <c r="F549" s="17"/>
      <c r="G549" s="142"/>
      <c r="H549" s="200"/>
    </row>
    <row r="550" spans="4:8">
      <c r="D550" s="142">
        <v>3617</v>
      </c>
      <c r="F550" s="142"/>
      <c r="G550" s="191"/>
      <c r="H550" s="200"/>
    </row>
    <row r="551" spans="4:8">
      <c r="D551" s="142">
        <v>3622</v>
      </c>
      <c r="F551" s="133"/>
      <c r="G551" s="17"/>
      <c r="H551" s="200"/>
    </row>
    <row r="552" spans="4:8">
      <c r="D552" s="142">
        <v>3645</v>
      </c>
      <c r="F552" s="17"/>
      <c r="H552" s="200"/>
    </row>
    <row r="553" spans="4:8">
      <c r="D553" s="142">
        <v>3653</v>
      </c>
      <c r="G553" s="191"/>
      <c r="H553" s="200"/>
    </row>
    <row r="554" spans="4:8">
      <c r="D554" s="142">
        <v>3661</v>
      </c>
      <c r="F554" s="133"/>
      <c r="G554" s="17"/>
      <c r="H554" s="200"/>
    </row>
    <row r="555" spans="4:8">
      <c r="D555" s="142">
        <v>3665</v>
      </c>
      <c r="F555" s="17"/>
      <c r="G555" s="142"/>
      <c r="H555" s="200"/>
    </row>
    <row r="556" spans="4:8">
      <c r="D556" s="142">
        <v>3669</v>
      </c>
      <c r="F556" s="142"/>
      <c r="G556" s="142"/>
      <c r="H556" s="200"/>
    </row>
    <row r="557" spans="4:8">
      <c r="D557" s="142">
        <v>3673</v>
      </c>
      <c r="F557" s="142"/>
      <c r="G557" s="191"/>
      <c r="H557" s="200"/>
    </row>
    <row r="558" spans="4:8">
      <c r="D558" s="142">
        <v>3679</v>
      </c>
      <c r="F558" s="133"/>
      <c r="G558" s="191"/>
      <c r="H558" s="200"/>
    </row>
    <row r="559" spans="4:8">
      <c r="D559" s="142">
        <v>3682</v>
      </c>
      <c r="F559" s="133"/>
      <c r="G559" s="17"/>
      <c r="H559" s="200"/>
    </row>
    <row r="560" spans="4:8">
      <c r="D560" s="142">
        <v>3686</v>
      </c>
      <c r="F560" s="17"/>
      <c r="G560" s="17"/>
      <c r="H560" s="200"/>
    </row>
    <row r="561" spans="4:8">
      <c r="D561" s="142">
        <v>3694</v>
      </c>
      <c r="F561" s="17"/>
      <c r="G561" s="142"/>
      <c r="H561" s="200"/>
    </row>
    <row r="562" spans="4:8">
      <c r="D562" s="142">
        <v>3698</v>
      </c>
      <c r="F562" s="142"/>
      <c r="G562" s="17"/>
      <c r="H562" s="200"/>
    </row>
    <row r="563" spans="4:8">
      <c r="D563" s="142">
        <v>3701</v>
      </c>
      <c r="F563" s="17"/>
      <c r="G563" s="191"/>
      <c r="H563" s="200"/>
    </row>
    <row r="564" spans="4:8">
      <c r="D564" s="142">
        <v>3702</v>
      </c>
      <c r="F564" s="133"/>
      <c r="G564" s="142"/>
      <c r="H564" s="200"/>
    </row>
    <row r="565" spans="4:8">
      <c r="D565" s="142">
        <v>3703</v>
      </c>
      <c r="F565" s="142"/>
      <c r="G565" s="191"/>
      <c r="H565" s="200"/>
    </row>
    <row r="566" spans="4:8">
      <c r="D566" s="142">
        <v>3704</v>
      </c>
      <c r="F566" s="133"/>
      <c r="G566" s="142"/>
      <c r="H566" s="200"/>
    </row>
    <row r="567" spans="4:8">
      <c r="D567" s="142">
        <v>3705</v>
      </c>
      <c r="F567" s="142"/>
      <c r="G567" s="191"/>
      <c r="H567" s="200"/>
    </row>
    <row r="568" spans="4:8">
      <c r="D568" s="142">
        <v>3706</v>
      </c>
      <c r="F568" s="133"/>
      <c r="G568" s="17"/>
      <c r="H568" s="200"/>
    </row>
    <row r="569" spans="4:8">
      <c r="D569" s="142">
        <v>4104</v>
      </c>
      <c r="F569" s="17"/>
      <c r="H569" s="200"/>
    </row>
    <row r="570" spans="4:8">
      <c r="D570" s="142">
        <v>4106</v>
      </c>
      <c r="G570" s="17"/>
      <c r="H570" s="200"/>
    </row>
    <row r="571" spans="4:8">
      <c r="D571" s="142">
        <v>4108</v>
      </c>
      <c r="F571" s="17"/>
      <c r="G571" s="17"/>
      <c r="H571" s="200"/>
    </row>
    <row r="572" spans="4:8">
      <c r="D572" s="142">
        <v>4119</v>
      </c>
      <c r="F572" s="17"/>
      <c r="G572" s="191"/>
      <c r="H572" s="200"/>
    </row>
    <row r="573" spans="4:8">
      <c r="D573" s="142">
        <v>4133</v>
      </c>
      <c r="F573" s="133"/>
      <c r="G573" s="17"/>
      <c r="H573" s="200"/>
    </row>
    <row r="574" spans="4:8">
      <c r="D574" s="142">
        <v>4137</v>
      </c>
      <c r="F574" s="17"/>
      <c r="H574" s="200"/>
    </row>
    <row r="575" spans="4:8">
      <c r="D575" s="142">
        <v>4141</v>
      </c>
      <c r="H575" s="200"/>
    </row>
    <row r="576" spans="4:8">
      <c r="D576" s="142">
        <v>4142</v>
      </c>
      <c r="G576" s="142"/>
      <c r="H576" s="200"/>
    </row>
    <row r="577" spans="4:8">
      <c r="D577" s="142">
        <v>4144</v>
      </c>
      <c r="F577" s="142"/>
      <c r="G577" s="191"/>
      <c r="H577" s="200"/>
    </row>
    <row r="578" spans="4:8">
      <c r="D578" s="142">
        <v>4164</v>
      </c>
      <c r="F578" s="133"/>
      <c r="G578" s="191"/>
      <c r="H578" s="200"/>
    </row>
    <row r="579" spans="4:8">
      <c r="D579" s="142">
        <v>4190</v>
      </c>
      <c r="F579" s="133"/>
      <c r="G579" s="17"/>
      <c r="H579" s="200"/>
    </row>
    <row r="580" spans="4:8">
      <c r="D580" s="142">
        <v>4306</v>
      </c>
      <c r="F580" s="17"/>
      <c r="G580" s="17"/>
      <c r="H580" s="200"/>
    </row>
    <row r="581" spans="4:8">
      <c r="D581" s="142">
        <v>4414</v>
      </c>
      <c r="F581" s="17"/>
      <c r="G581" s="142"/>
      <c r="H581" s="200"/>
    </row>
    <row r="582" spans="4:8">
      <c r="D582" s="142">
        <v>4426</v>
      </c>
      <c r="F582" s="142"/>
      <c r="G582" s="142"/>
      <c r="H582" s="200"/>
    </row>
    <row r="583" spans="4:8">
      <c r="D583" s="142">
        <v>4526</v>
      </c>
      <c r="F583" s="142"/>
      <c r="G583" s="17"/>
      <c r="H583" s="200"/>
    </row>
    <row r="584" spans="4:8">
      <c r="D584" s="142">
        <v>4532</v>
      </c>
      <c r="F584" s="17"/>
      <c r="G584" s="17"/>
      <c r="H584" s="200"/>
    </row>
    <row r="585" spans="4:8">
      <c r="D585" s="142">
        <v>4536</v>
      </c>
      <c r="F585" s="17"/>
      <c r="G585" s="142"/>
      <c r="H585" s="200"/>
    </row>
    <row r="586" spans="4:8">
      <c r="D586" s="142">
        <v>4551</v>
      </c>
      <c r="F586" s="142"/>
      <c r="G586" s="191"/>
      <c r="H586" s="200"/>
    </row>
    <row r="587" spans="4:8">
      <c r="D587" s="142">
        <v>4555</v>
      </c>
      <c r="F587" s="133"/>
      <c r="G587" s="17"/>
      <c r="H587" s="200"/>
    </row>
    <row r="588" spans="4:8">
      <c r="D588" s="142">
        <v>4557</v>
      </c>
      <c r="F588" s="17"/>
      <c r="G588" s="17"/>
      <c r="H588" s="200"/>
    </row>
    <row r="589" spans="4:8">
      <c r="D589" s="142">
        <v>4720</v>
      </c>
      <c r="F589" s="17"/>
      <c r="G589" s="191"/>
      <c r="H589" s="200"/>
    </row>
    <row r="590" spans="4:8">
      <c r="D590" s="142">
        <v>4722</v>
      </c>
      <c r="F590" s="133"/>
      <c r="G590" s="17"/>
      <c r="H590" s="200"/>
    </row>
    <row r="591" spans="4:8">
      <c r="D591" s="142">
        <v>4725</v>
      </c>
      <c r="F591" s="17"/>
      <c r="G591" s="142"/>
      <c r="H591" s="200"/>
    </row>
    <row r="592" spans="4:8">
      <c r="D592" s="142">
        <v>4733</v>
      </c>
      <c r="F592" s="142"/>
      <c r="G592" s="142"/>
      <c r="H592" s="200"/>
    </row>
    <row r="593" spans="4:8">
      <c r="D593" s="142">
        <v>4737</v>
      </c>
      <c r="F593" s="142"/>
      <c r="G593" s="17"/>
      <c r="H593" s="200"/>
    </row>
    <row r="594" spans="4:8">
      <c r="D594" s="142">
        <v>4746</v>
      </c>
      <c r="F594" s="17"/>
      <c r="G594" s="17"/>
      <c r="H594" s="200"/>
    </row>
    <row r="595" spans="4:8">
      <c r="D595" s="142">
        <v>4755</v>
      </c>
      <c r="F595" s="17"/>
      <c r="G595" s="142"/>
      <c r="H595" s="200"/>
    </row>
    <row r="596" spans="4:8">
      <c r="D596" s="142">
        <v>4904</v>
      </c>
      <c r="F596" s="142"/>
      <c r="G596" s="142"/>
      <c r="H596" s="200"/>
    </row>
    <row r="597" spans="4:8">
      <c r="D597" s="142">
        <v>4906</v>
      </c>
      <c r="F597" s="142"/>
      <c r="G597" s="17"/>
      <c r="H597" s="200"/>
    </row>
    <row r="598" spans="4:8">
      <c r="D598" s="142">
        <v>4912</v>
      </c>
      <c r="F598" s="17"/>
      <c r="G598" s="191"/>
      <c r="H598" s="200"/>
    </row>
    <row r="599" spans="4:8">
      <c r="D599" s="142">
        <v>4915</v>
      </c>
      <c r="F599" s="133"/>
      <c r="G599" s="191"/>
      <c r="H599" s="200"/>
    </row>
    <row r="600" spans="4:8">
      <c r="D600" s="142">
        <v>4916</v>
      </c>
      <c r="F600" s="133"/>
      <c r="G600" s="142"/>
      <c r="H600" s="200"/>
    </row>
    <row r="601" spans="4:8">
      <c r="D601" s="142">
        <v>4919</v>
      </c>
      <c r="F601" s="142"/>
      <c r="G601" s="191"/>
      <c r="H601" s="200"/>
    </row>
    <row r="602" spans="4:8">
      <c r="D602" s="142">
        <v>4927</v>
      </c>
      <c r="F602" s="133"/>
      <c r="G602" s="142"/>
      <c r="H602" s="200"/>
    </row>
    <row r="603" spans="4:8">
      <c r="D603" s="142">
        <v>4930</v>
      </c>
      <c r="F603" s="142"/>
      <c r="G603" s="142"/>
      <c r="H603" s="200"/>
    </row>
    <row r="604" spans="4:8">
      <c r="D604" s="142">
        <v>4934</v>
      </c>
      <c r="F604" s="142"/>
      <c r="H604" s="200"/>
    </row>
    <row r="605" spans="4:8">
      <c r="D605" s="142">
        <v>4935</v>
      </c>
      <c r="G605" s="17"/>
      <c r="H605" s="200"/>
    </row>
    <row r="606" spans="4:8">
      <c r="D606" s="142">
        <v>4938</v>
      </c>
      <c r="F606" s="17"/>
      <c r="G606" s="142"/>
      <c r="H606" s="200"/>
    </row>
    <row r="607" spans="4:8">
      <c r="D607" s="142">
        <v>4942</v>
      </c>
      <c r="F607" s="142"/>
      <c r="G607" s="17"/>
      <c r="H607" s="200"/>
    </row>
    <row r="608" spans="4:8">
      <c r="D608" s="142">
        <v>4952</v>
      </c>
      <c r="F608" s="17"/>
      <c r="G608" s="142"/>
      <c r="H608" s="200"/>
    </row>
    <row r="609" spans="4:8">
      <c r="D609" s="142">
        <v>4956</v>
      </c>
      <c r="F609" s="142"/>
      <c r="G609" s="17"/>
      <c r="H609" s="200"/>
    </row>
    <row r="610" spans="4:8">
      <c r="D610" s="142">
        <v>4958</v>
      </c>
      <c r="F610" s="17"/>
      <c r="G610" s="17"/>
      <c r="H610" s="200"/>
    </row>
    <row r="611" spans="4:8">
      <c r="D611" s="142">
        <v>4960</v>
      </c>
      <c r="F611" s="17"/>
      <c r="G611" s="142"/>
      <c r="H611" s="200"/>
    </row>
    <row r="612" spans="4:8">
      <c r="D612" s="142">
        <v>4976</v>
      </c>
      <c r="F612" s="142"/>
      <c r="G612" s="17"/>
      <c r="H612" s="200"/>
    </row>
    <row r="613" spans="4:8">
      <c r="D613" s="142">
        <v>4977</v>
      </c>
      <c r="F613" s="17"/>
      <c r="G613" s="142"/>
      <c r="H613" s="200"/>
    </row>
    <row r="614" spans="4:8">
      <c r="D614" s="142">
        <v>4984</v>
      </c>
      <c r="F614" s="142"/>
      <c r="G614" s="191"/>
      <c r="H614" s="200"/>
    </row>
    <row r="615" spans="4:8">
      <c r="D615" s="142">
        <v>4994</v>
      </c>
      <c r="F615" s="133"/>
      <c r="G615" s="17"/>
      <c r="H615" s="200"/>
    </row>
    <row r="616" spans="4:8">
      <c r="D616" s="142">
        <v>4999</v>
      </c>
      <c r="F616" s="17"/>
      <c r="G616" s="142"/>
      <c r="H616" s="200"/>
    </row>
    <row r="617" spans="4:8">
      <c r="D617" s="142">
        <v>5007</v>
      </c>
      <c r="F617" s="142"/>
      <c r="G617" s="17"/>
      <c r="H617" s="200"/>
    </row>
    <row r="618" spans="4:8">
      <c r="D618" s="142">
        <v>5203</v>
      </c>
      <c r="F618" s="17"/>
      <c r="H618" s="200"/>
    </row>
    <row r="619" spans="4:8">
      <c r="D619" s="142">
        <v>5215</v>
      </c>
      <c r="G619" s="142"/>
      <c r="H619" s="200"/>
    </row>
    <row r="620" spans="4:8">
      <c r="D620" s="142">
        <v>5225</v>
      </c>
      <c r="F620" s="142"/>
      <c r="H620" s="200"/>
    </row>
    <row r="621" spans="4:8">
      <c r="D621" s="142">
        <v>5234</v>
      </c>
      <c r="G621" s="142"/>
      <c r="H621" s="200"/>
    </row>
    <row r="622" spans="4:8">
      <c r="D622" s="142">
        <v>5243</v>
      </c>
      <c r="F622" s="142"/>
      <c r="G622" s="142"/>
      <c r="H622" s="200"/>
    </row>
    <row r="623" spans="4:8">
      <c r="D623" s="142">
        <v>5259</v>
      </c>
      <c r="F623" s="142"/>
      <c r="G623" s="17"/>
      <c r="H623" s="200"/>
    </row>
    <row r="624" spans="4:8">
      <c r="D624" s="142">
        <v>5264</v>
      </c>
      <c r="F624" s="17"/>
      <c r="H624" s="200"/>
    </row>
    <row r="625" spans="4:8">
      <c r="D625" s="142">
        <v>5269</v>
      </c>
      <c r="G625" s="17"/>
      <c r="H625" s="200"/>
    </row>
    <row r="626" spans="4:8">
      <c r="D626" s="142">
        <v>5285</v>
      </c>
      <c r="F626" s="17"/>
      <c r="G626" s="191"/>
      <c r="H626" s="200"/>
    </row>
    <row r="627" spans="4:8">
      <c r="D627" s="142">
        <v>5288</v>
      </c>
      <c r="F627" s="133"/>
      <c r="G627" s="142"/>
      <c r="H627" s="200"/>
    </row>
    <row r="628" spans="4:8">
      <c r="D628" s="142">
        <v>5305</v>
      </c>
      <c r="F628" s="142"/>
      <c r="G628" s="142"/>
      <c r="H628" s="200"/>
    </row>
    <row r="629" spans="4:8">
      <c r="D629" s="142">
        <v>5388</v>
      </c>
      <c r="F629" s="142"/>
      <c r="G629" s="191"/>
      <c r="H629" s="200"/>
    </row>
    <row r="630" spans="4:8">
      <c r="D630" s="142">
        <v>5434</v>
      </c>
      <c r="F630" s="133"/>
      <c r="G630" s="17"/>
      <c r="H630" s="200"/>
    </row>
    <row r="631" spans="4:8">
      <c r="D631" s="142">
        <v>5469</v>
      </c>
      <c r="F631" s="17"/>
      <c r="G631" s="17"/>
      <c r="H631" s="200"/>
    </row>
    <row r="632" spans="4:8">
      <c r="D632" s="142">
        <v>5471</v>
      </c>
      <c r="F632" s="17"/>
      <c r="G632" s="17"/>
      <c r="H632" s="200"/>
    </row>
    <row r="633" spans="4:8">
      <c r="D633" s="142">
        <v>5484</v>
      </c>
      <c r="F633" s="17"/>
      <c r="G633" s="142"/>
      <c r="H633" s="200"/>
    </row>
    <row r="634" spans="4:8">
      <c r="D634" s="142">
        <v>5515</v>
      </c>
      <c r="F634" s="142"/>
      <c r="G634" s="17"/>
      <c r="H634" s="200"/>
    </row>
    <row r="635" spans="4:8">
      <c r="D635" s="142">
        <v>5519</v>
      </c>
      <c r="F635" s="17"/>
      <c r="G635" s="17"/>
      <c r="H635" s="200"/>
    </row>
    <row r="636" spans="4:8">
      <c r="D636" s="142">
        <v>5521</v>
      </c>
      <c r="F636" s="17"/>
      <c r="G636" s="17"/>
      <c r="H636" s="200"/>
    </row>
    <row r="637" spans="4:8">
      <c r="D637" s="142">
        <v>5522</v>
      </c>
      <c r="F637" s="17"/>
      <c r="G637" s="191"/>
      <c r="H637" s="200"/>
    </row>
    <row r="638" spans="4:8">
      <c r="D638" s="142">
        <v>5525</v>
      </c>
      <c r="F638" s="133"/>
      <c r="G638" s="142"/>
      <c r="H638" s="200"/>
    </row>
    <row r="639" spans="4:8">
      <c r="D639" s="142">
        <v>5531</v>
      </c>
      <c r="F639" s="142"/>
      <c r="G639" s="17"/>
      <c r="H639" s="200"/>
    </row>
    <row r="640" spans="4:8">
      <c r="D640" s="142">
        <v>5533</v>
      </c>
      <c r="F640" s="17"/>
      <c r="G640" s="17"/>
      <c r="H640" s="200"/>
    </row>
    <row r="641" spans="4:8">
      <c r="D641" s="142">
        <v>5534</v>
      </c>
      <c r="F641" s="17"/>
      <c r="G641" s="142"/>
      <c r="H641" s="200"/>
    </row>
    <row r="642" spans="4:8">
      <c r="D642" s="142">
        <v>5538</v>
      </c>
      <c r="F642" s="142"/>
      <c r="G642" s="17"/>
      <c r="H642" s="200"/>
    </row>
    <row r="643" spans="4:8">
      <c r="D643" s="142">
        <v>5607</v>
      </c>
      <c r="F643" s="17"/>
      <c r="G643" s="17"/>
      <c r="H643" s="200"/>
    </row>
    <row r="644" spans="4:8">
      <c r="D644" s="142">
        <v>5608</v>
      </c>
      <c r="F644" s="17"/>
      <c r="G644" s="142"/>
      <c r="H644" s="200"/>
    </row>
    <row r="645" spans="4:8">
      <c r="D645" s="142">
        <v>5706</v>
      </c>
      <c r="F645" s="142"/>
      <c r="G645" s="142"/>
      <c r="H645" s="200"/>
    </row>
    <row r="646" spans="4:8">
      <c r="D646" s="142">
        <v>5871</v>
      </c>
      <c r="F646" s="142"/>
      <c r="G646" s="142"/>
      <c r="H646" s="200"/>
    </row>
    <row r="647" spans="4:8">
      <c r="D647" s="142">
        <v>5906</v>
      </c>
      <c r="F647" s="142"/>
      <c r="G647" s="17"/>
      <c r="H647" s="200"/>
    </row>
    <row r="648" spans="4:8">
      <c r="D648" s="142">
        <v>5907</v>
      </c>
      <c r="F648" s="17"/>
      <c r="G648" s="142"/>
      <c r="H648" s="200"/>
    </row>
    <row r="649" spans="4:8">
      <c r="D649" s="142">
        <v>6108</v>
      </c>
      <c r="F649" s="142"/>
      <c r="G649" s="142"/>
      <c r="H649" s="200"/>
    </row>
    <row r="650" spans="4:8">
      <c r="D650" s="142">
        <v>6112</v>
      </c>
      <c r="F650" s="142"/>
      <c r="H650" s="200"/>
    </row>
    <row r="651" spans="4:8">
      <c r="D651" s="142">
        <v>6115</v>
      </c>
      <c r="G651" s="191"/>
      <c r="H651" s="200"/>
    </row>
    <row r="652" spans="4:8">
      <c r="D652" s="142">
        <v>6116</v>
      </c>
      <c r="F652" s="133"/>
      <c r="G652" s="142"/>
      <c r="H652" s="200"/>
    </row>
    <row r="653" spans="4:8">
      <c r="D653" s="142">
        <v>6117</v>
      </c>
      <c r="F653" s="142"/>
      <c r="G653" s="142"/>
      <c r="H653" s="200"/>
    </row>
    <row r="654" spans="4:8">
      <c r="D654" s="142">
        <v>6120</v>
      </c>
      <c r="F654" s="142"/>
      <c r="G654" s="191"/>
      <c r="H654" s="200"/>
    </row>
    <row r="655" spans="4:8">
      <c r="D655" s="142">
        <v>6128</v>
      </c>
      <c r="F655" s="133"/>
      <c r="G655" s="142"/>
      <c r="H655" s="200"/>
    </row>
    <row r="656" spans="4:8">
      <c r="D656" s="142">
        <v>6131</v>
      </c>
      <c r="F656" s="142"/>
      <c r="G656" s="142"/>
      <c r="H656" s="200"/>
    </row>
    <row r="657" spans="4:8">
      <c r="D657" s="142">
        <v>6133</v>
      </c>
      <c r="F657" s="142"/>
      <c r="G657" s="17"/>
      <c r="H657" s="200"/>
    </row>
    <row r="658" spans="4:8">
      <c r="D658" s="142">
        <v>6136</v>
      </c>
      <c r="F658" s="17"/>
      <c r="G658" s="17"/>
      <c r="H658" s="200"/>
    </row>
    <row r="659" spans="4:8">
      <c r="D659" s="142">
        <v>6139</v>
      </c>
      <c r="F659" s="17"/>
      <c r="G659" s="142"/>
      <c r="H659" s="200"/>
    </row>
    <row r="660" spans="4:8">
      <c r="D660" s="142">
        <v>6141</v>
      </c>
      <c r="F660" s="142"/>
      <c r="H660" s="200"/>
    </row>
    <row r="661" spans="4:8">
      <c r="D661" s="142">
        <v>6142</v>
      </c>
      <c r="G661" s="191"/>
      <c r="H661" s="200"/>
    </row>
    <row r="662" spans="4:8">
      <c r="D662" s="142">
        <v>6145</v>
      </c>
      <c r="F662" s="133"/>
      <c r="G662" s="17"/>
      <c r="H662" s="200"/>
    </row>
    <row r="663" spans="4:8">
      <c r="D663" s="142">
        <v>6152</v>
      </c>
      <c r="F663" s="17"/>
      <c r="G663" s="17"/>
      <c r="H663" s="200"/>
    </row>
    <row r="664" spans="4:8">
      <c r="D664" s="142">
        <v>6153</v>
      </c>
      <c r="F664" s="17"/>
      <c r="G664" s="17"/>
      <c r="H664" s="200"/>
    </row>
    <row r="665" spans="4:8">
      <c r="D665" s="142">
        <v>6155</v>
      </c>
      <c r="F665" s="17"/>
      <c r="G665" s="191"/>
      <c r="H665" s="200"/>
    </row>
    <row r="666" spans="4:8">
      <c r="D666" s="142">
        <v>6164</v>
      </c>
      <c r="F666" s="133"/>
      <c r="G666" s="17"/>
      <c r="H666" s="200"/>
    </row>
    <row r="667" spans="4:8">
      <c r="D667" s="142">
        <v>6165</v>
      </c>
      <c r="F667" s="17"/>
      <c r="G667" s="191"/>
      <c r="H667" s="200"/>
    </row>
    <row r="668" spans="4:8">
      <c r="D668" s="142">
        <v>6166</v>
      </c>
      <c r="F668" s="133"/>
      <c r="G668" s="191"/>
      <c r="H668" s="200"/>
    </row>
    <row r="669" spans="4:8">
      <c r="D669" s="142">
        <v>6168</v>
      </c>
      <c r="F669" s="133"/>
      <c r="G669" s="17"/>
      <c r="H669" s="200"/>
    </row>
    <row r="670" spans="4:8">
      <c r="D670" s="142">
        <v>6172</v>
      </c>
      <c r="F670" s="17"/>
      <c r="G670" s="17"/>
      <c r="H670" s="200"/>
    </row>
    <row r="671" spans="4:8">
      <c r="D671" s="142">
        <v>6176</v>
      </c>
      <c r="F671" s="17"/>
      <c r="H671" s="200"/>
    </row>
    <row r="672" spans="4:8">
      <c r="D672" s="142">
        <v>6177</v>
      </c>
      <c r="G672" s="191"/>
      <c r="H672" s="200"/>
    </row>
    <row r="673" spans="4:8">
      <c r="D673" s="142">
        <v>6183</v>
      </c>
      <c r="F673" s="133"/>
      <c r="G673" s="142"/>
      <c r="H673" s="200"/>
    </row>
    <row r="674" spans="4:8">
      <c r="D674" s="142">
        <v>6184</v>
      </c>
      <c r="F674" s="142"/>
      <c r="G674" s="17"/>
      <c r="H674" s="200"/>
    </row>
    <row r="675" spans="4:8">
      <c r="D675" s="142">
        <v>6189</v>
      </c>
      <c r="F675" s="17"/>
      <c r="G675" s="191"/>
      <c r="H675" s="200"/>
    </row>
    <row r="676" spans="4:8">
      <c r="D676" s="142">
        <v>6191</v>
      </c>
      <c r="F676" s="133"/>
      <c r="G676" s="142"/>
      <c r="H676" s="200"/>
    </row>
    <row r="677" spans="4:8">
      <c r="D677" s="142">
        <v>6192</v>
      </c>
      <c r="F677" s="142"/>
      <c r="G677" s="17"/>
      <c r="H677" s="200"/>
    </row>
    <row r="678" spans="4:8">
      <c r="D678" s="142">
        <v>6196</v>
      </c>
      <c r="F678" s="17"/>
      <c r="G678" s="17"/>
      <c r="H678" s="200"/>
    </row>
    <row r="679" spans="4:8">
      <c r="D679" s="142">
        <v>6197</v>
      </c>
      <c r="F679" s="17"/>
      <c r="G679" s="17"/>
      <c r="H679" s="200"/>
    </row>
    <row r="680" spans="4:8">
      <c r="D680" s="142">
        <v>6201</v>
      </c>
      <c r="F680" s="17"/>
      <c r="G680" s="17"/>
      <c r="H680" s="200"/>
    </row>
    <row r="681" spans="4:8">
      <c r="D681" s="142">
        <v>6202</v>
      </c>
      <c r="F681" s="17"/>
      <c r="G681" s="17"/>
      <c r="H681" s="200"/>
    </row>
    <row r="682" spans="4:8">
      <c r="D682" s="142">
        <v>6205</v>
      </c>
      <c r="F682" s="17"/>
      <c r="G682" s="17"/>
      <c r="H682" s="200"/>
    </row>
    <row r="683" spans="4:8">
      <c r="D683" s="142">
        <v>6206</v>
      </c>
      <c r="F683" s="17"/>
      <c r="G683" s="17"/>
      <c r="H683" s="200"/>
    </row>
    <row r="684" spans="4:8">
      <c r="D684" s="142">
        <v>6209</v>
      </c>
      <c r="F684" s="17"/>
      <c r="G684" s="17"/>
      <c r="H684" s="200"/>
    </row>
    <row r="685" spans="4:8">
      <c r="D685" s="142">
        <v>6213</v>
      </c>
      <c r="F685" s="17"/>
      <c r="G685" s="17"/>
      <c r="H685" s="200"/>
    </row>
    <row r="686" spans="4:8">
      <c r="D686" s="142">
        <v>6214</v>
      </c>
      <c r="F686" s="17"/>
      <c r="G686" s="17"/>
      <c r="H686" s="200"/>
    </row>
    <row r="687" spans="4:8">
      <c r="D687" s="142">
        <v>6215</v>
      </c>
      <c r="F687" s="17"/>
      <c r="G687" s="17"/>
      <c r="H687" s="200"/>
    </row>
    <row r="688" spans="4:8">
      <c r="D688" s="142">
        <v>6216</v>
      </c>
      <c r="F688" s="17"/>
      <c r="G688" s="17"/>
      <c r="H688" s="200"/>
    </row>
    <row r="689" spans="4:8">
      <c r="D689" s="142">
        <v>6224</v>
      </c>
      <c r="F689" s="17"/>
      <c r="G689" s="17"/>
      <c r="H689" s="200"/>
    </row>
    <row r="690" spans="4:8">
      <c r="D690" s="142">
        <v>6225</v>
      </c>
      <c r="F690" s="17"/>
      <c r="G690" s="17"/>
      <c r="H690" s="200"/>
    </row>
    <row r="691" spans="4:8">
      <c r="D691" s="142">
        <v>6226</v>
      </c>
      <c r="F691" s="17"/>
      <c r="G691" s="17"/>
      <c r="H691" s="200"/>
    </row>
    <row r="692" spans="4:8">
      <c r="D692" s="142">
        <v>6230</v>
      </c>
      <c r="F692" s="17"/>
      <c r="G692" s="17"/>
      <c r="H692" s="200"/>
    </row>
    <row r="693" spans="4:8">
      <c r="D693" s="142">
        <v>6235</v>
      </c>
      <c r="F693" s="17"/>
      <c r="G693" s="17"/>
      <c r="H693" s="200"/>
    </row>
    <row r="694" spans="4:8">
      <c r="D694" s="142">
        <v>6239</v>
      </c>
      <c r="F694" s="17"/>
      <c r="G694" s="17"/>
      <c r="H694" s="200"/>
    </row>
    <row r="695" spans="4:8">
      <c r="D695" s="142">
        <v>6243</v>
      </c>
      <c r="F695" s="17"/>
      <c r="G695" s="17"/>
      <c r="H695" s="200"/>
    </row>
    <row r="696" spans="4:8">
      <c r="D696" s="142">
        <v>6251</v>
      </c>
      <c r="F696" s="17"/>
      <c r="G696" s="17"/>
      <c r="H696" s="200"/>
    </row>
    <row r="697" spans="4:8">
      <c r="D697" s="142">
        <v>6257</v>
      </c>
      <c r="F697" s="17"/>
      <c r="G697" s="17"/>
      <c r="H697" s="200"/>
    </row>
    <row r="698" spans="4:8">
      <c r="D698" s="142">
        <v>6269</v>
      </c>
      <c r="F698" s="17"/>
      <c r="G698" s="17"/>
      <c r="H698" s="200"/>
    </row>
    <row r="699" spans="4:8">
      <c r="D699" s="142">
        <v>6271</v>
      </c>
      <c r="F699" s="17"/>
      <c r="G699" s="17"/>
      <c r="H699" s="200"/>
    </row>
    <row r="700" spans="4:8">
      <c r="D700" s="142">
        <v>6277</v>
      </c>
      <c r="F700" s="17"/>
      <c r="G700" s="17"/>
      <c r="H700" s="200"/>
    </row>
    <row r="701" spans="4:8">
      <c r="D701" s="142">
        <v>6278</v>
      </c>
      <c r="F701" s="17"/>
      <c r="G701" s="17"/>
      <c r="H701" s="200"/>
    </row>
    <row r="702" spans="4:8">
      <c r="D702" s="142">
        <v>6281</v>
      </c>
      <c r="F702" s="17"/>
      <c r="G702" s="17"/>
      <c r="H702" s="200"/>
    </row>
    <row r="703" spans="4:8">
      <c r="D703" s="142">
        <v>6282</v>
      </c>
      <c r="F703" s="17"/>
      <c r="G703" s="17"/>
      <c r="H703" s="200"/>
    </row>
    <row r="704" spans="4:8">
      <c r="D704" s="142">
        <v>6283</v>
      </c>
      <c r="F704" s="17"/>
      <c r="G704" s="17"/>
      <c r="H704" s="200"/>
    </row>
    <row r="705" spans="4:8">
      <c r="D705" s="142">
        <v>6285</v>
      </c>
      <c r="F705" s="17"/>
      <c r="G705" s="17"/>
      <c r="H705" s="200"/>
    </row>
    <row r="706" spans="4:8">
      <c r="D706" s="142">
        <v>6286</v>
      </c>
      <c r="F706" s="17"/>
      <c r="G706" s="17"/>
      <c r="H706" s="200"/>
    </row>
    <row r="707" spans="4:8">
      <c r="D707" s="142">
        <v>6289</v>
      </c>
      <c r="F707" s="17"/>
      <c r="G707" s="17"/>
      <c r="H707" s="200"/>
    </row>
    <row r="708" spans="4:8">
      <c r="D708" s="142">
        <v>6405</v>
      </c>
      <c r="F708" s="17"/>
      <c r="G708" s="17"/>
      <c r="H708" s="200"/>
    </row>
    <row r="709" spans="4:8">
      <c r="D709" s="142">
        <v>6409</v>
      </c>
      <c r="F709" s="17"/>
      <c r="G709" s="17"/>
      <c r="H709" s="200"/>
    </row>
    <row r="710" spans="4:8">
      <c r="D710" s="142">
        <v>6412</v>
      </c>
      <c r="F710" s="17"/>
      <c r="G710" s="17"/>
      <c r="H710" s="200"/>
    </row>
    <row r="711" spans="4:8">
      <c r="D711" s="142">
        <v>6414</v>
      </c>
      <c r="F711" s="17"/>
      <c r="G711" s="17"/>
      <c r="H711" s="200"/>
    </row>
    <row r="712" spans="4:8">
      <c r="D712" s="142">
        <v>6415</v>
      </c>
      <c r="F712" s="17"/>
      <c r="G712" s="17"/>
      <c r="H712" s="200"/>
    </row>
    <row r="713" spans="4:8">
      <c r="D713" s="142">
        <v>6422</v>
      </c>
      <c r="F713" s="17"/>
      <c r="G713" s="17"/>
      <c r="H713" s="200"/>
    </row>
    <row r="714" spans="4:8">
      <c r="D714" s="142">
        <v>6431</v>
      </c>
      <c r="F714" s="17"/>
      <c r="G714" s="17"/>
      <c r="H714" s="200"/>
    </row>
    <row r="715" spans="4:8">
      <c r="D715" s="142">
        <v>6442</v>
      </c>
      <c r="F715" s="17"/>
      <c r="G715" s="17"/>
      <c r="H715" s="200"/>
    </row>
    <row r="716" spans="4:8">
      <c r="D716" s="142">
        <v>6443</v>
      </c>
      <c r="F716" s="17"/>
      <c r="G716" s="17"/>
      <c r="H716" s="200"/>
    </row>
    <row r="717" spans="4:8">
      <c r="D717" s="142">
        <v>6449</v>
      </c>
      <c r="F717" s="17"/>
      <c r="G717" s="17"/>
      <c r="H717" s="200"/>
    </row>
    <row r="718" spans="4:8">
      <c r="D718" s="142">
        <v>6451</v>
      </c>
      <c r="F718" s="17"/>
      <c r="G718" s="17"/>
      <c r="H718" s="200"/>
    </row>
    <row r="719" spans="4:8">
      <c r="D719" s="142">
        <v>6452</v>
      </c>
      <c r="F719" s="17"/>
      <c r="G719" s="17"/>
      <c r="H719" s="200"/>
    </row>
    <row r="720" spans="4:8">
      <c r="D720" s="142">
        <v>6456</v>
      </c>
      <c r="F720" s="17"/>
      <c r="G720" s="17"/>
      <c r="H720" s="200"/>
    </row>
    <row r="721" spans="4:8">
      <c r="D721" s="142">
        <v>6504</v>
      </c>
      <c r="F721" s="17"/>
      <c r="G721" s="17"/>
      <c r="H721" s="200"/>
    </row>
    <row r="722" spans="4:8">
      <c r="D722" s="142">
        <v>6505</v>
      </c>
      <c r="F722" s="17"/>
      <c r="G722" s="17"/>
      <c r="H722" s="200"/>
    </row>
    <row r="723" spans="4:8">
      <c r="D723" s="142">
        <v>6605</v>
      </c>
      <c r="F723" s="17"/>
      <c r="G723" s="17"/>
      <c r="H723" s="200"/>
    </row>
    <row r="724" spans="4:8">
      <c r="D724" s="142">
        <v>6702</v>
      </c>
      <c r="F724" s="17"/>
      <c r="G724" s="17"/>
      <c r="H724" s="200"/>
    </row>
    <row r="725" spans="4:8">
      <c r="D725" s="142">
        <v>8011</v>
      </c>
      <c r="F725" s="17"/>
      <c r="G725" s="17"/>
      <c r="H725" s="200"/>
    </row>
    <row r="726" spans="4:8">
      <c r="D726" s="142">
        <v>8016</v>
      </c>
      <c r="F726" s="17"/>
      <c r="G726" s="17"/>
      <c r="H726" s="200"/>
    </row>
    <row r="727" spans="4:8">
      <c r="D727" s="142">
        <v>8021</v>
      </c>
      <c r="F727" s="17"/>
      <c r="G727" s="17"/>
      <c r="H727" s="200"/>
    </row>
    <row r="728" spans="4:8">
      <c r="D728" s="142">
        <v>8033</v>
      </c>
      <c r="F728" s="17"/>
      <c r="G728" s="17"/>
      <c r="H728" s="200"/>
    </row>
    <row r="729" spans="4:8">
      <c r="D729" s="142">
        <v>8039</v>
      </c>
      <c r="F729" s="17"/>
      <c r="G729" s="17"/>
      <c r="H729" s="200"/>
    </row>
    <row r="730" spans="4:8">
      <c r="D730" s="142">
        <v>8046</v>
      </c>
      <c r="F730" s="17"/>
      <c r="G730" s="17"/>
      <c r="H730" s="200"/>
    </row>
    <row r="731" spans="4:8">
      <c r="D731" s="142">
        <v>8070</v>
      </c>
      <c r="F731" s="17"/>
      <c r="G731" s="17"/>
      <c r="H731" s="200"/>
    </row>
    <row r="732" spans="4:8">
      <c r="D732" s="142">
        <v>8072</v>
      </c>
      <c r="F732" s="17"/>
      <c r="G732" s="17"/>
      <c r="H732" s="200"/>
    </row>
    <row r="733" spans="4:8">
      <c r="D733" s="142">
        <v>8081</v>
      </c>
      <c r="F733" s="17"/>
      <c r="G733" s="17"/>
      <c r="H733" s="200"/>
    </row>
    <row r="734" spans="4:8">
      <c r="D734" s="142">
        <v>8101</v>
      </c>
      <c r="F734" s="17"/>
      <c r="G734" s="17"/>
      <c r="H734" s="200"/>
    </row>
    <row r="735" spans="4:8">
      <c r="D735" s="142">
        <v>8103</v>
      </c>
      <c r="F735" s="17"/>
      <c r="G735" s="17"/>
      <c r="H735" s="200"/>
    </row>
    <row r="736" spans="4:8">
      <c r="D736" s="142">
        <v>8105</v>
      </c>
      <c r="F736" s="17"/>
      <c r="G736" s="17"/>
      <c r="H736" s="200"/>
    </row>
    <row r="737" spans="4:8">
      <c r="D737" s="142">
        <v>8110</v>
      </c>
      <c r="F737" s="17"/>
      <c r="G737" s="17"/>
      <c r="H737" s="200"/>
    </row>
    <row r="738" spans="4:8">
      <c r="D738" s="142">
        <v>8112</v>
      </c>
      <c r="F738" s="17"/>
      <c r="G738" s="17"/>
      <c r="H738" s="200"/>
    </row>
    <row r="739" spans="4:8">
      <c r="D739" s="142">
        <v>8114</v>
      </c>
      <c r="F739" s="17"/>
      <c r="G739" s="17"/>
      <c r="H739" s="200"/>
    </row>
    <row r="740" spans="4:8">
      <c r="D740" s="142">
        <v>8131</v>
      </c>
      <c r="F740" s="17"/>
      <c r="G740" s="17"/>
      <c r="H740" s="200"/>
    </row>
    <row r="741" spans="4:8">
      <c r="D741" s="142">
        <v>8150</v>
      </c>
      <c r="F741" s="17"/>
      <c r="G741" s="17"/>
      <c r="H741" s="200"/>
    </row>
    <row r="742" spans="4:8">
      <c r="D742" s="142">
        <v>8163</v>
      </c>
      <c r="F742" s="17"/>
      <c r="G742" s="17"/>
      <c r="H742" s="200"/>
    </row>
    <row r="743" spans="4:8">
      <c r="D743" s="142">
        <v>8201</v>
      </c>
      <c r="F743" s="17"/>
      <c r="G743" s="17"/>
      <c r="H743" s="200"/>
    </row>
    <row r="744" spans="4:8">
      <c r="D744" s="142">
        <v>8210</v>
      </c>
      <c r="F744" s="17"/>
      <c r="G744" s="17"/>
      <c r="H744" s="200"/>
    </row>
    <row r="745" spans="4:8">
      <c r="D745" s="142">
        <v>8213</v>
      </c>
      <c r="F745" s="17"/>
      <c r="G745" s="17"/>
      <c r="H745" s="200"/>
    </row>
    <row r="746" spans="4:8">
      <c r="D746" s="142">
        <v>8215</v>
      </c>
      <c r="F746" s="17"/>
      <c r="G746" s="17"/>
      <c r="H746" s="200"/>
    </row>
    <row r="747" spans="4:8">
      <c r="D747" s="142">
        <v>8222</v>
      </c>
      <c r="F747" s="17"/>
      <c r="G747" s="17"/>
      <c r="H747" s="200"/>
    </row>
    <row r="748" spans="4:8">
      <c r="D748" s="142">
        <v>8249</v>
      </c>
      <c r="F748" s="17"/>
      <c r="G748" s="17"/>
      <c r="H748" s="200"/>
    </row>
    <row r="749" spans="4:8">
      <c r="D749" s="142">
        <v>8261</v>
      </c>
      <c r="F749" s="17"/>
      <c r="G749" s="17"/>
      <c r="H749" s="200"/>
    </row>
    <row r="750" spans="4:8">
      <c r="D750" s="142">
        <v>8271</v>
      </c>
      <c r="F750" s="17"/>
      <c r="G750" s="17"/>
      <c r="H750" s="200"/>
    </row>
    <row r="751" spans="4:8">
      <c r="D751" s="142">
        <v>8341</v>
      </c>
      <c r="F751" s="17"/>
      <c r="G751" s="17"/>
      <c r="H751" s="200"/>
    </row>
    <row r="752" spans="4:8">
      <c r="D752" s="142">
        <v>8374</v>
      </c>
      <c r="F752" s="17"/>
      <c r="G752" s="17"/>
      <c r="H752" s="200"/>
    </row>
    <row r="753" spans="4:8">
      <c r="D753" s="142">
        <v>8404</v>
      </c>
      <c r="F753" s="17"/>
      <c r="G753" s="17"/>
      <c r="H753" s="200"/>
    </row>
    <row r="754" spans="4:8">
      <c r="D754" s="142">
        <v>8411</v>
      </c>
      <c r="F754" s="17"/>
      <c r="G754" s="17"/>
      <c r="H754" s="200"/>
    </row>
    <row r="755" spans="4:8">
      <c r="D755" s="142">
        <v>8422</v>
      </c>
      <c r="F755" s="17"/>
      <c r="G755" s="17"/>
      <c r="H755" s="200"/>
    </row>
    <row r="756" spans="4:8">
      <c r="D756" s="142">
        <v>8427</v>
      </c>
      <c r="F756" s="17"/>
      <c r="G756" s="17"/>
      <c r="H756" s="200"/>
    </row>
    <row r="757" spans="4:8">
      <c r="D757" s="142">
        <v>8429</v>
      </c>
      <c r="F757" s="17"/>
      <c r="G757" s="17"/>
      <c r="H757" s="200"/>
    </row>
    <row r="758" spans="4:8">
      <c r="D758" s="142">
        <v>8443</v>
      </c>
      <c r="F758" s="17"/>
      <c r="G758" s="17"/>
      <c r="H758" s="200"/>
    </row>
    <row r="759" spans="4:8">
      <c r="D759" s="142">
        <v>8454</v>
      </c>
      <c r="F759" s="17"/>
      <c r="G759" s="17"/>
      <c r="H759" s="200"/>
    </row>
    <row r="760" spans="4:8">
      <c r="D760" s="142">
        <v>8463</v>
      </c>
      <c r="F760" s="17"/>
      <c r="G760" s="17"/>
      <c r="H760" s="200"/>
    </row>
    <row r="761" spans="4:8">
      <c r="D761" s="142">
        <v>8926</v>
      </c>
      <c r="F761" s="17"/>
      <c r="G761" s="17"/>
      <c r="H761" s="200"/>
    </row>
    <row r="762" spans="4:8">
      <c r="D762" s="142">
        <v>8940</v>
      </c>
      <c r="F762" s="17"/>
      <c r="G762" s="17"/>
      <c r="H762" s="200"/>
    </row>
    <row r="763" spans="4:8">
      <c r="D763" s="142">
        <v>8996</v>
      </c>
      <c r="F763" s="17"/>
      <c r="G763" s="17"/>
      <c r="H763" s="200"/>
    </row>
    <row r="764" spans="4:8">
      <c r="D764" s="142">
        <v>9802</v>
      </c>
      <c r="F764" s="17"/>
      <c r="G764" s="17"/>
      <c r="H764" s="200"/>
    </row>
    <row r="765" spans="4:8">
      <c r="D765" s="142">
        <v>9902</v>
      </c>
      <c r="F765" s="17"/>
      <c r="G765" s="17"/>
      <c r="H765" s="200"/>
    </row>
    <row r="766" spans="4:8">
      <c r="D766" s="142">
        <v>9904</v>
      </c>
      <c r="F766" s="17"/>
      <c r="G766" s="17"/>
      <c r="H766" s="200"/>
    </row>
    <row r="767" spans="4:8">
      <c r="D767" s="142">
        <v>9905</v>
      </c>
      <c r="F767" s="17"/>
      <c r="G767" s="17"/>
      <c r="H767" s="200"/>
    </row>
    <row r="768" spans="4:8">
      <c r="D768" s="142">
        <v>9906</v>
      </c>
      <c r="F768" s="17"/>
      <c r="G768" s="17"/>
      <c r="H768" s="200"/>
    </row>
    <row r="769" spans="4:8">
      <c r="D769" s="142">
        <v>9907</v>
      </c>
      <c r="F769" s="17"/>
      <c r="G769" s="17"/>
      <c r="H769" s="200"/>
    </row>
    <row r="770" spans="4:8">
      <c r="D770" s="142">
        <v>9908</v>
      </c>
      <c r="F770" s="17"/>
      <c r="G770" s="17"/>
      <c r="H770" s="200"/>
    </row>
    <row r="771" spans="4:8">
      <c r="D771" s="142">
        <v>9910</v>
      </c>
      <c r="F771" s="17"/>
      <c r="G771" s="17"/>
      <c r="H771" s="200"/>
    </row>
    <row r="772" spans="4:8">
      <c r="D772" s="142">
        <v>9911</v>
      </c>
      <c r="F772" s="17"/>
      <c r="G772" s="17"/>
      <c r="H772" s="200"/>
    </row>
    <row r="773" spans="4:8">
      <c r="D773" s="142">
        <v>9912</v>
      </c>
      <c r="F773" s="17"/>
      <c r="G773" s="17"/>
      <c r="H773" s="200"/>
    </row>
    <row r="774" spans="4:8">
      <c r="D774" s="142">
        <v>9914</v>
      </c>
      <c r="F774" s="17"/>
      <c r="G774" s="17"/>
      <c r="H774" s="200"/>
    </row>
    <row r="775" spans="4:8">
      <c r="D775" s="142">
        <v>9917</v>
      </c>
      <c r="F775" s="17"/>
      <c r="G775" s="17"/>
      <c r="H775" s="200"/>
    </row>
    <row r="776" spans="4:8">
      <c r="D776" s="142">
        <v>9918</v>
      </c>
      <c r="F776" s="17"/>
      <c r="G776" s="17"/>
      <c r="H776" s="200"/>
    </row>
    <row r="777" spans="4:8">
      <c r="D777" s="142">
        <v>9919</v>
      </c>
      <c r="F777" s="17"/>
      <c r="G777" s="17"/>
      <c r="H777" s="200"/>
    </row>
    <row r="778" spans="4:8">
      <c r="D778" s="142">
        <v>9921</v>
      </c>
      <c r="F778" s="17"/>
      <c r="G778" s="17"/>
      <c r="H778" s="200"/>
    </row>
    <row r="779" spans="4:8">
      <c r="D779" s="142">
        <v>9924</v>
      </c>
      <c r="F779" s="17"/>
      <c r="G779" s="17"/>
      <c r="H779" s="200"/>
    </row>
    <row r="780" spans="4:8">
      <c r="D780" s="142">
        <v>9925</v>
      </c>
      <c r="F780" s="17"/>
      <c r="G780" s="17"/>
      <c r="H780" s="200"/>
    </row>
    <row r="781" spans="4:8">
      <c r="D781" s="142">
        <v>9926</v>
      </c>
      <c r="F781" s="17"/>
      <c r="G781" s="17"/>
      <c r="H781" s="200"/>
    </row>
    <row r="782" spans="4:8">
      <c r="D782" s="142">
        <v>9927</v>
      </c>
      <c r="F782" s="17"/>
      <c r="G782" s="17"/>
      <c r="H782" s="200"/>
    </row>
    <row r="783" spans="4:8">
      <c r="D783" s="142">
        <v>9928</v>
      </c>
      <c r="F783" s="17"/>
      <c r="G783" s="17"/>
      <c r="H783" s="200"/>
    </row>
    <row r="784" spans="4:8">
      <c r="D784" s="142">
        <v>9929</v>
      </c>
      <c r="F784" s="17"/>
      <c r="G784" s="17"/>
      <c r="H784" s="200"/>
    </row>
    <row r="785" spans="4:8">
      <c r="D785" s="142">
        <v>9930</v>
      </c>
      <c r="F785" s="17"/>
      <c r="G785" s="17"/>
      <c r="H785" s="200"/>
    </row>
    <row r="786" spans="4:8">
      <c r="D786" s="142">
        <v>9931</v>
      </c>
      <c r="F786" s="17"/>
      <c r="G786" s="17"/>
      <c r="H786" s="200"/>
    </row>
    <row r="787" spans="4:8">
      <c r="D787" s="142">
        <v>9933</v>
      </c>
      <c r="F787" s="17"/>
      <c r="G787" s="17"/>
      <c r="H787" s="200"/>
    </row>
    <row r="788" spans="4:8">
      <c r="D788" s="142">
        <v>9934</v>
      </c>
      <c r="F788" s="17"/>
      <c r="G788" s="17"/>
      <c r="H788" s="200"/>
    </row>
    <row r="789" spans="4:8">
      <c r="D789" s="142">
        <v>9935</v>
      </c>
      <c r="F789" s="17"/>
      <c r="G789" s="17"/>
      <c r="H789" s="200"/>
    </row>
    <row r="790" spans="4:8">
      <c r="D790" s="142">
        <v>9937</v>
      </c>
      <c r="F790" s="17"/>
      <c r="G790" s="17"/>
      <c r="H790" s="200"/>
    </row>
    <row r="791" spans="4:8">
      <c r="D791" s="142">
        <v>9938</v>
      </c>
      <c r="F791" s="17"/>
      <c r="G791" s="17"/>
      <c r="H791" s="200"/>
    </row>
    <row r="792" spans="4:8">
      <c r="D792" s="142">
        <v>9939</v>
      </c>
      <c r="F792" s="17"/>
      <c r="G792" s="17"/>
      <c r="H792" s="200"/>
    </row>
    <row r="793" spans="4:8">
      <c r="D793" s="142">
        <v>9940</v>
      </c>
      <c r="F793" s="17"/>
      <c r="G793" s="17"/>
      <c r="H793" s="200"/>
    </row>
    <row r="794" spans="4:8">
      <c r="D794" s="142">
        <v>9941</v>
      </c>
      <c r="F794" s="17"/>
      <c r="G794" s="17"/>
      <c r="H794" s="200"/>
    </row>
    <row r="795" spans="4:8">
      <c r="D795" s="142">
        <v>9942</v>
      </c>
      <c r="F795" s="17"/>
      <c r="G795" s="17"/>
      <c r="H795" s="200"/>
    </row>
    <row r="796" spans="4:8">
      <c r="D796" s="142">
        <v>9943</v>
      </c>
      <c r="F796" s="17"/>
      <c r="G796" s="17"/>
      <c r="H796" s="200"/>
    </row>
    <row r="797" spans="4:8">
      <c r="D797" s="142">
        <v>9944</v>
      </c>
      <c r="F797" s="17"/>
      <c r="G797" s="17"/>
      <c r="H797" s="200"/>
    </row>
    <row r="798" spans="4:8">
      <c r="D798" s="142">
        <v>9945</v>
      </c>
      <c r="F798" s="17"/>
      <c r="G798" s="17"/>
      <c r="H798" s="200"/>
    </row>
    <row r="799" spans="4:8">
      <c r="D799" s="142">
        <v>9946</v>
      </c>
      <c r="F799" s="17"/>
      <c r="G799" s="17"/>
      <c r="H799" s="200"/>
    </row>
    <row r="800" spans="4:8">
      <c r="D800" s="142">
        <v>9955</v>
      </c>
      <c r="F800" s="17"/>
      <c r="G800" s="17"/>
      <c r="H800" s="200"/>
    </row>
    <row r="801" spans="4:8">
      <c r="D801" s="142">
        <v>9958</v>
      </c>
      <c r="F801" s="17"/>
      <c r="G801" s="17"/>
      <c r="H801" s="200"/>
    </row>
    <row r="802" spans="4:8">
      <c r="D802" s="142">
        <v>1256</v>
      </c>
      <c r="F802" s="17"/>
      <c r="G802" s="17"/>
      <c r="H802" s="200"/>
    </row>
    <row r="803" spans="4:8">
      <c r="D803" s="142">
        <v>1258</v>
      </c>
      <c r="F803" s="17"/>
      <c r="G803" s="17"/>
      <c r="H803" s="200"/>
    </row>
    <row r="804" spans="4:8">
      <c r="D804" s="142">
        <v>1259</v>
      </c>
      <c r="F804" s="17"/>
      <c r="G804" s="17"/>
      <c r="H804" s="200"/>
    </row>
    <row r="805" spans="4:8">
      <c r="D805" s="142">
        <v>1264</v>
      </c>
      <c r="F805" s="17"/>
      <c r="G805" s="17"/>
      <c r="H805" s="200"/>
    </row>
    <row r="806" spans="4:8">
      <c r="D806" s="142">
        <v>1333</v>
      </c>
      <c r="F806" s="17"/>
      <c r="G806" s="17"/>
      <c r="H806" s="200"/>
    </row>
    <row r="807" spans="4:8">
      <c r="D807" s="142">
        <v>1336</v>
      </c>
      <c r="F807" s="17"/>
      <c r="G807" s="17"/>
      <c r="H807" s="200"/>
    </row>
    <row r="808" spans="4:8">
      <c r="D808" s="142">
        <v>1565</v>
      </c>
      <c r="F808" s="17"/>
      <c r="G808" s="17"/>
      <c r="H808" s="200"/>
    </row>
    <row r="809" spans="4:8">
      <c r="D809" s="142">
        <v>1566</v>
      </c>
      <c r="F809" s="17"/>
      <c r="G809" s="17"/>
      <c r="H809" s="200"/>
    </row>
    <row r="810" spans="4:8">
      <c r="D810" s="142">
        <v>1569</v>
      </c>
      <c r="F810" s="17"/>
      <c r="G810" s="17"/>
      <c r="H810" s="200"/>
    </row>
    <row r="811" spans="4:8">
      <c r="D811" s="142">
        <v>1570</v>
      </c>
      <c r="F811" s="17"/>
      <c r="G811" s="17"/>
      <c r="H811" s="200"/>
    </row>
    <row r="812" spans="4:8">
      <c r="D812" s="142">
        <v>1580</v>
      </c>
      <c r="F812" s="17"/>
      <c r="G812" s="17"/>
      <c r="H812" s="200"/>
    </row>
    <row r="813" spans="4:8">
      <c r="D813" s="142">
        <v>1584</v>
      </c>
      <c r="F813" s="17"/>
      <c r="G813" s="17"/>
      <c r="H813" s="200"/>
    </row>
    <row r="814" spans="4:8">
      <c r="D814" s="142">
        <v>1586</v>
      </c>
      <c r="F814" s="17"/>
      <c r="G814" s="17"/>
      <c r="H814" s="200"/>
    </row>
    <row r="815" spans="4:8">
      <c r="D815" s="142">
        <v>1591</v>
      </c>
      <c r="F815" s="17"/>
      <c r="G815" s="17"/>
      <c r="H815" s="200"/>
    </row>
    <row r="816" spans="4:8">
      <c r="D816" s="142">
        <v>1593</v>
      </c>
      <c r="F816" s="17"/>
      <c r="G816" s="17"/>
      <c r="H816" s="200"/>
    </row>
    <row r="817" spans="4:8">
      <c r="D817" s="142">
        <v>1595</v>
      </c>
      <c r="F817" s="17"/>
      <c r="G817" s="17"/>
      <c r="H817" s="200"/>
    </row>
    <row r="818" spans="4:8">
      <c r="D818" s="142">
        <v>1597</v>
      </c>
      <c r="F818" s="17"/>
      <c r="G818" s="17"/>
      <c r="H818" s="200"/>
    </row>
    <row r="819" spans="4:8">
      <c r="D819" s="142">
        <v>1599</v>
      </c>
      <c r="F819" s="17"/>
      <c r="G819" s="17"/>
      <c r="H819" s="200"/>
    </row>
    <row r="820" spans="4:8">
      <c r="D820" s="142">
        <v>1742</v>
      </c>
      <c r="F820" s="17"/>
      <c r="G820" s="17"/>
      <c r="H820" s="200"/>
    </row>
    <row r="821" spans="4:8">
      <c r="D821" s="142">
        <v>1752</v>
      </c>
      <c r="F821" s="17"/>
      <c r="G821" s="17"/>
      <c r="H821" s="200"/>
    </row>
    <row r="822" spans="4:8">
      <c r="D822" s="142">
        <v>1777</v>
      </c>
      <c r="F822" s="17"/>
      <c r="G822" s="17"/>
      <c r="H822" s="200"/>
    </row>
    <row r="823" spans="4:8">
      <c r="D823" s="142">
        <v>1781</v>
      </c>
      <c r="F823" s="17"/>
      <c r="G823" s="17"/>
      <c r="H823" s="200"/>
    </row>
    <row r="824" spans="4:8">
      <c r="D824" s="142">
        <v>1784</v>
      </c>
      <c r="F824" s="17"/>
      <c r="G824" s="17"/>
      <c r="H824" s="200"/>
    </row>
    <row r="825" spans="4:8">
      <c r="D825" s="142">
        <v>1785</v>
      </c>
      <c r="F825" s="17"/>
      <c r="G825" s="17"/>
      <c r="H825" s="200"/>
    </row>
    <row r="826" spans="4:8">
      <c r="D826" s="142">
        <v>1787</v>
      </c>
      <c r="F826" s="17"/>
      <c r="G826" s="17"/>
      <c r="H826" s="200"/>
    </row>
    <row r="827" spans="4:8">
      <c r="D827" s="142">
        <v>1788</v>
      </c>
      <c r="F827" s="17"/>
      <c r="G827" s="17"/>
      <c r="H827" s="200"/>
    </row>
    <row r="828" spans="4:8">
      <c r="D828" s="142">
        <v>1795</v>
      </c>
      <c r="F828" s="17"/>
      <c r="G828" s="17"/>
      <c r="H828" s="200"/>
    </row>
    <row r="829" spans="4:8">
      <c r="D829" s="142">
        <v>1799</v>
      </c>
      <c r="F829" s="17"/>
      <c r="G829" s="17"/>
      <c r="H829" s="200"/>
    </row>
    <row r="830" spans="4:8">
      <c r="D830" s="142">
        <v>1813</v>
      </c>
      <c r="F830" s="17"/>
      <c r="G830" s="17"/>
      <c r="H830" s="200"/>
    </row>
    <row r="831" spans="4:8">
      <c r="D831" s="142">
        <v>1815</v>
      </c>
      <c r="F831" s="17"/>
      <c r="G831" s="17"/>
      <c r="H831" s="200"/>
    </row>
    <row r="832" spans="4:8">
      <c r="D832" s="142">
        <v>2035</v>
      </c>
      <c r="F832" s="17"/>
      <c r="G832" s="17"/>
      <c r="H832" s="200"/>
    </row>
    <row r="833" spans="4:8">
      <c r="D833" s="142">
        <v>2061</v>
      </c>
      <c r="F833" s="17"/>
      <c r="G833" s="17"/>
      <c r="H833" s="200"/>
    </row>
    <row r="834" spans="4:8">
      <c r="D834" s="142">
        <v>2063</v>
      </c>
      <c r="F834" s="17"/>
      <c r="G834" s="17"/>
      <c r="H834" s="200"/>
    </row>
    <row r="835" spans="4:8">
      <c r="D835" s="142">
        <v>2064</v>
      </c>
      <c r="F835" s="17"/>
      <c r="G835" s="17"/>
      <c r="H835" s="200"/>
    </row>
    <row r="836" spans="4:8">
      <c r="D836" s="142">
        <v>2066</v>
      </c>
      <c r="F836" s="17"/>
      <c r="G836" s="17"/>
      <c r="H836" s="200"/>
    </row>
    <row r="837" spans="4:8">
      <c r="D837" s="142">
        <v>2067</v>
      </c>
      <c r="F837" s="17"/>
      <c r="G837" s="17"/>
      <c r="H837" s="200"/>
    </row>
    <row r="838" spans="4:8">
      <c r="D838" s="142">
        <v>2221</v>
      </c>
      <c r="F838" s="17"/>
      <c r="G838" s="17"/>
      <c r="H838" s="200"/>
    </row>
    <row r="839" spans="4:8">
      <c r="D839" s="142">
        <v>2230</v>
      </c>
      <c r="F839" s="17"/>
      <c r="G839" s="17"/>
      <c r="H839" s="200"/>
    </row>
    <row r="840" spans="4:8">
      <c r="D840" s="142">
        <v>2233</v>
      </c>
      <c r="F840" s="17"/>
      <c r="G840" s="17"/>
      <c r="H840" s="200"/>
    </row>
    <row r="841" spans="4:8">
      <c r="D841" s="142">
        <v>2235</v>
      </c>
      <c r="F841" s="17"/>
      <c r="G841" s="17"/>
      <c r="H841" s="200"/>
    </row>
    <row r="842" spans="4:8">
      <c r="D842" s="142">
        <v>2636</v>
      </c>
      <c r="F842" s="17"/>
      <c r="G842" s="17"/>
      <c r="H842" s="200"/>
    </row>
    <row r="843" spans="4:8">
      <c r="D843" s="142">
        <v>2640</v>
      </c>
      <c r="F843" s="17"/>
      <c r="G843" s="17"/>
      <c r="H843" s="200"/>
    </row>
    <row r="844" spans="4:8">
      <c r="D844" s="142">
        <v>2641</v>
      </c>
      <c r="F844" s="17"/>
      <c r="G844" s="17"/>
      <c r="H844" s="200"/>
    </row>
    <row r="845" spans="4:8">
      <c r="D845" s="142">
        <v>2718</v>
      </c>
      <c r="F845" s="17"/>
      <c r="G845" s="17"/>
      <c r="H845" s="200"/>
    </row>
    <row r="846" spans="4:8">
      <c r="D846" s="142">
        <v>2719</v>
      </c>
      <c r="F846" s="17"/>
      <c r="G846" s="17"/>
      <c r="H846" s="200"/>
    </row>
    <row r="847" spans="4:8">
      <c r="D847" s="142">
        <v>2724</v>
      </c>
      <c r="F847" s="17"/>
      <c r="G847" s="17"/>
      <c r="H847" s="200"/>
    </row>
    <row r="848" spans="4:8">
      <c r="D848" s="142">
        <v>2726</v>
      </c>
      <c r="F848" s="17"/>
      <c r="G848" s="17"/>
      <c r="H848" s="200"/>
    </row>
    <row r="849" spans="4:8">
      <c r="D849" s="142">
        <v>2729</v>
      </c>
      <c r="F849" s="17"/>
      <c r="G849" s="17"/>
      <c r="H849" s="200"/>
    </row>
    <row r="850" spans="4:8">
      <c r="D850" s="142">
        <v>2732</v>
      </c>
      <c r="F850" s="17"/>
      <c r="G850" s="17"/>
      <c r="H850" s="200"/>
    </row>
    <row r="851" spans="4:8">
      <c r="D851" s="142">
        <v>2734</v>
      </c>
      <c r="F851" s="17"/>
      <c r="G851" s="17"/>
      <c r="H851" s="200"/>
    </row>
    <row r="852" spans="4:8">
      <c r="D852" s="142">
        <v>2916</v>
      </c>
      <c r="F852" s="17"/>
      <c r="G852" s="17"/>
      <c r="H852" s="200"/>
    </row>
    <row r="853" spans="4:8">
      <c r="D853" s="142">
        <v>2924</v>
      </c>
      <c r="F853" s="17"/>
      <c r="G853" s="17"/>
      <c r="H853" s="200"/>
    </row>
    <row r="854" spans="4:8">
      <c r="D854" s="142">
        <v>2926</v>
      </c>
      <c r="F854" s="17"/>
      <c r="G854" s="17"/>
      <c r="H854" s="200"/>
    </row>
    <row r="855" spans="4:8">
      <c r="D855" s="142">
        <v>3064</v>
      </c>
      <c r="F855" s="17"/>
      <c r="G855" s="17"/>
      <c r="H855" s="200"/>
    </row>
    <row r="856" spans="4:8">
      <c r="D856" s="142">
        <v>3066</v>
      </c>
      <c r="F856" s="17"/>
      <c r="G856" s="17"/>
      <c r="H856" s="200"/>
    </row>
    <row r="857" spans="4:8">
      <c r="D857" s="142">
        <v>3067</v>
      </c>
      <c r="F857" s="17"/>
      <c r="G857" s="17"/>
      <c r="H857" s="200"/>
    </row>
    <row r="858" spans="4:8">
      <c r="D858" s="142">
        <v>3068</v>
      </c>
      <c r="F858" s="17"/>
      <c r="G858" s="17"/>
      <c r="H858" s="200"/>
    </row>
    <row r="859" spans="4:8">
      <c r="D859" s="142">
        <v>3071</v>
      </c>
      <c r="F859" s="17"/>
      <c r="G859" s="17"/>
      <c r="H859" s="200"/>
    </row>
    <row r="860" spans="4:8">
      <c r="D860" s="142">
        <v>3073</v>
      </c>
      <c r="F860" s="17"/>
      <c r="G860" s="17"/>
      <c r="H860" s="200"/>
    </row>
    <row r="861" spans="4:8">
      <c r="D861" s="142">
        <v>3078</v>
      </c>
      <c r="F861" s="17"/>
      <c r="G861" s="17"/>
      <c r="H861" s="200"/>
    </row>
    <row r="862" spans="4:8">
      <c r="D862" s="142">
        <v>3081</v>
      </c>
      <c r="F862" s="17"/>
      <c r="G862" s="17"/>
      <c r="H862" s="200"/>
    </row>
    <row r="863" spans="4:8">
      <c r="D863" s="142">
        <v>3083</v>
      </c>
      <c r="F863" s="17"/>
      <c r="G863" s="17"/>
      <c r="H863" s="200"/>
    </row>
    <row r="864" spans="4:8">
      <c r="D864" s="142">
        <v>3085</v>
      </c>
      <c r="F864" s="17"/>
      <c r="G864" s="17"/>
      <c r="H864" s="200"/>
    </row>
    <row r="865" spans="4:8">
      <c r="D865" s="142">
        <v>3086</v>
      </c>
      <c r="F865" s="17"/>
      <c r="G865" s="17"/>
      <c r="H865" s="200"/>
    </row>
    <row r="866" spans="4:8">
      <c r="D866" s="142">
        <v>3088</v>
      </c>
      <c r="F866" s="17"/>
      <c r="G866" s="17"/>
      <c r="H866" s="200"/>
    </row>
    <row r="867" spans="4:8">
      <c r="D867" s="142">
        <v>3089</v>
      </c>
      <c r="F867" s="17"/>
      <c r="G867" s="17"/>
      <c r="H867" s="200"/>
    </row>
    <row r="868" spans="4:8">
      <c r="D868" s="142">
        <v>3092</v>
      </c>
      <c r="F868" s="17"/>
      <c r="G868" s="17"/>
      <c r="H868" s="200"/>
    </row>
    <row r="869" spans="4:8">
      <c r="D869" s="142">
        <v>3093</v>
      </c>
      <c r="F869" s="17"/>
      <c r="G869" s="17"/>
      <c r="H869" s="200"/>
    </row>
    <row r="870" spans="4:8">
      <c r="D870" s="142">
        <v>3095</v>
      </c>
      <c r="F870" s="17"/>
      <c r="G870" s="17"/>
      <c r="H870" s="200"/>
    </row>
    <row r="871" spans="4:8">
      <c r="D871" s="142">
        <v>3105</v>
      </c>
      <c r="F871" s="17"/>
      <c r="G871" s="17"/>
      <c r="H871" s="200"/>
    </row>
    <row r="872" spans="4:8">
      <c r="D872" s="142">
        <v>3114</v>
      </c>
      <c r="F872" s="17"/>
      <c r="G872" s="17"/>
      <c r="H872" s="200"/>
    </row>
    <row r="873" spans="4:8">
      <c r="D873" s="142">
        <v>3115</v>
      </c>
      <c r="F873" s="17"/>
      <c r="G873" s="17"/>
      <c r="H873" s="200"/>
    </row>
    <row r="874" spans="4:8">
      <c r="D874" s="142">
        <v>3118</v>
      </c>
      <c r="F874" s="17"/>
      <c r="G874" s="17"/>
      <c r="H874" s="200"/>
    </row>
    <row r="875" spans="4:8">
      <c r="D875" s="142">
        <v>3122</v>
      </c>
      <c r="F875" s="17"/>
      <c r="G875" s="17"/>
      <c r="H875" s="200"/>
    </row>
    <row r="876" spans="4:8">
      <c r="D876" s="142">
        <v>3126</v>
      </c>
      <c r="F876" s="17"/>
      <c r="G876" s="17"/>
      <c r="H876" s="200"/>
    </row>
    <row r="877" spans="4:8">
      <c r="D877" s="142">
        <v>3128</v>
      </c>
      <c r="F877" s="17"/>
      <c r="G877" s="17"/>
      <c r="H877" s="200"/>
    </row>
    <row r="878" spans="4:8">
      <c r="D878" s="142">
        <v>3131</v>
      </c>
      <c r="F878" s="17"/>
      <c r="G878" s="17"/>
      <c r="H878" s="200"/>
    </row>
    <row r="879" spans="4:8">
      <c r="D879" s="142">
        <v>3141</v>
      </c>
      <c r="F879" s="17"/>
      <c r="G879" s="17"/>
      <c r="H879" s="200"/>
    </row>
    <row r="880" spans="4:8">
      <c r="D880" s="142">
        <v>3144</v>
      </c>
      <c r="F880" s="17"/>
      <c r="G880" s="17"/>
      <c r="H880" s="200"/>
    </row>
    <row r="881" spans="4:8">
      <c r="D881" s="142">
        <v>3152</v>
      </c>
      <c r="F881" s="17"/>
      <c r="G881" s="17"/>
      <c r="H881" s="200"/>
    </row>
    <row r="882" spans="4:8">
      <c r="D882" s="142">
        <v>3162</v>
      </c>
      <c r="F882" s="17"/>
      <c r="G882" s="17"/>
      <c r="H882" s="200"/>
    </row>
    <row r="883" spans="4:8">
      <c r="D883" s="142">
        <v>3163</v>
      </c>
      <c r="F883" s="17"/>
      <c r="G883" s="17"/>
      <c r="H883" s="200"/>
    </row>
    <row r="884" spans="4:8">
      <c r="D884" s="142">
        <v>3169</v>
      </c>
      <c r="F884" s="17"/>
      <c r="G884" s="17"/>
      <c r="H884" s="200"/>
    </row>
    <row r="885" spans="4:8">
      <c r="D885" s="142">
        <v>3171</v>
      </c>
      <c r="F885" s="17"/>
      <c r="G885" s="17"/>
      <c r="H885" s="200"/>
    </row>
    <row r="886" spans="4:8">
      <c r="D886" s="142">
        <v>3176</v>
      </c>
      <c r="F886" s="17"/>
      <c r="G886" s="17"/>
      <c r="H886" s="200"/>
    </row>
    <row r="887" spans="4:8">
      <c r="D887" s="142">
        <v>3188</v>
      </c>
      <c r="F887" s="17"/>
      <c r="G887" s="17"/>
      <c r="H887" s="200"/>
    </row>
    <row r="888" spans="4:8">
      <c r="D888" s="142">
        <v>3191</v>
      </c>
      <c r="F888" s="17"/>
      <c r="G888" s="17"/>
      <c r="H888" s="200"/>
    </row>
    <row r="889" spans="4:8">
      <c r="D889" s="142">
        <v>3202</v>
      </c>
      <c r="F889" s="17"/>
      <c r="G889" s="17"/>
      <c r="H889" s="200"/>
    </row>
    <row r="890" spans="4:8">
      <c r="D890" s="142">
        <v>3205</v>
      </c>
      <c r="F890" s="17"/>
      <c r="G890" s="17"/>
      <c r="H890" s="200"/>
    </row>
    <row r="891" spans="4:8">
      <c r="D891" s="142">
        <v>3206</v>
      </c>
      <c r="F891" s="17"/>
      <c r="G891" s="17"/>
      <c r="H891" s="200"/>
    </row>
    <row r="892" spans="4:8">
      <c r="D892" s="142">
        <v>3207</v>
      </c>
      <c r="F892" s="17"/>
      <c r="G892" s="17"/>
      <c r="H892" s="200"/>
    </row>
    <row r="893" spans="4:8">
      <c r="D893" s="142">
        <v>3211</v>
      </c>
      <c r="F893" s="17"/>
      <c r="G893" s="17"/>
      <c r="H893" s="200"/>
    </row>
    <row r="894" spans="4:8">
      <c r="D894" s="142">
        <v>3213</v>
      </c>
      <c r="F894" s="17"/>
      <c r="G894" s="17"/>
      <c r="H894" s="200"/>
    </row>
    <row r="895" spans="4:8">
      <c r="D895" s="142">
        <v>3217</v>
      </c>
      <c r="F895" s="17"/>
      <c r="G895" s="17"/>
      <c r="H895" s="200"/>
    </row>
    <row r="896" spans="4:8">
      <c r="D896" s="142">
        <v>3218</v>
      </c>
      <c r="F896" s="17"/>
      <c r="G896" s="17"/>
      <c r="H896" s="200"/>
    </row>
    <row r="897" spans="4:8">
      <c r="D897" s="142">
        <v>3219</v>
      </c>
      <c r="F897" s="17"/>
      <c r="G897" s="17"/>
      <c r="H897" s="200"/>
    </row>
    <row r="898" spans="4:8">
      <c r="D898" s="142">
        <v>3221</v>
      </c>
      <c r="F898" s="17"/>
      <c r="G898" s="17"/>
      <c r="H898" s="200"/>
    </row>
    <row r="899" spans="4:8">
      <c r="D899" s="142">
        <v>3224</v>
      </c>
      <c r="F899" s="17"/>
      <c r="G899" s="17"/>
      <c r="H899" s="200"/>
    </row>
    <row r="900" spans="4:8">
      <c r="D900" s="142">
        <v>3226</v>
      </c>
      <c r="F900" s="17"/>
      <c r="G900" s="17"/>
      <c r="H900" s="200"/>
    </row>
    <row r="901" spans="4:8">
      <c r="D901" s="142">
        <v>3227</v>
      </c>
      <c r="F901" s="17"/>
      <c r="G901" s="17"/>
      <c r="H901" s="200"/>
    </row>
    <row r="902" spans="4:8">
      <c r="D902" s="142">
        <v>3228</v>
      </c>
      <c r="F902" s="17"/>
      <c r="G902" s="17"/>
      <c r="H902" s="200"/>
    </row>
    <row r="903" spans="4:8">
      <c r="D903" s="142">
        <v>3230</v>
      </c>
      <c r="F903" s="17"/>
      <c r="G903" s="17"/>
      <c r="H903" s="200"/>
    </row>
    <row r="904" spans="4:8">
      <c r="D904" s="142">
        <v>3232</v>
      </c>
      <c r="F904" s="17"/>
      <c r="G904" s="17"/>
      <c r="H904" s="200"/>
    </row>
    <row r="905" spans="4:8">
      <c r="D905" s="142">
        <v>3234</v>
      </c>
      <c r="F905" s="17"/>
      <c r="G905" s="17"/>
      <c r="H905" s="200"/>
    </row>
    <row r="906" spans="4:8">
      <c r="D906" s="142">
        <v>3236</v>
      </c>
      <c r="F906" s="17"/>
      <c r="G906" s="17"/>
      <c r="H906" s="200"/>
    </row>
    <row r="907" spans="4:8">
      <c r="D907" s="142">
        <v>3252</v>
      </c>
      <c r="F907" s="17"/>
      <c r="G907" s="17"/>
      <c r="H907" s="200"/>
    </row>
    <row r="908" spans="4:8">
      <c r="D908" s="142">
        <v>3259</v>
      </c>
      <c r="F908" s="17"/>
      <c r="G908" s="17"/>
      <c r="H908" s="200"/>
    </row>
    <row r="909" spans="4:8">
      <c r="D909" s="142">
        <v>3260</v>
      </c>
      <c r="F909" s="17"/>
      <c r="G909" s="17"/>
      <c r="H909" s="200"/>
    </row>
    <row r="910" spans="4:8">
      <c r="D910" s="142">
        <v>3264</v>
      </c>
      <c r="F910" s="17"/>
      <c r="G910" s="17"/>
      <c r="H910" s="200"/>
    </row>
    <row r="911" spans="4:8">
      <c r="D911" s="142">
        <v>3265</v>
      </c>
      <c r="F911" s="17"/>
      <c r="G911" s="17"/>
      <c r="H911" s="200"/>
    </row>
    <row r="912" spans="4:8">
      <c r="D912" s="142">
        <v>3268</v>
      </c>
      <c r="F912" s="17"/>
      <c r="G912" s="17"/>
      <c r="H912" s="200"/>
    </row>
    <row r="913" spans="4:8">
      <c r="D913" s="142">
        <v>3272</v>
      </c>
      <c r="F913" s="17"/>
      <c r="G913" s="17"/>
      <c r="H913" s="200"/>
    </row>
    <row r="914" spans="4:8">
      <c r="D914" s="142">
        <v>3276</v>
      </c>
      <c r="F914" s="17"/>
      <c r="G914" s="17"/>
      <c r="H914" s="200"/>
    </row>
    <row r="915" spans="4:8">
      <c r="D915" s="142">
        <v>3284</v>
      </c>
      <c r="F915" s="17"/>
      <c r="G915" s="17"/>
      <c r="H915" s="200"/>
    </row>
    <row r="916" spans="4:8">
      <c r="D916" s="142">
        <v>3285</v>
      </c>
      <c r="F916" s="17"/>
      <c r="G916" s="17"/>
      <c r="H916" s="200"/>
    </row>
    <row r="917" spans="4:8">
      <c r="D917" s="142">
        <v>3287</v>
      </c>
      <c r="F917" s="17"/>
      <c r="G917" s="17"/>
      <c r="H917" s="200"/>
    </row>
    <row r="918" spans="4:8">
      <c r="D918" s="142">
        <v>3288</v>
      </c>
      <c r="F918" s="17"/>
      <c r="G918" s="17"/>
      <c r="H918" s="200"/>
    </row>
    <row r="919" spans="4:8">
      <c r="D919" s="142">
        <v>3289</v>
      </c>
      <c r="F919" s="17"/>
      <c r="G919" s="17"/>
      <c r="H919" s="200"/>
    </row>
    <row r="920" spans="4:8">
      <c r="D920" s="142">
        <v>3290</v>
      </c>
      <c r="F920" s="17"/>
      <c r="G920" s="17"/>
      <c r="H920" s="200"/>
    </row>
    <row r="921" spans="4:8">
      <c r="D921" s="142">
        <v>3291</v>
      </c>
      <c r="F921" s="17"/>
      <c r="G921" s="17"/>
      <c r="H921" s="200"/>
    </row>
    <row r="922" spans="4:8">
      <c r="D922" s="142">
        <v>3293</v>
      </c>
      <c r="F922" s="17"/>
      <c r="G922" s="17"/>
      <c r="H922" s="200"/>
    </row>
    <row r="923" spans="4:8">
      <c r="D923" s="142">
        <v>3294</v>
      </c>
      <c r="F923" s="17"/>
      <c r="G923" s="17"/>
      <c r="H923" s="200"/>
    </row>
    <row r="924" spans="4:8">
      <c r="D924" s="142">
        <v>3297</v>
      </c>
      <c r="F924" s="17"/>
      <c r="G924" s="17"/>
      <c r="H924" s="200"/>
    </row>
    <row r="925" spans="4:8">
      <c r="D925" s="142">
        <v>3299</v>
      </c>
      <c r="F925" s="17"/>
      <c r="G925" s="17"/>
      <c r="H925" s="200"/>
    </row>
    <row r="926" spans="4:8">
      <c r="D926" s="142">
        <v>3303</v>
      </c>
      <c r="F926" s="17"/>
      <c r="G926" s="17"/>
      <c r="H926" s="200"/>
    </row>
    <row r="927" spans="4:8">
      <c r="D927" s="142">
        <v>3306</v>
      </c>
      <c r="F927" s="17"/>
      <c r="G927" s="17"/>
      <c r="H927" s="200"/>
    </row>
    <row r="928" spans="4:8">
      <c r="D928" s="142">
        <v>3310</v>
      </c>
      <c r="F928" s="17"/>
      <c r="G928" s="17"/>
      <c r="H928" s="200"/>
    </row>
    <row r="929" spans="4:8">
      <c r="D929" s="142">
        <v>3313</v>
      </c>
      <c r="F929" s="17"/>
      <c r="G929" s="17"/>
      <c r="H929" s="200"/>
    </row>
    <row r="930" spans="4:8">
      <c r="D930" s="142">
        <v>3317</v>
      </c>
      <c r="F930" s="17"/>
      <c r="G930" s="17"/>
      <c r="H930" s="200"/>
    </row>
    <row r="931" spans="4:8">
      <c r="D931" s="142">
        <v>3322</v>
      </c>
      <c r="F931" s="17"/>
      <c r="G931" s="17"/>
      <c r="H931" s="200"/>
    </row>
    <row r="932" spans="4:8">
      <c r="D932" s="142">
        <v>3323</v>
      </c>
      <c r="F932" s="17"/>
      <c r="G932" s="17"/>
      <c r="H932" s="200"/>
    </row>
    <row r="933" spans="4:8">
      <c r="D933" s="142">
        <v>3324</v>
      </c>
      <c r="F933" s="17"/>
      <c r="G933" s="17"/>
      <c r="H933" s="200"/>
    </row>
    <row r="934" spans="4:8">
      <c r="D934" s="142">
        <v>3325</v>
      </c>
      <c r="F934" s="17"/>
      <c r="G934" s="17"/>
      <c r="H934" s="200"/>
    </row>
    <row r="935" spans="4:8">
      <c r="D935" s="142">
        <v>3332</v>
      </c>
      <c r="F935" s="17"/>
      <c r="G935" s="17"/>
      <c r="H935" s="200"/>
    </row>
    <row r="936" spans="4:8">
      <c r="D936" s="142">
        <v>3339</v>
      </c>
      <c r="F936" s="17"/>
      <c r="G936" s="17"/>
      <c r="H936" s="200"/>
    </row>
    <row r="937" spans="4:8">
      <c r="D937" s="142">
        <v>3354</v>
      </c>
      <c r="F937" s="17"/>
      <c r="G937" s="17"/>
      <c r="H937" s="200"/>
    </row>
    <row r="938" spans="4:8">
      <c r="D938" s="142">
        <v>3360</v>
      </c>
      <c r="F938" s="17"/>
      <c r="G938" s="17"/>
      <c r="H938" s="200"/>
    </row>
    <row r="939" spans="4:8">
      <c r="D939" s="142">
        <v>3362</v>
      </c>
      <c r="F939" s="17"/>
      <c r="G939" s="17"/>
      <c r="H939" s="200"/>
    </row>
    <row r="940" spans="4:8">
      <c r="D940" s="142">
        <v>3363</v>
      </c>
      <c r="F940" s="17"/>
      <c r="G940" s="17"/>
      <c r="H940" s="200"/>
    </row>
    <row r="941" spans="4:8">
      <c r="D941" s="142">
        <v>3372</v>
      </c>
      <c r="F941" s="17"/>
      <c r="G941" s="17"/>
      <c r="H941" s="200"/>
    </row>
    <row r="942" spans="4:8">
      <c r="D942" s="142">
        <v>3373</v>
      </c>
      <c r="F942" s="17"/>
      <c r="G942" s="17"/>
      <c r="H942" s="200"/>
    </row>
    <row r="943" spans="4:8">
      <c r="D943" s="142">
        <v>3374</v>
      </c>
      <c r="F943" s="17"/>
      <c r="G943" s="17"/>
      <c r="H943" s="200"/>
    </row>
    <row r="944" spans="4:8">
      <c r="D944" s="142">
        <v>3379</v>
      </c>
      <c r="F944" s="17"/>
      <c r="G944" s="17"/>
      <c r="H944" s="200"/>
    </row>
    <row r="945" spans="4:8">
      <c r="D945" s="142">
        <v>3388</v>
      </c>
      <c r="F945" s="17"/>
      <c r="G945" s="17"/>
      <c r="H945" s="200"/>
    </row>
    <row r="946" spans="4:8">
      <c r="D946" s="142">
        <v>3390</v>
      </c>
      <c r="F946" s="17"/>
      <c r="G946" s="17"/>
      <c r="H946" s="200"/>
    </row>
    <row r="947" spans="4:8">
      <c r="D947" s="142">
        <v>3402</v>
      </c>
      <c r="F947" s="17"/>
      <c r="G947" s="17"/>
      <c r="H947" s="200"/>
    </row>
    <row r="948" spans="4:8">
      <c r="D948" s="142">
        <v>3428</v>
      </c>
      <c r="F948" s="17"/>
      <c r="G948" s="17"/>
      <c r="H948" s="200"/>
    </row>
    <row r="949" spans="4:8">
      <c r="D949" s="142">
        <v>3431</v>
      </c>
      <c r="F949" s="17"/>
      <c r="G949" s="17"/>
      <c r="H949" s="200"/>
    </row>
    <row r="950" spans="4:8">
      <c r="D950" s="142">
        <v>3434</v>
      </c>
      <c r="F950" s="17"/>
      <c r="G950" s="17"/>
      <c r="H950" s="200"/>
    </row>
    <row r="951" spans="4:8">
      <c r="D951" s="142">
        <v>3438</v>
      </c>
      <c r="F951" s="17"/>
      <c r="G951" s="17"/>
      <c r="H951" s="200"/>
    </row>
    <row r="952" spans="4:8">
      <c r="D952" s="142">
        <v>3441</v>
      </c>
      <c r="F952" s="17"/>
      <c r="G952" s="17"/>
      <c r="H952" s="200"/>
    </row>
    <row r="953" spans="4:8">
      <c r="D953" s="142">
        <v>3444</v>
      </c>
      <c r="F953" s="17"/>
      <c r="G953" s="17"/>
      <c r="H953" s="200"/>
    </row>
    <row r="954" spans="4:8">
      <c r="D954" s="142">
        <v>3452</v>
      </c>
      <c r="F954" s="17"/>
      <c r="G954" s="17"/>
      <c r="H954" s="200"/>
    </row>
    <row r="955" spans="4:8">
      <c r="D955" s="142">
        <v>3455</v>
      </c>
      <c r="F955" s="17"/>
      <c r="G955" s="17"/>
      <c r="H955" s="200"/>
    </row>
    <row r="956" spans="4:8">
      <c r="D956" s="142">
        <v>3465</v>
      </c>
      <c r="F956" s="17"/>
      <c r="G956" s="17"/>
      <c r="H956" s="200"/>
    </row>
    <row r="957" spans="4:8">
      <c r="D957" s="142">
        <v>3466</v>
      </c>
      <c r="F957" s="17"/>
      <c r="G957" s="17"/>
      <c r="H957" s="200"/>
    </row>
    <row r="958" spans="4:8">
      <c r="D958" s="142">
        <v>3479</v>
      </c>
      <c r="F958" s="17"/>
      <c r="G958" s="17"/>
      <c r="H958" s="200"/>
    </row>
    <row r="959" spans="4:8">
      <c r="D959" s="142">
        <v>3483</v>
      </c>
      <c r="F959" s="17"/>
      <c r="G959" s="17"/>
      <c r="H959" s="200"/>
    </row>
    <row r="960" spans="4:8">
      <c r="D960" s="142">
        <v>3484</v>
      </c>
      <c r="F960" s="17"/>
      <c r="G960" s="17"/>
      <c r="H960" s="200"/>
    </row>
    <row r="961" spans="4:8">
      <c r="D961" s="142">
        <v>3489</v>
      </c>
      <c r="F961" s="17"/>
      <c r="G961" s="17"/>
      <c r="H961" s="200"/>
    </row>
    <row r="962" spans="4:8">
      <c r="D962" s="142">
        <v>3490</v>
      </c>
      <c r="F962" s="17"/>
      <c r="G962" s="17"/>
      <c r="H962" s="200"/>
    </row>
    <row r="963" spans="4:8">
      <c r="D963" s="142">
        <v>3491</v>
      </c>
      <c r="F963" s="17"/>
      <c r="G963" s="17"/>
      <c r="H963" s="200"/>
    </row>
    <row r="964" spans="4:8">
      <c r="D964" s="142">
        <v>3492</v>
      </c>
      <c r="F964" s="17"/>
      <c r="G964" s="17"/>
      <c r="H964" s="200"/>
    </row>
    <row r="965" spans="4:8">
      <c r="D965" s="142">
        <v>3498</v>
      </c>
      <c r="F965" s="17"/>
      <c r="G965" s="17"/>
      <c r="H965" s="200"/>
    </row>
    <row r="966" spans="4:8">
      <c r="D966" s="142">
        <v>3499</v>
      </c>
      <c r="F966" s="17"/>
      <c r="G966" s="17"/>
      <c r="H966" s="200"/>
    </row>
    <row r="967" spans="4:8">
      <c r="D967" s="142">
        <v>3508</v>
      </c>
      <c r="F967" s="17"/>
      <c r="G967" s="17"/>
      <c r="H967" s="200"/>
    </row>
    <row r="968" spans="4:8">
      <c r="D968" s="142">
        <v>3511</v>
      </c>
      <c r="F968" s="17"/>
      <c r="G968" s="17"/>
      <c r="H968" s="200"/>
    </row>
    <row r="969" spans="4:8">
      <c r="D969" s="142">
        <v>3512</v>
      </c>
      <c r="F969" s="17"/>
      <c r="G969" s="17"/>
      <c r="H969" s="200"/>
    </row>
    <row r="970" spans="4:8">
      <c r="D970" s="142">
        <v>3516</v>
      </c>
      <c r="F970" s="17"/>
      <c r="G970" s="17"/>
      <c r="H970" s="200"/>
    </row>
    <row r="971" spans="4:8">
      <c r="D971" s="142">
        <v>3520</v>
      </c>
      <c r="F971" s="17"/>
      <c r="G971" s="17"/>
      <c r="H971" s="200"/>
    </row>
    <row r="972" spans="4:8">
      <c r="D972" s="142">
        <v>3521</v>
      </c>
      <c r="F972" s="17"/>
      <c r="G972" s="17"/>
      <c r="H972" s="200"/>
    </row>
    <row r="973" spans="4:8">
      <c r="D973" s="142">
        <v>3522</v>
      </c>
      <c r="F973" s="17"/>
      <c r="G973" s="17"/>
      <c r="H973" s="200"/>
    </row>
    <row r="974" spans="4:8">
      <c r="D974" s="142">
        <v>3523</v>
      </c>
      <c r="F974" s="17"/>
      <c r="G974" s="17"/>
      <c r="H974" s="200"/>
    </row>
    <row r="975" spans="4:8">
      <c r="D975" s="142">
        <v>3526</v>
      </c>
      <c r="F975" s="17"/>
      <c r="G975" s="17"/>
      <c r="H975" s="200"/>
    </row>
    <row r="976" spans="4:8">
      <c r="D976" s="142">
        <v>3527</v>
      </c>
      <c r="F976" s="17"/>
      <c r="G976" s="17"/>
      <c r="H976" s="200"/>
    </row>
    <row r="977" spans="4:8">
      <c r="D977" s="142">
        <v>3528</v>
      </c>
      <c r="F977" s="17"/>
      <c r="G977" s="17"/>
      <c r="H977" s="200"/>
    </row>
    <row r="978" spans="4:8">
      <c r="D978" s="142">
        <v>3529</v>
      </c>
      <c r="F978" s="17"/>
      <c r="G978" s="17"/>
      <c r="H978" s="200"/>
    </row>
    <row r="979" spans="4:8">
      <c r="D979" s="142">
        <v>3531</v>
      </c>
      <c r="F979" s="17"/>
      <c r="G979" s="17"/>
      <c r="H979" s="200"/>
    </row>
    <row r="980" spans="4:8">
      <c r="D980" s="142">
        <v>3537</v>
      </c>
      <c r="F980" s="17"/>
      <c r="G980" s="17"/>
      <c r="H980" s="200"/>
    </row>
    <row r="981" spans="4:8">
      <c r="D981" s="142">
        <v>3540</v>
      </c>
      <c r="F981" s="17"/>
      <c r="G981" s="17"/>
      <c r="H981" s="200"/>
    </row>
    <row r="982" spans="4:8">
      <c r="D982" s="142">
        <v>3541</v>
      </c>
      <c r="F982" s="17"/>
      <c r="G982" s="17"/>
      <c r="H982" s="200"/>
    </row>
    <row r="983" spans="4:8">
      <c r="D983" s="142">
        <v>3546</v>
      </c>
      <c r="F983" s="17"/>
      <c r="G983" s="17"/>
      <c r="H983" s="200"/>
    </row>
    <row r="984" spans="4:8">
      <c r="D984" s="142">
        <v>3548</v>
      </c>
      <c r="F984" s="17"/>
      <c r="G984" s="17"/>
      <c r="H984" s="200"/>
    </row>
    <row r="985" spans="4:8">
      <c r="D985" s="142">
        <v>3551</v>
      </c>
      <c r="F985" s="17"/>
      <c r="G985" s="17"/>
      <c r="H985" s="200"/>
    </row>
    <row r="986" spans="4:8">
      <c r="D986" s="142">
        <v>3552</v>
      </c>
      <c r="F986" s="17"/>
      <c r="G986" s="17"/>
      <c r="H986" s="200"/>
    </row>
    <row r="987" spans="4:8">
      <c r="D987" s="142">
        <v>3553</v>
      </c>
      <c r="F987" s="17"/>
      <c r="G987" s="17"/>
      <c r="H987" s="200"/>
    </row>
    <row r="988" spans="4:8">
      <c r="D988" s="142">
        <v>3555</v>
      </c>
      <c r="F988" s="17"/>
      <c r="G988" s="17"/>
      <c r="H988" s="200"/>
    </row>
    <row r="989" spans="4:8">
      <c r="D989" s="142">
        <v>3556</v>
      </c>
      <c r="F989" s="17"/>
      <c r="G989" s="17"/>
      <c r="H989" s="200"/>
    </row>
    <row r="990" spans="4:8">
      <c r="D990" s="142">
        <v>3558</v>
      </c>
      <c r="F990" s="17"/>
      <c r="G990" s="17"/>
      <c r="H990" s="200"/>
    </row>
    <row r="991" spans="4:8">
      <c r="D991" s="142">
        <v>3562</v>
      </c>
      <c r="F991" s="17"/>
      <c r="G991" s="17"/>
      <c r="H991" s="200"/>
    </row>
    <row r="992" spans="4:8">
      <c r="D992" s="142">
        <v>3563</v>
      </c>
      <c r="F992" s="17"/>
      <c r="G992" s="17"/>
      <c r="H992" s="200"/>
    </row>
    <row r="993" spans="4:8">
      <c r="D993" s="142">
        <v>3564</v>
      </c>
      <c r="F993" s="17"/>
      <c r="G993" s="17"/>
      <c r="H993" s="200"/>
    </row>
    <row r="994" spans="4:8">
      <c r="D994" s="142">
        <v>3567</v>
      </c>
      <c r="F994" s="17"/>
      <c r="G994" s="17"/>
      <c r="H994" s="200"/>
    </row>
    <row r="995" spans="4:8">
      <c r="D995" s="142">
        <v>3570</v>
      </c>
      <c r="F995" s="17"/>
      <c r="G995" s="17"/>
      <c r="H995" s="200"/>
    </row>
    <row r="996" spans="4:8">
      <c r="D996" s="142">
        <v>3577</v>
      </c>
      <c r="F996" s="17"/>
      <c r="G996" s="17"/>
      <c r="H996" s="200"/>
    </row>
    <row r="997" spans="4:8">
      <c r="D997" s="142">
        <v>3580</v>
      </c>
      <c r="F997" s="17"/>
      <c r="G997" s="17"/>
      <c r="H997" s="200"/>
    </row>
    <row r="998" spans="4:8">
      <c r="D998" s="142">
        <v>3581</v>
      </c>
      <c r="F998" s="17"/>
      <c r="G998" s="17"/>
      <c r="H998" s="200"/>
    </row>
    <row r="999" spans="4:8">
      <c r="D999" s="142">
        <v>3587</v>
      </c>
      <c r="F999" s="17"/>
      <c r="G999" s="17"/>
      <c r="H999" s="200"/>
    </row>
    <row r="1000" spans="4:8">
      <c r="D1000" s="142">
        <v>3594</v>
      </c>
      <c r="F1000" s="17"/>
      <c r="G1000" s="17"/>
      <c r="H1000" s="200"/>
    </row>
    <row r="1001" spans="4:8">
      <c r="D1001" s="142">
        <v>3609</v>
      </c>
      <c r="F1001" s="17"/>
      <c r="G1001" s="17"/>
      <c r="H1001" s="200"/>
    </row>
    <row r="1002" spans="4:8">
      <c r="D1002" s="142">
        <v>3611</v>
      </c>
      <c r="F1002" s="17"/>
      <c r="G1002" s="17"/>
      <c r="H1002" s="200"/>
    </row>
    <row r="1003" spans="4:8">
      <c r="D1003" s="142">
        <v>3615</v>
      </c>
      <c r="F1003" s="17"/>
      <c r="G1003" s="17"/>
      <c r="H1003" s="200"/>
    </row>
    <row r="1004" spans="4:8">
      <c r="D1004" s="142">
        <v>3623</v>
      </c>
      <c r="F1004" s="17"/>
      <c r="G1004" s="17"/>
      <c r="H1004" s="200"/>
    </row>
    <row r="1005" spans="4:8">
      <c r="D1005" s="142">
        <v>3624</v>
      </c>
      <c r="F1005" s="17"/>
      <c r="G1005" s="17"/>
      <c r="H1005" s="200"/>
    </row>
    <row r="1006" spans="4:8">
      <c r="D1006" s="142">
        <v>3625</v>
      </c>
      <c r="F1006" s="17"/>
      <c r="G1006" s="17"/>
      <c r="H1006" s="200"/>
    </row>
    <row r="1007" spans="4:8">
      <c r="D1007" s="142">
        <v>3628</v>
      </c>
      <c r="F1007" s="17"/>
      <c r="G1007" s="17"/>
      <c r="H1007" s="200"/>
    </row>
    <row r="1008" spans="4:8">
      <c r="D1008" s="142">
        <v>3629</v>
      </c>
      <c r="F1008" s="17"/>
      <c r="G1008" s="17"/>
      <c r="H1008" s="200"/>
    </row>
    <row r="1009" spans="4:8">
      <c r="D1009" s="142">
        <v>3630</v>
      </c>
      <c r="F1009" s="17"/>
      <c r="G1009" s="17"/>
      <c r="H1009" s="200"/>
    </row>
    <row r="1010" spans="4:8">
      <c r="D1010" s="142">
        <v>3631</v>
      </c>
      <c r="F1010" s="17"/>
      <c r="G1010" s="17"/>
      <c r="H1010" s="200"/>
    </row>
    <row r="1011" spans="4:8">
      <c r="D1011" s="142">
        <v>3632</v>
      </c>
      <c r="F1011" s="17"/>
      <c r="G1011" s="17"/>
      <c r="H1011" s="200"/>
    </row>
    <row r="1012" spans="4:8">
      <c r="D1012" s="142">
        <v>3642</v>
      </c>
      <c r="F1012" s="17"/>
      <c r="G1012" s="17"/>
      <c r="H1012" s="200"/>
    </row>
    <row r="1013" spans="4:8">
      <c r="D1013" s="142">
        <v>3646</v>
      </c>
      <c r="F1013" s="17"/>
      <c r="G1013" s="17"/>
      <c r="H1013" s="200"/>
    </row>
    <row r="1014" spans="4:8">
      <c r="D1014" s="142">
        <v>3652</v>
      </c>
      <c r="F1014" s="17"/>
      <c r="G1014" s="17"/>
      <c r="H1014" s="200"/>
    </row>
    <row r="1015" spans="4:8">
      <c r="D1015" s="142">
        <v>3658</v>
      </c>
      <c r="F1015" s="17"/>
      <c r="G1015" s="17"/>
      <c r="H1015" s="200"/>
    </row>
    <row r="1016" spans="4:8">
      <c r="D1016" s="142">
        <v>3662</v>
      </c>
      <c r="F1016" s="17"/>
      <c r="G1016" s="17"/>
      <c r="H1016" s="200"/>
    </row>
    <row r="1017" spans="4:8">
      <c r="D1017" s="142">
        <v>3663</v>
      </c>
      <c r="F1017" s="17"/>
      <c r="G1017" s="17"/>
      <c r="H1017" s="200"/>
    </row>
    <row r="1018" spans="4:8">
      <c r="D1018" s="142">
        <v>3664</v>
      </c>
      <c r="F1018" s="17"/>
      <c r="G1018" s="17"/>
      <c r="H1018" s="200"/>
    </row>
    <row r="1019" spans="4:8">
      <c r="D1019" s="142">
        <v>3666</v>
      </c>
      <c r="F1019" s="17"/>
      <c r="G1019" s="17"/>
      <c r="H1019" s="200"/>
    </row>
    <row r="1020" spans="4:8">
      <c r="D1020" s="142">
        <v>3672</v>
      </c>
      <c r="F1020" s="17"/>
      <c r="G1020" s="17"/>
      <c r="H1020" s="200"/>
    </row>
    <row r="1021" spans="4:8">
      <c r="D1021" s="142">
        <v>3675</v>
      </c>
      <c r="F1021" s="17"/>
      <c r="G1021" s="17"/>
      <c r="H1021" s="200"/>
    </row>
    <row r="1022" spans="4:8">
      <c r="D1022" s="142">
        <v>3680</v>
      </c>
      <c r="F1022" s="17"/>
      <c r="G1022" s="17"/>
      <c r="H1022" s="200"/>
    </row>
    <row r="1023" spans="4:8">
      <c r="D1023" s="142">
        <v>3684</v>
      </c>
      <c r="F1023" s="17"/>
      <c r="G1023" s="17"/>
      <c r="H1023" s="200"/>
    </row>
    <row r="1024" spans="4:8">
      <c r="D1024" s="142">
        <v>3685</v>
      </c>
      <c r="F1024" s="17"/>
      <c r="G1024" s="17"/>
      <c r="H1024" s="200"/>
    </row>
    <row r="1025" spans="4:8">
      <c r="D1025" s="142">
        <v>3687</v>
      </c>
      <c r="F1025" s="17"/>
      <c r="G1025" s="17"/>
      <c r="H1025" s="200"/>
    </row>
    <row r="1026" spans="4:8">
      <c r="D1026" s="142">
        <v>3689</v>
      </c>
      <c r="F1026" s="17"/>
      <c r="G1026" s="17"/>
      <c r="H1026" s="200"/>
    </row>
    <row r="1027" spans="4:8">
      <c r="D1027" s="142">
        <v>3691</v>
      </c>
      <c r="F1027" s="17"/>
      <c r="G1027" s="17"/>
      <c r="H1027" s="200"/>
    </row>
    <row r="1028" spans="4:8">
      <c r="D1028" s="142">
        <v>3693</v>
      </c>
      <c r="F1028" s="17"/>
      <c r="G1028" s="17"/>
      <c r="H1028" s="200"/>
    </row>
    <row r="1029" spans="4:8">
      <c r="D1029" s="142">
        <v>3707</v>
      </c>
      <c r="F1029" s="17"/>
      <c r="G1029" s="17"/>
      <c r="H1029" s="200"/>
    </row>
    <row r="1030" spans="4:8">
      <c r="D1030" s="142">
        <v>4102</v>
      </c>
      <c r="F1030" s="17"/>
      <c r="G1030" s="17"/>
      <c r="H1030" s="200"/>
    </row>
    <row r="1031" spans="4:8">
      <c r="D1031" s="142">
        <v>4103</v>
      </c>
      <c r="F1031" s="17"/>
      <c r="G1031" s="17"/>
      <c r="H1031" s="200"/>
    </row>
    <row r="1032" spans="4:8">
      <c r="D1032" s="142">
        <v>4105</v>
      </c>
      <c r="F1032" s="17"/>
      <c r="G1032" s="17"/>
      <c r="H1032" s="200"/>
    </row>
    <row r="1033" spans="4:8">
      <c r="D1033" s="142">
        <v>4107</v>
      </c>
      <c r="F1033" s="17"/>
      <c r="G1033" s="17"/>
      <c r="H1033" s="200"/>
    </row>
    <row r="1034" spans="4:8">
      <c r="D1034" s="142">
        <v>4109</v>
      </c>
      <c r="F1034" s="17"/>
      <c r="G1034" s="17"/>
      <c r="H1034" s="200"/>
    </row>
    <row r="1035" spans="4:8">
      <c r="D1035" s="142">
        <v>4111</v>
      </c>
      <c r="F1035" s="17"/>
      <c r="G1035" s="17"/>
      <c r="H1035" s="200"/>
    </row>
    <row r="1036" spans="4:8">
      <c r="D1036" s="142">
        <v>4113</v>
      </c>
      <c r="F1036" s="17"/>
      <c r="G1036" s="17"/>
      <c r="H1036" s="200"/>
    </row>
    <row r="1037" spans="4:8">
      <c r="D1037" s="142">
        <v>4114</v>
      </c>
      <c r="F1037" s="17"/>
      <c r="G1037" s="17"/>
      <c r="H1037" s="200"/>
    </row>
    <row r="1038" spans="4:8">
      <c r="D1038" s="142">
        <v>4120</v>
      </c>
      <c r="F1038" s="17"/>
      <c r="G1038" s="17"/>
      <c r="H1038" s="200"/>
    </row>
    <row r="1039" spans="4:8">
      <c r="D1039" s="142">
        <v>4121</v>
      </c>
      <c r="F1039" s="17"/>
      <c r="G1039" s="17"/>
      <c r="H1039" s="200"/>
    </row>
    <row r="1040" spans="4:8">
      <c r="D1040" s="142">
        <v>4123</v>
      </c>
      <c r="F1040" s="17"/>
      <c r="G1040" s="17"/>
      <c r="H1040" s="200"/>
    </row>
    <row r="1041" spans="4:8">
      <c r="D1041" s="142">
        <v>4126</v>
      </c>
      <c r="F1041" s="17"/>
      <c r="G1041" s="17"/>
      <c r="H1041" s="200"/>
    </row>
    <row r="1042" spans="4:8">
      <c r="D1042" s="142">
        <v>4127</v>
      </c>
      <c r="F1042" s="17"/>
      <c r="G1042" s="17"/>
      <c r="H1042" s="200"/>
    </row>
    <row r="1043" spans="4:8">
      <c r="D1043" s="142">
        <v>4128</v>
      </c>
      <c r="F1043" s="17"/>
      <c r="G1043" s="17"/>
      <c r="H1043" s="200"/>
    </row>
    <row r="1044" spans="4:8">
      <c r="D1044" s="142">
        <v>4129</v>
      </c>
      <c r="F1044" s="17"/>
      <c r="G1044" s="17"/>
      <c r="H1044" s="200"/>
    </row>
    <row r="1045" spans="4:8">
      <c r="D1045" s="142">
        <v>4130</v>
      </c>
      <c r="F1045" s="17"/>
      <c r="G1045" s="17"/>
      <c r="H1045" s="200"/>
    </row>
    <row r="1046" spans="4:8">
      <c r="D1046" s="142">
        <v>4131</v>
      </c>
      <c r="F1046" s="17"/>
      <c r="G1046" s="17"/>
      <c r="H1046" s="200"/>
    </row>
    <row r="1047" spans="4:8">
      <c r="D1047" s="142">
        <v>4138</v>
      </c>
      <c r="F1047" s="17"/>
      <c r="G1047" s="17"/>
      <c r="H1047" s="200"/>
    </row>
    <row r="1048" spans="4:8">
      <c r="D1048" s="142">
        <v>4139</v>
      </c>
      <c r="F1048" s="17"/>
      <c r="G1048" s="17"/>
      <c r="H1048" s="200"/>
    </row>
    <row r="1049" spans="4:8">
      <c r="D1049" s="142">
        <v>4152</v>
      </c>
      <c r="F1049" s="17"/>
      <c r="G1049" s="17"/>
      <c r="H1049" s="200"/>
    </row>
    <row r="1050" spans="4:8">
      <c r="D1050" s="142">
        <v>4153</v>
      </c>
      <c r="F1050" s="17"/>
      <c r="G1050" s="17"/>
      <c r="H1050" s="200"/>
    </row>
    <row r="1051" spans="4:8">
      <c r="D1051" s="142">
        <v>4154</v>
      </c>
      <c r="F1051" s="17"/>
      <c r="G1051" s="17"/>
      <c r="H1051" s="200"/>
    </row>
    <row r="1052" spans="4:8">
      <c r="D1052" s="142">
        <v>4157</v>
      </c>
      <c r="F1052" s="17"/>
      <c r="G1052" s="17"/>
      <c r="H1052" s="200"/>
    </row>
    <row r="1053" spans="4:8">
      <c r="D1053" s="142">
        <v>4160</v>
      </c>
      <c r="F1053" s="17"/>
      <c r="G1053" s="17"/>
      <c r="H1053" s="200"/>
    </row>
    <row r="1054" spans="4:8">
      <c r="D1054" s="142">
        <v>4161</v>
      </c>
      <c r="F1054" s="17"/>
      <c r="G1054" s="17"/>
      <c r="H1054" s="200"/>
    </row>
    <row r="1055" spans="4:8">
      <c r="D1055" s="142">
        <v>4162</v>
      </c>
      <c r="F1055" s="17"/>
      <c r="G1055" s="17"/>
      <c r="H1055" s="200"/>
    </row>
    <row r="1056" spans="4:8">
      <c r="D1056" s="142">
        <v>4175</v>
      </c>
      <c r="F1056" s="17"/>
      <c r="G1056" s="17"/>
      <c r="H1056" s="200"/>
    </row>
    <row r="1057" spans="4:8">
      <c r="D1057" s="142">
        <v>4180</v>
      </c>
      <c r="F1057" s="17"/>
      <c r="G1057" s="17"/>
      <c r="H1057" s="200"/>
    </row>
    <row r="1058" spans="4:8">
      <c r="D1058" s="142">
        <v>4192</v>
      </c>
      <c r="F1058" s="17"/>
      <c r="G1058" s="17"/>
      <c r="H1058" s="200"/>
    </row>
    <row r="1059" spans="4:8">
      <c r="D1059" s="142">
        <v>4198</v>
      </c>
      <c r="F1059" s="17"/>
      <c r="G1059" s="17"/>
      <c r="H1059" s="200"/>
    </row>
    <row r="1060" spans="4:8">
      <c r="D1060" s="142">
        <v>4205</v>
      </c>
      <c r="F1060" s="17"/>
      <c r="G1060" s="17"/>
      <c r="H1060" s="200"/>
    </row>
    <row r="1061" spans="4:8">
      <c r="D1061" s="142">
        <v>4207</v>
      </c>
      <c r="F1061" s="17"/>
      <c r="G1061" s="17"/>
      <c r="H1061" s="200"/>
    </row>
    <row r="1062" spans="4:8">
      <c r="D1062" s="142">
        <v>4303</v>
      </c>
      <c r="F1062" s="17"/>
      <c r="G1062" s="17"/>
      <c r="H1062" s="200"/>
    </row>
    <row r="1063" spans="4:8">
      <c r="D1063" s="142">
        <v>4304</v>
      </c>
      <c r="F1063" s="17"/>
      <c r="G1063" s="17"/>
      <c r="H1063" s="200"/>
    </row>
    <row r="1064" spans="4:8">
      <c r="D1064" s="142">
        <v>4305</v>
      </c>
      <c r="F1064" s="17"/>
      <c r="G1064" s="17"/>
      <c r="H1064" s="200"/>
    </row>
    <row r="1065" spans="4:8">
      <c r="D1065" s="142">
        <v>4401</v>
      </c>
      <c r="F1065" s="17"/>
      <c r="G1065" s="17"/>
      <c r="H1065" s="200"/>
    </row>
    <row r="1066" spans="4:8">
      <c r="D1066" s="142">
        <v>4402</v>
      </c>
      <c r="F1066" s="17"/>
      <c r="G1066" s="17"/>
      <c r="H1066" s="200"/>
    </row>
    <row r="1067" spans="4:8">
      <c r="D1067" s="142">
        <v>4406</v>
      </c>
      <c r="F1067" s="17"/>
      <c r="G1067" s="17"/>
      <c r="H1067" s="200"/>
    </row>
    <row r="1068" spans="4:8">
      <c r="D1068" s="142">
        <v>4413</v>
      </c>
      <c r="F1068" s="17"/>
      <c r="G1068" s="17"/>
      <c r="H1068" s="200"/>
    </row>
    <row r="1069" spans="4:8">
      <c r="D1069" s="142">
        <v>4415</v>
      </c>
      <c r="F1069" s="17"/>
      <c r="G1069" s="17"/>
      <c r="H1069" s="200"/>
    </row>
    <row r="1070" spans="4:8">
      <c r="D1070" s="142">
        <v>4416</v>
      </c>
      <c r="F1070" s="17"/>
      <c r="G1070" s="17"/>
      <c r="H1070" s="200"/>
    </row>
    <row r="1071" spans="4:8">
      <c r="D1071" s="142">
        <v>4417</v>
      </c>
      <c r="F1071" s="17"/>
      <c r="G1071" s="17"/>
      <c r="H1071" s="200"/>
    </row>
    <row r="1072" spans="4:8">
      <c r="D1072" s="142">
        <v>4419</v>
      </c>
      <c r="F1072" s="17"/>
      <c r="G1072" s="17"/>
      <c r="H1072" s="200"/>
    </row>
    <row r="1073" spans="4:8">
      <c r="D1073" s="142">
        <v>4420</v>
      </c>
      <c r="F1073" s="17"/>
      <c r="G1073" s="17"/>
      <c r="H1073" s="200"/>
    </row>
    <row r="1074" spans="4:8">
      <c r="D1074" s="142">
        <v>4429</v>
      </c>
      <c r="F1074" s="17"/>
      <c r="G1074" s="17"/>
      <c r="H1074" s="200"/>
    </row>
    <row r="1075" spans="4:8">
      <c r="D1075" s="142">
        <v>4430</v>
      </c>
      <c r="F1075" s="17"/>
      <c r="G1075" s="17"/>
      <c r="H1075" s="200"/>
    </row>
    <row r="1076" spans="4:8">
      <c r="D1076" s="142">
        <v>4432</v>
      </c>
      <c r="F1076" s="17"/>
      <c r="G1076" s="17"/>
      <c r="H1076" s="200"/>
    </row>
    <row r="1077" spans="4:8">
      <c r="D1077" s="142">
        <v>4433</v>
      </c>
      <c r="F1077" s="17"/>
      <c r="G1077" s="17"/>
      <c r="H1077" s="200"/>
    </row>
    <row r="1078" spans="4:8">
      <c r="D1078" s="142">
        <v>4502</v>
      </c>
      <c r="F1078" s="17"/>
      <c r="G1078" s="17"/>
      <c r="H1078" s="200"/>
    </row>
    <row r="1079" spans="4:8">
      <c r="D1079" s="142">
        <v>4503</v>
      </c>
      <c r="F1079" s="17"/>
      <c r="G1079" s="17"/>
      <c r="H1079" s="200"/>
    </row>
    <row r="1080" spans="4:8">
      <c r="D1080" s="142">
        <v>4506</v>
      </c>
      <c r="F1080" s="17"/>
      <c r="G1080" s="17"/>
      <c r="H1080" s="200"/>
    </row>
    <row r="1081" spans="4:8">
      <c r="D1081" s="142">
        <v>4510</v>
      </c>
      <c r="F1081" s="17"/>
      <c r="G1081" s="17"/>
      <c r="H1081" s="200"/>
    </row>
    <row r="1082" spans="4:8">
      <c r="D1082" s="142">
        <v>4513</v>
      </c>
      <c r="F1082" s="17"/>
      <c r="G1082" s="17"/>
      <c r="H1082" s="200"/>
    </row>
    <row r="1083" spans="4:8">
      <c r="D1083" s="142">
        <v>4523</v>
      </c>
      <c r="F1083" s="17"/>
      <c r="G1083" s="17"/>
      <c r="H1083" s="200"/>
    </row>
    <row r="1084" spans="4:8">
      <c r="D1084" s="142">
        <v>4527</v>
      </c>
      <c r="F1084" s="17"/>
      <c r="G1084" s="17"/>
      <c r="H1084" s="200"/>
    </row>
    <row r="1085" spans="4:8">
      <c r="D1085" s="142">
        <v>4528</v>
      </c>
      <c r="F1085" s="17"/>
      <c r="G1085" s="17"/>
      <c r="H1085" s="200"/>
    </row>
    <row r="1086" spans="4:8">
      <c r="D1086" s="142">
        <v>4529</v>
      </c>
      <c r="F1086" s="17"/>
      <c r="G1086" s="17"/>
      <c r="H1086" s="200"/>
    </row>
    <row r="1087" spans="4:8">
      <c r="D1087" s="142">
        <v>4530</v>
      </c>
      <c r="F1087" s="17"/>
      <c r="G1087" s="17"/>
      <c r="H1087" s="200"/>
    </row>
    <row r="1088" spans="4:8">
      <c r="D1088" s="142">
        <v>4533</v>
      </c>
      <c r="F1088" s="17"/>
      <c r="G1088" s="17"/>
      <c r="H1088" s="200"/>
    </row>
    <row r="1089" spans="4:8">
      <c r="D1089" s="142">
        <v>4534</v>
      </c>
      <c r="F1089" s="17"/>
      <c r="G1089" s="17"/>
      <c r="H1089" s="200"/>
    </row>
    <row r="1090" spans="4:8">
      <c r="D1090" s="142">
        <v>4535</v>
      </c>
      <c r="F1090" s="17"/>
      <c r="G1090" s="17"/>
      <c r="H1090" s="200"/>
    </row>
    <row r="1091" spans="4:8">
      <c r="D1091" s="142">
        <v>4541</v>
      </c>
      <c r="F1091" s="17"/>
      <c r="G1091" s="17"/>
      <c r="H1091" s="200"/>
    </row>
    <row r="1092" spans="4:8">
      <c r="D1092" s="142">
        <v>4542</v>
      </c>
      <c r="F1092" s="17"/>
      <c r="G1092" s="17"/>
      <c r="H1092" s="200"/>
    </row>
    <row r="1093" spans="4:8">
      <c r="D1093" s="142">
        <v>4549</v>
      </c>
      <c r="F1093" s="17"/>
      <c r="G1093" s="17"/>
      <c r="H1093" s="200"/>
    </row>
    <row r="1094" spans="4:8">
      <c r="D1094" s="142">
        <v>4550</v>
      </c>
      <c r="F1094" s="17"/>
      <c r="G1094" s="17"/>
      <c r="H1094" s="200"/>
    </row>
    <row r="1095" spans="4:8">
      <c r="D1095" s="142">
        <v>4609</v>
      </c>
      <c r="F1095" s="17"/>
      <c r="G1095" s="17"/>
      <c r="H1095" s="200"/>
    </row>
    <row r="1096" spans="4:8">
      <c r="D1096" s="142">
        <v>4702</v>
      </c>
      <c r="F1096" s="17"/>
      <c r="G1096" s="17"/>
      <c r="H1096" s="200"/>
    </row>
    <row r="1097" spans="4:8">
      <c r="D1097" s="142">
        <v>4706</v>
      </c>
      <c r="F1097" s="17"/>
      <c r="G1097" s="17"/>
      <c r="H1097" s="200"/>
    </row>
    <row r="1098" spans="4:8">
      <c r="D1098" s="142">
        <v>4711</v>
      </c>
      <c r="F1098" s="17"/>
      <c r="G1098" s="17"/>
      <c r="H1098" s="200"/>
    </row>
    <row r="1099" spans="4:8">
      <c r="D1099" s="142">
        <v>4712</v>
      </c>
      <c r="F1099" s="17"/>
      <c r="G1099" s="17"/>
      <c r="H1099" s="200"/>
    </row>
    <row r="1100" spans="4:8">
      <c r="D1100" s="142">
        <v>4714</v>
      </c>
      <c r="F1100" s="17"/>
      <c r="G1100" s="17"/>
      <c r="H1100" s="200"/>
    </row>
    <row r="1101" spans="4:8">
      <c r="D1101" s="142">
        <v>4716</v>
      </c>
      <c r="F1101" s="17"/>
      <c r="G1101" s="17"/>
      <c r="H1101" s="200"/>
    </row>
    <row r="1102" spans="4:8">
      <c r="D1102" s="142">
        <v>4721</v>
      </c>
      <c r="F1102" s="17"/>
      <c r="G1102" s="17"/>
      <c r="H1102" s="200"/>
    </row>
    <row r="1103" spans="4:8">
      <c r="D1103" s="142">
        <v>4726</v>
      </c>
      <c r="F1103" s="17"/>
      <c r="G1103" s="17"/>
      <c r="H1103" s="200"/>
    </row>
    <row r="1104" spans="4:8">
      <c r="D1104" s="142">
        <v>4728</v>
      </c>
      <c r="F1104" s="17"/>
      <c r="G1104" s="17"/>
      <c r="H1104" s="200"/>
    </row>
    <row r="1105" spans="4:8">
      <c r="D1105" s="142">
        <v>4729</v>
      </c>
      <c r="F1105" s="17"/>
      <c r="G1105" s="17"/>
      <c r="H1105" s="200"/>
    </row>
    <row r="1106" spans="4:8">
      <c r="D1106" s="142">
        <v>4735</v>
      </c>
      <c r="F1106" s="17"/>
      <c r="G1106" s="17"/>
      <c r="H1106" s="200"/>
    </row>
    <row r="1107" spans="4:8">
      <c r="D1107" s="142">
        <v>4736</v>
      </c>
      <c r="F1107" s="17"/>
      <c r="G1107" s="17"/>
      <c r="H1107" s="200"/>
    </row>
    <row r="1108" spans="4:8">
      <c r="D1108" s="142">
        <v>4739</v>
      </c>
      <c r="F1108" s="17"/>
      <c r="G1108" s="17"/>
      <c r="H1108" s="200"/>
    </row>
    <row r="1109" spans="4:8">
      <c r="D1109" s="142">
        <v>4743</v>
      </c>
      <c r="F1109" s="17"/>
      <c r="G1109" s="17"/>
      <c r="H1109" s="200"/>
    </row>
    <row r="1110" spans="4:8">
      <c r="D1110" s="142">
        <v>4745</v>
      </c>
      <c r="F1110" s="17"/>
      <c r="G1110" s="17"/>
      <c r="H1110" s="200"/>
    </row>
    <row r="1111" spans="4:8">
      <c r="D1111" s="142">
        <v>4747</v>
      </c>
      <c r="F1111" s="17"/>
      <c r="G1111" s="17"/>
      <c r="H1111" s="200"/>
    </row>
    <row r="1112" spans="4:8">
      <c r="D1112" s="142">
        <v>4903</v>
      </c>
      <c r="F1112" s="17"/>
      <c r="G1112" s="17"/>
      <c r="H1112" s="200"/>
    </row>
    <row r="1113" spans="4:8">
      <c r="D1113" s="142">
        <v>4905</v>
      </c>
      <c r="F1113" s="17"/>
      <c r="G1113" s="17"/>
      <c r="H1113" s="200"/>
    </row>
    <row r="1114" spans="4:8">
      <c r="D1114" s="142">
        <v>4907</v>
      </c>
      <c r="F1114" s="17"/>
      <c r="G1114" s="17"/>
      <c r="H1114" s="200"/>
    </row>
    <row r="1115" spans="4:8">
      <c r="D1115" s="142">
        <v>4908</v>
      </c>
      <c r="F1115" s="17"/>
      <c r="G1115" s="17"/>
      <c r="H1115" s="200"/>
    </row>
    <row r="1116" spans="4:8">
      <c r="D1116" s="142">
        <v>4909</v>
      </c>
      <c r="F1116" s="17"/>
      <c r="G1116" s="17"/>
      <c r="H1116" s="200"/>
    </row>
    <row r="1117" spans="4:8">
      <c r="D1117" s="142">
        <v>4911</v>
      </c>
      <c r="F1117" s="17"/>
      <c r="G1117" s="17"/>
      <c r="H1117" s="200"/>
    </row>
    <row r="1118" spans="4:8">
      <c r="D1118" s="142">
        <v>4924</v>
      </c>
      <c r="F1118" s="17"/>
      <c r="G1118" s="17"/>
      <c r="H1118" s="200"/>
    </row>
    <row r="1119" spans="4:8">
      <c r="D1119" s="142">
        <v>4933</v>
      </c>
      <c r="F1119" s="17"/>
      <c r="G1119" s="17"/>
      <c r="H1119" s="200"/>
    </row>
    <row r="1120" spans="4:8">
      <c r="D1120" s="142">
        <v>4939</v>
      </c>
      <c r="F1120" s="17"/>
      <c r="G1120" s="17"/>
      <c r="H1120" s="200"/>
    </row>
    <row r="1121" spans="4:8">
      <c r="D1121" s="142">
        <v>4944</v>
      </c>
      <c r="F1121" s="17"/>
      <c r="G1121" s="17"/>
      <c r="H1121" s="200"/>
    </row>
    <row r="1122" spans="4:8">
      <c r="D1122" s="142">
        <v>4946</v>
      </c>
      <c r="F1122" s="17"/>
      <c r="G1122" s="17"/>
      <c r="H1122" s="200"/>
    </row>
    <row r="1123" spans="4:8">
      <c r="D1123" s="142">
        <v>4947</v>
      </c>
      <c r="F1123" s="17"/>
      <c r="G1123" s="17"/>
      <c r="H1123" s="200"/>
    </row>
    <row r="1124" spans="4:8">
      <c r="D1124" s="142">
        <v>4950</v>
      </c>
      <c r="F1124" s="17"/>
      <c r="G1124" s="17"/>
      <c r="H1124" s="200"/>
    </row>
    <row r="1125" spans="4:8">
      <c r="D1125" s="142">
        <v>4953</v>
      </c>
      <c r="F1125" s="17"/>
      <c r="G1125" s="17"/>
      <c r="H1125" s="200"/>
    </row>
    <row r="1126" spans="4:8">
      <c r="D1126" s="142">
        <v>4965</v>
      </c>
      <c r="F1126" s="17"/>
      <c r="G1126" s="17"/>
      <c r="H1126" s="200"/>
    </row>
    <row r="1127" spans="4:8">
      <c r="D1127" s="142">
        <v>4966</v>
      </c>
      <c r="F1127" s="17"/>
      <c r="G1127" s="17"/>
      <c r="H1127" s="200"/>
    </row>
    <row r="1128" spans="4:8">
      <c r="D1128" s="142">
        <v>4971</v>
      </c>
      <c r="F1128" s="17"/>
      <c r="G1128" s="17"/>
      <c r="H1128" s="200"/>
    </row>
    <row r="1129" spans="4:8">
      <c r="D1129" s="142">
        <v>4972</v>
      </c>
      <c r="F1129" s="17"/>
      <c r="G1129" s="17"/>
      <c r="H1129" s="200"/>
    </row>
    <row r="1130" spans="4:8">
      <c r="D1130" s="142">
        <v>4973</v>
      </c>
      <c r="F1130" s="17"/>
      <c r="G1130" s="17"/>
      <c r="H1130" s="200"/>
    </row>
    <row r="1131" spans="4:8">
      <c r="D1131" s="142">
        <v>4974</v>
      </c>
      <c r="F1131" s="17"/>
      <c r="G1131" s="17"/>
      <c r="H1131" s="200"/>
    </row>
    <row r="1132" spans="4:8">
      <c r="D1132" s="142">
        <v>4979</v>
      </c>
      <c r="F1132" s="17"/>
      <c r="G1132" s="17"/>
      <c r="H1132" s="200"/>
    </row>
    <row r="1133" spans="4:8">
      <c r="D1133" s="142">
        <v>4987</v>
      </c>
      <c r="F1133" s="17"/>
      <c r="G1133" s="17"/>
      <c r="H1133" s="200"/>
    </row>
    <row r="1134" spans="4:8">
      <c r="D1134" s="142">
        <v>4991</v>
      </c>
      <c r="F1134" s="17"/>
      <c r="G1134" s="17"/>
      <c r="H1134" s="200"/>
    </row>
    <row r="1135" spans="4:8">
      <c r="D1135" s="142">
        <v>4995</v>
      </c>
      <c r="F1135" s="17"/>
      <c r="G1135" s="17"/>
      <c r="H1135" s="200"/>
    </row>
    <row r="1136" spans="4:8">
      <c r="D1136" s="142">
        <v>5009</v>
      </c>
      <c r="F1136" s="17"/>
      <c r="G1136" s="17"/>
      <c r="H1136" s="200"/>
    </row>
    <row r="1137" spans="4:8">
      <c r="D1137" s="142">
        <v>5011</v>
      </c>
      <c r="F1137" s="17"/>
      <c r="G1137" s="17"/>
      <c r="H1137" s="200"/>
    </row>
    <row r="1138" spans="4:8">
      <c r="D1138" s="142">
        <v>5013</v>
      </c>
      <c r="F1138" s="17"/>
      <c r="G1138" s="17"/>
      <c r="H1138" s="200"/>
    </row>
    <row r="1139" spans="4:8">
      <c r="D1139" s="142">
        <v>5014</v>
      </c>
      <c r="F1139" s="17"/>
      <c r="G1139" s="17"/>
      <c r="H1139" s="200"/>
    </row>
    <row r="1140" spans="4:8">
      <c r="D1140" s="142">
        <v>5015</v>
      </c>
      <c r="F1140" s="17"/>
      <c r="G1140" s="17"/>
      <c r="H1140" s="200"/>
    </row>
    <row r="1141" spans="4:8">
      <c r="D1141" s="142">
        <v>5016</v>
      </c>
      <c r="F1141" s="17"/>
      <c r="G1141" s="17"/>
      <c r="H1141" s="200"/>
    </row>
    <row r="1142" spans="4:8">
      <c r="D1142" s="142">
        <v>5102</v>
      </c>
      <c r="F1142" s="17"/>
      <c r="G1142" s="17"/>
      <c r="H1142" s="200"/>
    </row>
    <row r="1143" spans="4:8">
      <c r="D1143" s="142">
        <v>5201</v>
      </c>
      <c r="F1143" s="17"/>
      <c r="G1143" s="17"/>
      <c r="H1143" s="200"/>
    </row>
    <row r="1144" spans="4:8">
      <c r="D1144" s="142">
        <v>5202</v>
      </c>
      <c r="F1144" s="17"/>
      <c r="G1144" s="17"/>
      <c r="H1144" s="200"/>
    </row>
    <row r="1145" spans="4:8">
      <c r="D1145" s="142">
        <v>5205</v>
      </c>
      <c r="F1145" s="17"/>
      <c r="G1145" s="17"/>
      <c r="H1145" s="200"/>
    </row>
    <row r="1146" spans="4:8">
      <c r="D1146" s="142">
        <v>5206</v>
      </c>
      <c r="F1146" s="17"/>
      <c r="G1146" s="17"/>
      <c r="H1146" s="200"/>
    </row>
    <row r="1147" spans="4:8">
      <c r="D1147" s="142">
        <v>5209</v>
      </c>
      <c r="F1147" s="17"/>
      <c r="G1147" s="17"/>
      <c r="H1147" s="200"/>
    </row>
    <row r="1148" spans="4:8">
      <c r="D1148" s="142">
        <v>5210</v>
      </c>
      <c r="F1148" s="17"/>
      <c r="G1148" s="17"/>
      <c r="H1148" s="200"/>
    </row>
    <row r="1149" spans="4:8">
      <c r="D1149" s="142">
        <v>5211</v>
      </c>
      <c r="F1149" s="17"/>
      <c r="G1149" s="17"/>
      <c r="H1149" s="200"/>
    </row>
    <row r="1150" spans="4:8">
      <c r="D1150" s="142">
        <v>5212</v>
      </c>
      <c r="F1150" s="17"/>
      <c r="G1150" s="17"/>
      <c r="H1150" s="200"/>
    </row>
    <row r="1151" spans="4:8">
      <c r="D1151" s="142">
        <v>5213</v>
      </c>
      <c r="F1151" s="17"/>
      <c r="G1151" s="17"/>
      <c r="H1151" s="200"/>
    </row>
    <row r="1152" spans="4:8">
      <c r="D1152" s="142">
        <v>5227</v>
      </c>
      <c r="F1152" s="17"/>
      <c r="G1152" s="17"/>
      <c r="H1152" s="200"/>
    </row>
    <row r="1153" spans="4:8">
      <c r="D1153" s="142">
        <v>5230</v>
      </c>
      <c r="F1153" s="17"/>
      <c r="G1153" s="17"/>
      <c r="H1153" s="200"/>
    </row>
    <row r="1154" spans="4:8">
      <c r="D1154" s="142">
        <v>5245</v>
      </c>
      <c r="F1154" s="17"/>
      <c r="G1154" s="17"/>
      <c r="H1154" s="200"/>
    </row>
    <row r="1155" spans="4:8">
      <c r="D1155" s="142">
        <v>5251</v>
      </c>
      <c r="F1155" s="17"/>
      <c r="G1155" s="17"/>
      <c r="H1155" s="200"/>
    </row>
    <row r="1156" spans="4:8">
      <c r="D1156" s="142">
        <v>5255</v>
      </c>
      <c r="F1156" s="17"/>
      <c r="G1156" s="17"/>
      <c r="H1156" s="200"/>
    </row>
    <row r="1157" spans="4:8">
      <c r="D1157" s="142">
        <v>5263</v>
      </c>
      <c r="F1157" s="17"/>
      <c r="G1157" s="17"/>
      <c r="H1157" s="200"/>
    </row>
    <row r="1158" spans="4:8">
      <c r="D1158" s="142">
        <v>5266</v>
      </c>
      <c r="F1158" s="17"/>
      <c r="G1158" s="17"/>
      <c r="H1158" s="200"/>
    </row>
    <row r="1159" spans="4:8">
      <c r="D1159" s="142">
        <v>5272</v>
      </c>
      <c r="F1159" s="17"/>
      <c r="G1159" s="17"/>
      <c r="H1159" s="200"/>
    </row>
    <row r="1160" spans="4:8">
      <c r="D1160" s="142">
        <v>5274</v>
      </c>
      <c r="F1160" s="17"/>
      <c r="G1160" s="17"/>
      <c r="H1160" s="200"/>
    </row>
    <row r="1161" spans="4:8">
      <c r="D1161" s="142">
        <v>5276</v>
      </c>
      <c r="F1161" s="17"/>
      <c r="G1161" s="17"/>
      <c r="H1161" s="200"/>
    </row>
    <row r="1162" spans="4:8">
      <c r="D1162" s="142">
        <v>5278</v>
      </c>
      <c r="F1162" s="17"/>
      <c r="G1162" s="17"/>
      <c r="H1162" s="200"/>
    </row>
    <row r="1163" spans="4:8">
      <c r="D1163" s="142">
        <v>5284</v>
      </c>
      <c r="F1163" s="17"/>
      <c r="G1163" s="17"/>
      <c r="H1163" s="200"/>
    </row>
    <row r="1164" spans="4:8">
      <c r="D1164" s="142">
        <v>5287</v>
      </c>
      <c r="F1164" s="17"/>
      <c r="G1164" s="17"/>
      <c r="H1164" s="200"/>
    </row>
    <row r="1165" spans="4:8">
      <c r="D1165" s="142">
        <v>5289</v>
      </c>
      <c r="F1165" s="17"/>
      <c r="G1165" s="17"/>
      <c r="H1165" s="200"/>
    </row>
    <row r="1166" spans="4:8">
      <c r="D1166" s="142">
        <v>5291</v>
      </c>
      <c r="F1166" s="17"/>
      <c r="G1166" s="17"/>
      <c r="H1166" s="200"/>
    </row>
    <row r="1167" spans="4:8">
      <c r="D1167" s="142">
        <v>5301</v>
      </c>
      <c r="F1167" s="17"/>
      <c r="G1167" s="17"/>
      <c r="H1167" s="200"/>
    </row>
    <row r="1168" spans="4:8">
      <c r="D1168" s="142">
        <v>5302</v>
      </c>
      <c r="F1168" s="17"/>
      <c r="G1168" s="17"/>
      <c r="H1168" s="200"/>
    </row>
    <row r="1169" spans="4:8">
      <c r="D1169" s="142">
        <v>5304</v>
      </c>
      <c r="F1169" s="17"/>
      <c r="G1169" s="17"/>
      <c r="H1169" s="200"/>
    </row>
    <row r="1170" spans="4:8">
      <c r="D1170" s="142">
        <v>5306</v>
      </c>
      <c r="F1170" s="17"/>
      <c r="G1170" s="17"/>
      <c r="H1170" s="200"/>
    </row>
    <row r="1171" spans="4:8">
      <c r="D1171" s="142">
        <v>5309</v>
      </c>
      <c r="F1171" s="17"/>
      <c r="G1171" s="17"/>
      <c r="H1171" s="200"/>
    </row>
    <row r="1172" spans="4:8">
      <c r="D1172" s="142">
        <v>5310</v>
      </c>
      <c r="F1172" s="17"/>
      <c r="G1172" s="17"/>
      <c r="H1172" s="200"/>
    </row>
    <row r="1173" spans="4:8">
      <c r="D1173" s="142">
        <v>5312</v>
      </c>
      <c r="F1173" s="17"/>
      <c r="G1173" s="17"/>
      <c r="H1173" s="200"/>
    </row>
    <row r="1174" spans="4:8">
      <c r="D1174" s="142">
        <v>5314</v>
      </c>
      <c r="F1174" s="17"/>
      <c r="G1174" s="17"/>
      <c r="H1174" s="200"/>
    </row>
    <row r="1175" spans="4:8">
      <c r="D1175" s="142">
        <v>5315</v>
      </c>
      <c r="F1175" s="17"/>
      <c r="G1175" s="17"/>
      <c r="H1175" s="200"/>
    </row>
    <row r="1176" spans="4:8">
      <c r="D1176" s="142">
        <v>5317</v>
      </c>
      <c r="F1176" s="17"/>
      <c r="G1176" s="17"/>
      <c r="H1176" s="200"/>
    </row>
    <row r="1177" spans="4:8">
      <c r="D1177" s="142">
        <v>5321</v>
      </c>
      <c r="F1177" s="17"/>
      <c r="G1177" s="17"/>
      <c r="H1177" s="200"/>
    </row>
    <row r="1178" spans="4:8">
      <c r="D1178" s="142">
        <v>5324</v>
      </c>
      <c r="F1178" s="17"/>
      <c r="G1178" s="17"/>
      <c r="H1178" s="200"/>
    </row>
    <row r="1179" spans="4:8">
      <c r="D1179" s="142">
        <v>5328</v>
      </c>
      <c r="F1179" s="17"/>
      <c r="G1179" s="17"/>
      <c r="H1179" s="200"/>
    </row>
    <row r="1180" spans="4:8">
      <c r="D1180" s="142">
        <v>5340</v>
      </c>
      <c r="F1180" s="17"/>
      <c r="G1180" s="17"/>
      <c r="H1180" s="200"/>
    </row>
    <row r="1181" spans="4:8">
      <c r="D1181" s="142">
        <v>5344</v>
      </c>
      <c r="F1181" s="17"/>
      <c r="G1181" s="17"/>
      <c r="H1181" s="200"/>
    </row>
    <row r="1182" spans="4:8">
      <c r="D1182" s="142">
        <v>5345</v>
      </c>
      <c r="F1182" s="17"/>
      <c r="G1182" s="17"/>
      <c r="H1182" s="200"/>
    </row>
    <row r="1183" spans="4:8">
      <c r="D1183" s="142">
        <v>5347</v>
      </c>
      <c r="F1183" s="17"/>
      <c r="G1183" s="17"/>
      <c r="H1183" s="200"/>
    </row>
    <row r="1184" spans="4:8">
      <c r="D1184" s="142">
        <v>5348</v>
      </c>
      <c r="F1184" s="17"/>
      <c r="G1184" s="17"/>
      <c r="H1184" s="200"/>
    </row>
    <row r="1185" spans="4:8">
      <c r="D1185" s="142">
        <v>5349</v>
      </c>
      <c r="F1185" s="17"/>
      <c r="G1185" s="17"/>
      <c r="H1185" s="200"/>
    </row>
    <row r="1186" spans="4:8">
      <c r="D1186" s="142">
        <v>5351</v>
      </c>
      <c r="F1186" s="17"/>
      <c r="G1186" s="17"/>
      <c r="H1186" s="200"/>
    </row>
    <row r="1187" spans="4:8">
      <c r="D1187" s="142">
        <v>5353</v>
      </c>
      <c r="F1187" s="17"/>
      <c r="G1187" s="17"/>
      <c r="H1187" s="200"/>
    </row>
    <row r="1188" spans="4:8">
      <c r="D1188" s="142">
        <v>5355</v>
      </c>
      <c r="F1188" s="17"/>
      <c r="G1188" s="17"/>
      <c r="H1188" s="200"/>
    </row>
    <row r="1189" spans="4:8">
      <c r="D1189" s="142">
        <v>5356</v>
      </c>
      <c r="F1189" s="17"/>
      <c r="G1189" s="17"/>
      <c r="H1189" s="200"/>
    </row>
    <row r="1190" spans="4:8">
      <c r="D1190" s="142">
        <v>5364</v>
      </c>
      <c r="F1190" s="17"/>
      <c r="G1190" s="17"/>
      <c r="H1190" s="200"/>
    </row>
    <row r="1191" spans="4:8">
      <c r="D1191" s="142">
        <v>5371</v>
      </c>
      <c r="F1191" s="17"/>
      <c r="G1191" s="17"/>
      <c r="H1191" s="200"/>
    </row>
    <row r="1192" spans="4:8">
      <c r="D1192" s="142">
        <v>5381</v>
      </c>
      <c r="F1192" s="17"/>
      <c r="G1192" s="17"/>
      <c r="H1192" s="200"/>
    </row>
    <row r="1193" spans="4:8">
      <c r="D1193" s="142">
        <v>5383</v>
      </c>
      <c r="F1193" s="17"/>
      <c r="G1193" s="17"/>
      <c r="H1193" s="200"/>
    </row>
    <row r="1194" spans="4:8">
      <c r="D1194" s="142">
        <v>5384</v>
      </c>
      <c r="F1194" s="17"/>
      <c r="G1194" s="17"/>
      <c r="H1194" s="200"/>
    </row>
    <row r="1195" spans="4:8">
      <c r="D1195" s="142">
        <v>5386</v>
      </c>
      <c r="F1195" s="17"/>
      <c r="G1195" s="17"/>
      <c r="H1195" s="200"/>
    </row>
    <row r="1196" spans="4:8">
      <c r="D1196" s="142">
        <v>5392</v>
      </c>
      <c r="F1196" s="17"/>
      <c r="G1196" s="17"/>
      <c r="H1196" s="200"/>
    </row>
    <row r="1197" spans="4:8">
      <c r="D1197" s="142">
        <v>5395</v>
      </c>
      <c r="F1197" s="17"/>
      <c r="G1197" s="17"/>
      <c r="H1197" s="200"/>
    </row>
    <row r="1198" spans="4:8">
      <c r="D1198" s="142">
        <v>5398</v>
      </c>
      <c r="F1198" s="17"/>
      <c r="G1198" s="17"/>
      <c r="H1198" s="200"/>
    </row>
    <row r="1199" spans="4:8">
      <c r="D1199" s="142">
        <v>5403</v>
      </c>
      <c r="F1199" s="17"/>
      <c r="G1199" s="17"/>
      <c r="H1199" s="200"/>
    </row>
    <row r="1200" spans="4:8">
      <c r="D1200" s="142">
        <v>5410</v>
      </c>
      <c r="F1200" s="17"/>
      <c r="G1200" s="17"/>
      <c r="H1200" s="200"/>
    </row>
    <row r="1201" spans="4:8">
      <c r="D1201" s="142">
        <v>5425</v>
      </c>
      <c r="F1201" s="17"/>
      <c r="G1201" s="17"/>
      <c r="H1201" s="200"/>
    </row>
    <row r="1202" spans="4:8">
      <c r="D1202" s="142">
        <v>5426</v>
      </c>
      <c r="F1202" s="17"/>
      <c r="G1202" s="17"/>
      <c r="H1202" s="200"/>
    </row>
    <row r="1203" spans="4:8">
      <c r="D1203" s="142">
        <v>5432</v>
      </c>
      <c r="F1203" s="17"/>
      <c r="G1203" s="17"/>
      <c r="H1203" s="200"/>
    </row>
    <row r="1204" spans="4:8">
      <c r="D1204" s="142">
        <v>5438</v>
      </c>
      <c r="F1204" s="17"/>
      <c r="G1204" s="17"/>
      <c r="H1204" s="200"/>
    </row>
    <row r="1205" spans="4:8">
      <c r="D1205" s="142">
        <v>5439</v>
      </c>
      <c r="F1205" s="17"/>
      <c r="G1205" s="17"/>
      <c r="H1205" s="200"/>
    </row>
    <row r="1206" spans="4:8">
      <c r="D1206" s="142">
        <v>5443</v>
      </c>
      <c r="F1206" s="17"/>
      <c r="G1206" s="17"/>
      <c r="H1206" s="200"/>
    </row>
    <row r="1207" spans="4:8">
      <c r="D1207" s="142">
        <v>5450</v>
      </c>
      <c r="F1207" s="17"/>
      <c r="G1207" s="17"/>
      <c r="H1207" s="200"/>
    </row>
    <row r="1208" spans="4:8">
      <c r="D1208" s="142">
        <v>5452</v>
      </c>
      <c r="F1208" s="17"/>
      <c r="G1208" s="17"/>
      <c r="H1208" s="200"/>
    </row>
    <row r="1209" spans="4:8">
      <c r="D1209" s="142">
        <v>5455</v>
      </c>
      <c r="F1209" s="17"/>
      <c r="G1209" s="17"/>
      <c r="H1209" s="200"/>
    </row>
    <row r="1210" spans="4:8">
      <c r="D1210" s="142">
        <v>5457</v>
      </c>
      <c r="F1210" s="17"/>
      <c r="G1210" s="17"/>
      <c r="H1210" s="200"/>
    </row>
    <row r="1211" spans="4:8">
      <c r="D1211" s="142">
        <v>5460</v>
      </c>
      <c r="F1211" s="17"/>
      <c r="G1211" s="17"/>
      <c r="H1211" s="200"/>
    </row>
    <row r="1212" spans="4:8">
      <c r="D1212" s="142">
        <v>5464</v>
      </c>
      <c r="F1212" s="17"/>
      <c r="G1212" s="17"/>
      <c r="H1212" s="200"/>
    </row>
    <row r="1213" spans="4:8">
      <c r="D1213" s="142">
        <v>5465</v>
      </c>
      <c r="F1213" s="17"/>
      <c r="G1213" s="17"/>
      <c r="H1213" s="200"/>
    </row>
    <row r="1214" spans="4:8">
      <c r="D1214" s="142">
        <v>5468</v>
      </c>
      <c r="F1214" s="17"/>
      <c r="G1214" s="17"/>
      <c r="H1214" s="200"/>
    </row>
    <row r="1215" spans="4:8">
      <c r="D1215" s="142">
        <v>5474</v>
      </c>
      <c r="F1215" s="17"/>
      <c r="G1215" s="17"/>
      <c r="H1215" s="200"/>
    </row>
    <row r="1216" spans="4:8">
      <c r="D1216" s="142">
        <v>5475</v>
      </c>
      <c r="F1216" s="17"/>
      <c r="G1216" s="17"/>
      <c r="H1216" s="200"/>
    </row>
    <row r="1217" spans="4:8">
      <c r="D1217" s="142">
        <v>5478</v>
      </c>
      <c r="F1217" s="17"/>
      <c r="G1217" s="17"/>
      <c r="H1217" s="200"/>
    </row>
    <row r="1218" spans="4:8">
      <c r="D1218" s="142">
        <v>5480</v>
      </c>
      <c r="F1218" s="17"/>
      <c r="G1218" s="17"/>
      <c r="H1218" s="200"/>
    </row>
    <row r="1219" spans="4:8">
      <c r="D1219" s="142">
        <v>5481</v>
      </c>
      <c r="F1219" s="17"/>
      <c r="G1219" s="17"/>
      <c r="H1219" s="200"/>
    </row>
    <row r="1220" spans="4:8">
      <c r="D1220" s="142">
        <v>5483</v>
      </c>
      <c r="F1220" s="17"/>
      <c r="G1220" s="17"/>
      <c r="H1220" s="200"/>
    </row>
    <row r="1221" spans="4:8">
      <c r="D1221" s="142">
        <v>5487</v>
      </c>
      <c r="F1221" s="17"/>
      <c r="G1221" s="17"/>
      <c r="H1221" s="200"/>
    </row>
    <row r="1222" spans="4:8">
      <c r="D1222" s="142">
        <v>5488</v>
      </c>
      <c r="F1222" s="17"/>
      <c r="G1222" s="17"/>
      <c r="H1222" s="200"/>
    </row>
    <row r="1223" spans="4:8">
      <c r="D1223" s="142">
        <v>5489</v>
      </c>
      <c r="F1223" s="17"/>
      <c r="G1223" s="17"/>
      <c r="H1223" s="200"/>
    </row>
    <row r="1224" spans="4:8">
      <c r="D1224" s="142">
        <v>5490</v>
      </c>
      <c r="F1224" s="17"/>
      <c r="G1224" s="17"/>
      <c r="H1224" s="200"/>
    </row>
    <row r="1225" spans="4:8">
      <c r="D1225" s="142">
        <v>5506</v>
      </c>
      <c r="F1225" s="17"/>
      <c r="G1225" s="17"/>
      <c r="H1225" s="200"/>
    </row>
    <row r="1226" spans="4:8">
      <c r="D1226" s="142">
        <v>5508</v>
      </c>
      <c r="F1226" s="17"/>
      <c r="G1226" s="17"/>
      <c r="H1226" s="200"/>
    </row>
    <row r="1227" spans="4:8">
      <c r="D1227" s="142">
        <v>5511</v>
      </c>
      <c r="F1227" s="17"/>
      <c r="G1227" s="17"/>
      <c r="H1227" s="200"/>
    </row>
    <row r="1228" spans="4:8">
      <c r="D1228" s="142">
        <v>5512</v>
      </c>
      <c r="F1228" s="17"/>
      <c r="G1228" s="17"/>
      <c r="H1228" s="200"/>
    </row>
    <row r="1229" spans="4:8">
      <c r="D1229" s="142">
        <v>5514</v>
      </c>
      <c r="F1229" s="17"/>
      <c r="G1229" s="17"/>
      <c r="H1229" s="200"/>
    </row>
    <row r="1230" spans="4:8">
      <c r="D1230" s="142">
        <v>5516</v>
      </c>
      <c r="F1230" s="17"/>
      <c r="G1230" s="17"/>
      <c r="H1230" s="200"/>
    </row>
    <row r="1231" spans="4:8">
      <c r="D1231" s="142">
        <v>5520</v>
      </c>
      <c r="F1231" s="17"/>
      <c r="G1231" s="17"/>
      <c r="H1231" s="200"/>
    </row>
    <row r="1232" spans="4:8">
      <c r="D1232" s="142">
        <v>5523</v>
      </c>
      <c r="F1232" s="17"/>
      <c r="G1232" s="17"/>
      <c r="H1232" s="200"/>
    </row>
    <row r="1233" spans="4:8">
      <c r="D1233" s="142">
        <v>5529</v>
      </c>
      <c r="F1233" s="17"/>
      <c r="G1233" s="17"/>
      <c r="H1233" s="200"/>
    </row>
    <row r="1234" spans="4:8">
      <c r="D1234" s="142">
        <v>5530</v>
      </c>
      <c r="F1234" s="17"/>
      <c r="G1234" s="17"/>
      <c r="H1234" s="200"/>
    </row>
    <row r="1235" spans="4:8">
      <c r="D1235" s="142">
        <v>5536</v>
      </c>
      <c r="F1235" s="17"/>
      <c r="G1235" s="17"/>
      <c r="H1235" s="200"/>
    </row>
    <row r="1236" spans="4:8">
      <c r="D1236" s="142">
        <v>5601</v>
      </c>
      <c r="F1236" s="17"/>
      <c r="G1236" s="17"/>
      <c r="H1236" s="200"/>
    </row>
    <row r="1237" spans="4:8">
      <c r="D1237" s="142">
        <v>5603</v>
      </c>
      <c r="F1237" s="17"/>
      <c r="G1237" s="17"/>
      <c r="H1237" s="200"/>
    </row>
    <row r="1238" spans="4:8">
      <c r="D1238" s="142">
        <v>5604</v>
      </c>
      <c r="F1238" s="17"/>
      <c r="G1238" s="17"/>
      <c r="H1238" s="200"/>
    </row>
    <row r="1239" spans="4:8">
      <c r="D1239" s="142">
        <v>5609</v>
      </c>
      <c r="F1239" s="17"/>
      <c r="G1239" s="17"/>
      <c r="H1239" s="200"/>
    </row>
    <row r="1240" spans="4:8">
      <c r="D1240" s="142">
        <v>5701</v>
      </c>
      <c r="F1240" s="17"/>
      <c r="G1240" s="17"/>
      <c r="H1240" s="200"/>
    </row>
    <row r="1241" spans="4:8">
      <c r="D1241" s="142">
        <v>5703</v>
      </c>
      <c r="F1241" s="17"/>
      <c r="G1241" s="17"/>
      <c r="H1241" s="200"/>
    </row>
    <row r="1242" spans="4:8">
      <c r="D1242" s="142">
        <v>5704</v>
      </c>
      <c r="F1242" s="17"/>
      <c r="G1242" s="17"/>
      <c r="H1242" s="200"/>
    </row>
    <row r="1243" spans="4:8">
      <c r="D1243" s="142">
        <v>5902</v>
      </c>
      <c r="F1243" s="17"/>
      <c r="G1243" s="17"/>
      <c r="H1243" s="200"/>
    </row>
    <row r="1244" spans="4:8">
      <c r="D1244" s="142">
        <v>5903</v>
      </c>
      <c r="F1244" s="17"/>
      <c r="G1244" s="17"/>
      <c r="H1244" s="200"/>
    </row>
    <row r="1245" spans="4:8">
      <c r="D1245" s="142">
        <v>5904</v>
      </c>
      <c r="F1245" s="17"/>
      <c r="G1245" s="17"/>
      <c r="H1245" s="200"/>
    </row>
    <row r="1246" spans="4:8">
      <c r="D1246" s="142">
        <v>5905</v>
      </c>
      <c r="F1246" s="17"/>
      <c r="G1246" s="17"/>
      <c r="H1246" s="200"/>
    </row>
    <row r="1247" spans="4:8">
      <c r="D1247" s="142">
        <v>6101</v>
      </c>
      <c r="F1247" s="17"/>
      <c r="G1247" s="17"/>
      <c r="H1247" s="200"/>
    </row>
    <row r="1248" spans="4:8">
      <c r="D1248" s="142">
        <v>6103</v>
      </c>
      <c r="F1248" s="17"/>
      <c r="G1248" s="17"/>
      <c r="H1248" s="200"/>
    </row>
    <row r="1249" spans="4:8">
      <c r="D1249" s="142">
        <v>6104</v>
      </c>
      <c r="F1249" s="17"/>
      <c r="G1249" s="17"/>
      <c r="H1249" s="200"/>
    </row>
    <row r="1250" spans="4:8">
      <c r="D1250" s="142">
        <v>6105</v>
      </c>
      <c r="F1250" s="17"/>
      <c r="G1250" s="17"/>
      <c r="H1250" s="200"/>
    </row>
    <row r="1251" spans="4:8">
      <c r="D1251" s="142">
        <v>6107</v>
      </c>
      <c r="F1251" s="17"/>
      <c r="G1251" s="17"/>
      <c r="H1251" s="200"/>
    </row>
    <row r="1252" spans="4:8">
      <c r="D1252" s="142">
        <v>6109</v>
      </c>
      <c r="F1252" s="17"/>
      <c r="G1252" s="17"/>
      <c r="H1252" s="200"/>
    </row>
    <row r="1253" spans="4:8">
      <c r="D1253" s="142">
        <v>6111</v>
      </c>
      <c r="F1253" s="17"/>
      <c r="G1253" s="17"/>
      <c r="H1253" s="200"/>
    </row>
    <row r="1254" spans="4:8">
      <c r="D1254" s="142">
        <v>6113</v>
      </c>
      <c r="F1254" s="17"/>
      <c r="G1254" s="17"/>
      <c r="H1254" s="200"/>
    </row>
    <row r="1255" spans="4:8">
      <c r="D1255" s="142">
        <v>6114</v>
      </c>
      <c r="F1255" s="17"/>
      <c r="G1255" s="17"/>
      <c r="H1255" s="200"/>
    </row>
    <row r="1256" spans="4:8">
      <c r="D1256" s="142">
        <v>6118</v>
      </c>
      <c r="F1256" s="17"/>
      <c r="G1256" s="17"/>
      <c r="H1256" s="200"/>
    </row>
    <row r="1257" spans="4:8">
      <c r="D1257" s="142">
        <v>6121</v>
      </c>
      <c r="F1257" s="17"/>
      <c r="G1257" s="17"/>
      <c r="H1257" s="200"/>
    </row>
    <row r="1258" spans="4:8">
      <c r="D1258" s="142">
        <v>6122</v>
      </c>
      <c r="F1258" s="17"/>
      <c r="G1258" s="17"/>
      <c r="H1258" s="200"/>
    </row>
    <row r="1259" spans="4:8">
      <c r="D1259" s="142">
        <v>6123</v>
      </c>
      <c r="F1259" s="17"/>
      <c r="G1259" s="17"/>
      <c r="H1259" s="200"/>
    </row>
    <row r="1260" spans="4:8">
      <c r="D1260" s="142">
        <v>6124</v>
      </c>
      <c r="F1260" s="17"/>
      <c r="G1260" s="17"/>
      <c r="H1260" s="200"/>
    </row>
    <row r="1261" spans="4:8">
      <c r="D1261" s="142">
        <v>6125</v>
      </c>
      <c r="F1261" s="17"/>
      <c r="G1261" s="17"/>
      <c r="H1261" s="200"/>
    </row>
    <row r="1262" spans="4:8">
      <c r="D1262" s="142">
        <v>6126</v>
      </c>
      <c r="F1262" s="17"/>
      <c r="G1262" s="17"/>
      <c r="H1262" s="200"/>
    </row>
    <row r="1263" spans="4:8">
      <c r="D1263" s="142">
        <v>6127</v>
      </c>
      <c r="F1263" s="17"/>
      <c r="G1263" s="17"/>
      <c r="H1263" s="200"/>
    </row>
    <row r="1264" spans="4:8">
      <c r="D1264" s="142">
        <v>6129</v>
      </c>
      <c r="F1264" s="17"/>
      <c r="G1264" s="17"/>
      <c r="H1264" s="200"/>
    </row>
    <row r="1265" spans="4:8">
      <c r="D1265" s="142">
        <v>6130</v>
      </c>
      <c r="F1265" s="17"/>
      <c r="G1265" s="17"/>
      <c r="H1265" s="200"/>
    </row>
    <row r="1266" spans="4:8">
      <c r="D1266" s="142">
        <v>6134</v>
      </c>
      <c r="F1266" s="17"/>
      <c r="G1266" s="17"/>
      <c r="H1266" s="200"/>
    </row>
    <row r="1267" spans="4:8">
      <c r="D1267" s="142">
        <v>6138</v>
      </c>
      <c r="F1267" s="17"/>
      <c r="G1267" s="17"/>
      <c r="H1267" s="200"/>
    </row>
    <row r="1268" spans="4:8">
      <c r="D1268" s="142">
        <v>6140</v>
      </c>
      <c r="F1268" s="17"/>
      <c r="G1268" s="17"/>
      <c r="H1268" s="200"/>
    </row>
    <row r="1269" spans="4:8">
      <c r="D1269" s="142">
        <v>6143</v>
      </c>
      <c r="F1269" s="17"/>
      <c r="G1269" s="17"/>
      <c r="H1269" s="200"/>
    </row>
    <row r="1270" spans="4:8">
      <c r="D1270" s="142">
        <v>6144</v>
      </c>
      <c r="F1270" s="17"/>
      <c r="G1270" s="17"/>
      <c r="H1270" s="200"/>
    </row>
    <row r="1271" spans="4:8">
      <c r="D1271" s="142">
        <v>6146</v>
      </c>
      <c r="F1271" s="17"/>
      <c r="G1271" s="17"/>
      <c r="H1271" s="200"/>
    </row>
    <row r="1272" spans="4:8">
      <c r="D1272" s="142">
        <v>6147</v>
      </c>
      <c r="F1272" s="17"/>
      <c r="G1272" s="17"/>
      <c r="H1272" s="200"/>
    </row>
    <row r="1273" spans="4:8">
      <c r="D1273" s="142">
        <v>6148</v>
      </c>
      <c r="F1273" s="17"/>
      <c r="G1273" s="17"/>
      <c r="H1273" s="200"/>
    </row>
    <row r="1274" spans="4:8">
      <c r="D1274" s="142">
        <v>6150</v>
      </c>
      <c r="F1274" s="17"/>
      <c r="G1274" s="17"/>
      <c r="H1274" s="200"/>
    </row>
    <row r="1275" spans="4:8">
      <c r="D1275" s="142">
        <v>6151</v>
      </c>
      <c r="F1275" s="17"/>
      <c r="G1275" s="17"/>
      <c r="H1275" s="200"/>
    </row>
    <row r="1276" spans="4:8">
      <c r="D1276" s="142">
        <v>6154</v>
      </c>
      <c r="F1276" s="17"/>
      <c r="G1276" s="17"/>
      <c r="H1276" s="200"/>
    </row>
    <row r="1277" spans="4:8">
      <c r="D1277" s="142">
        <v>6156</v>
      </c>
      <c r="F1277" s="17"/>
      <c r="G1277" s="17"/>
      <c r="H1277" s="200"/>
    </row>
    <row r="1278" spans="4:8">
      <c r="D1278" s="142">
        <v>6158</v>
      </c>
      <c r="F1278" s="17"/>
      <c r="G1278" s="17"/>
      <c r="H1278" s="200"/>
    </row>
    <row r="1279" spans="4:8">
      <c r="D1279" s="142">
        <v>6160</v>
      </c>
      <c r="F1279" s="17"/>
      <c r="G1279" s="17"/>
      <c r="H1279" s="200"/>
    </row>
    <row r="1280" spans="4:8">
      <c r="D1280" s="142">
        <v>6161</v>
      </c>
      <c r="F1280" s="17"/>
      <c r="G1280" s="17"/>
      <c r="H1280" s="200"/>
    </row>
    <row r="1281" spans="4:8">
      <c r="D1281" s="142">
        <v>6163</v>
      </c>
      <c r="F1281" s="17"/>
      <c r="G1281" s="17"/>
      <c r="H1281" s="200"/>
    </row>
    <row r="1282" spans="4:8">
      <c r="D1282" s="142">
        <v>6167</v>
      </c>
      <c r="F1282" s="17"/>
      <c r="G1282" s="17"/>
      <c r="H1282" s="200"/>
    </row>
    <row r="1283" spans="4:8">
      <c r="D1283" s="142">
        <v>6169</v>
      </c>
      <c r="F1283" s="17"/>
      <c r="G1283" s="17"/>
      <c r="H1283" s="200"/>
    </row>
    <row r="1284" spans="4:8">
      <c r="D1284" s="142">
        <v>6170</v>
      </c>
      <c r="F1284" s="17"/>
      <c r="G1284" s="17"/>
      <c r="H1284" s="200"/>
    </row>
    <row r="1285" spans="4:8">
      <c r="D1285" s="142">
        <v>6173</v>
      </c>
      <c r="F1285" s="17"/>
      <c r="G1285" s="17"/>
      <c r="H1285" s="200"/>
    </row>
    <row r="1286" spans="4:8">
      <c r="D1286" s="142">
        <v>6174</v>
      </c>
      <c r="F1286" s="17"/>
      <c r="G1286" s="17"/>
      <c r="H1286" s="200"/>
    </row>
    <row r="1287" spans="4:8">
      <c r="D1287" s="142">
        <v>6175</v>
      </c>
      <c r="F1287" s="17"/>
      <c r="G1287" s="17"/>
      <c r="H1287" s="200"/>
    </row>
    <row r="1288" spans="4:8">
      <c r="D1288" s="142">
        <v>6179</v>
      </c>
      <c r="F1288" s="17"/>
      <c r="G1288" s="17"/>
      <c r="H1288" s="200"/>
    </row>
    <row r="1289" spans="4:8">
      <c r="D1289" s="142">
        <v>6180</v>
      </c>
      <c r="F1289" s="17"/>
      <c r="G1289" s="17"/>
      <c r="H1289" s="200"/>
    </row>
    <row r="1290" spans="4:8">
      <c r="D1290" s="142">
        <v>6182</v>
      </c>
      <c r="F1290" s="17"/>
      <c r="G1290" s="17"/>
      <c r="H1290" s="200"/>
    </row>
    <row r="1291" spans="4:8">
      <c r="D1291" s="142">
        <v>6185</v>
      </c>
      <c r="F1291" s="17"/>
      <c r="G1291" s="17"/>
      <c r="H1291" s="200"/>
    </row>
    <row r="1292" spans="4:8">
      <c r="D1292" s="142">
        <v>6186</v>
      </c>
      <c r="F1292" s="17"/>
      <c r="G1292" s="17"/>
      <c r="H1292" s="200"/>
    </row>
    <row r="1293" spans="4:8">
      <c r="D1293" s="142">
        <v>6187</v>
      </c>
      <c r="F1293" s="17"/>
      <c r="G1293" s="17"/>
      <c r="H1293" s="200"/>
    </row>
    <row r="1294" spans="4:8">
      <c r="D1294" s="142">
        <v>6188</v>
      </c>
      <c r="F1294" s="17"/>
      <c r="G1294" s="17"/>
      <c r="H1294" s="200"/>
    </row>
    <row r="1295" spans="4:8">
      <c r="D1295" s="142">
        <v>6190</v>
      </c>
      <c r="F1295" s="17"/>
      <c r="G1295" s="17"/>
      <c r="H1295" s="200"/>
    </row>
    <row r="1296" spans="4:8">
      <c r="D1296" s="142">
        <v>6194</v>
      </c>
      <c r="F1296" s="17"/>
      <c r="G1296" s="17"/>
      <c r="H1296" s="200"/>
    </row>
    <row r="1297" spans="4:8">
      <c r="D1297" s="142">
        <v>6195</v>
      </c>
      <c r="F1297" s="17"/>
      <c r="G1297" s="17"/>
      <c r="H1297" s="200"/>
    </row>
    <row r="1298" spans="4:8">
      <c r="D1298" s="142">
        <v>6198</v>
      </c>
      <c r="F1298" s="17"/>
      <c r="G1298" s="17"/>
      <c r="H1298" s="200"/>
    </row>
    <row r="1299" spans="4:8">
      <c r="D1299" s="142">
        <v>6199</v>
      </c>
      <c r="F1299" s="17"/>
      <c r="G1299" s="17"/>
      <c r="H1299" s="200"/>
    </row>
    <row r="1300" spans="4:8">
      <c r="D1300" s="142">
        <v>6203</v>
      </c>
      <c r="F1300" s="17"/>
      <c r="G1300" s="17"/>
      <c r="H1300" s="200"/>
    </row>
    <row r="1301" spans="4:8">
      <c r="D1301" s="142">
        <v>6204</v>
      </c>
      <c r="F1301" s="17"/>
      <c r="G1301" s="17"/>
      <c r="H1301" s="200"/>
    </row>
    <row r="1302" spans="4:8">
      <c r="D1302" s="142">
        <v>6207</v>
      </c>
      <c r="F1302" s="17"/>
      <c r="G1302" s="17"/>
      <c r="H1302" s="200"/>
    </row>
    <row r="1303" spans="4:8">
      <c r="D1303" s="142">
        <v>6208</v>
      </c>
      <c r="F1303" s="17"/>
      <c r="G1303" s="17"/>
      <c r="H1303" s="200"/>
    </row>
    <row r="1304" spans="4:8">
      <c r="D1304" s="142">
        <v>6210</v>
      </c>
      <c r="F1304" s="17"/>
      <c r="G1304" s="17"/>
      <c r="H1304" s="200"/>
    </row>
    <row r="1305" spans="4:8">
      <c r="D1305" s="142">
        <v>6212</v>
      </c>
      <c r="F1305" s="17"/>
      <c r="G1305" s="17"/>
      <c r="H1305" s="200"/>
    </row>
    <row r="1306" spans="4:8">
      <c r="D1306" s="142">
        <v>6217</v>
      </c>
      <c r="F1306" s="17"/>
      <c r="G1306" s="17"/>
      <c r="H1306" s="200"/>
    </row>
    <row r="1307" spans="4:8">
      <c r="D1307" s="142">
        <v>6218</v>
      </c>
      <c r="F1307" s="17"/>
      <c r="G1307" s="17"/>
      <c r="H1307" s="200"/>
    </row>
    <row r="1308" spans="4:8">
      <c r="D1308" s="142">
        <v>6219</v>
      </c>
      <c r="F1308" s="17"/>
      <c r="G1308" s="17"/>
      <c r="H1308" s="200"/>
    </row>
    <row r="1309" spans="4:8">
      <c r="D1309" s="142">
        <v>6220</v>
      </c>
      <c r="F1309" s="17"/>
      <c r="G1309" s="17"/>
      <c r="H1309" s="200"/>
    </row>
    <row r="1310" spans="4:8">
      <c r="D1310" s="142">
        <v>6221</v>
      </c>
      <c r="F1310" s="17"/>
      <c r="G1310" s="17"/>
      <c r="H1310" s="200"/>
    </row>
    <row r="1311" spans="4:8">
      <c r="D1311" s="142">
        <v>6222</v>
      </c>
      <c r="F1311" s="17"/>
      <c r="G1311" s="17"/>
      <c r="H1311" s="200"/>
    </row>
    <row r="1312" spans="4:8">
      <c r="D1312" s="142">
        <v>6223</v>
      </c>
      <c r="F1312" s="17"/>
      <c r="G1312" s="17"/>
      <c r="H1312" s="200"/>
    </row>
    <row r="1313" spans="4:8">
      <c r="D1313" s="142">
        <v>6227</v>
      </c>
      <c r="F1313" s="17"/>
      <c r="G1313" s="17"/>
      <c r="H1313" s="200"/>
    </row>
    <row r="1314" spans="4:8">
      <c r="D1314" s="142">
        <v>6228</v>
      </c>
      <c r="F1314" s="17"/>
      <c r="G1314" s="17"/>
      <c r="H1314" s="200"/>
    </row>
    <row r="1315" spans="4:8">
      <c r="D1315" s="142">
        <v>6229</v>
      </c>
      <c r="F1315" s="17"/>
      <c r="G1315" s="17"/>
      <c r="H1315" s="200"/>
    </row>
    <row r="1316" spans="4:8">
      <c r="D1316" s="142">
        <v>6231</v>
      </c>
      <c r="F1316" s="17"/>
      <c r="G1316" s="17"/>
      <c r="H1316" s="200"/>
    </row>
    <row r="1317" spans="4:8">
      <c r="D1317" s="142">
        <v>6233</v>
      </c>
      <c r="F1317" s="17"/>
      <c r="G1317" s="17"/>
      <c r="H1317" s="200"/>
    </row>
    <row r="1318" spans="4:8">
      <c r="D1318" s="142">
        <v>6234</v>
      </c>
      <c r="F1318" s="17"/>
      <c r="G1318" s="17"/>
      <c r="H1318" s="200"/>
    </row>
    <row r="1319" spans="4:8">
      <c r="D1319" s="142">
        <v>6236</v>
      </c>
      <c r="F1319" s="17"/>
      <c r="G1319" s="17"/>
      <c r="H1319" s="200"/>
    </row>
    <row r="1320" spans="4:8">
      <c r="D1320" s="142">
        <v>6237</v>
      </c>
      <c r="F1320" s="17"/>
      <c r="G1320" s="17"/>
      <c r="H1320" s="200"/>
    </row>
    <row r="1321" spans="4:8">
      <c r="D1321" s="142">
        <v>6238</v>
      </c>
      <c r="F1321" s="17"/>
      <c r="G1321" s="17"/>
      <c r="H1321" s="200"/>
    </row>
    <row r="1322" spans="4:8">
      <c r="D1322" s="142">
        <v>6240</v>
      </c>
      <c r="F1322" s="17"/>
      <c r="G1322" s="17"/>
      <c r="H1322" s="200"/>
    </row>
    <row r="1323" spans="4:8">
      <c r="D1323" s="142">
        <v>6241</v>
      </c>
      <c r="F1323" s="17"/>
      <c r="G1323" s="17"/>
      <c r="H1323" s="200"/>
    </row>
    <row r="1324" spans="4:8">
      <c r="D1324" s="142">
        <v>6242</v>
      </c>
      <c r="F1324" s="17"/>
      <c r="G1324" s="17"/>
      <c r="H1324" s="200"/>
    </row>
    <row r="1325" spans="4:8">
      <c r="D1325" s="142">
        <v>6244</v>
      </c>
      <c r="F1325" s="17"/>
      <c r="G1325" s="17"/>
      <c r="H1325" s="200"/>
    </row>
    <row r="1326" spans="4:8">
      <c r="D1326" s="142">
        <v>6245</v>
      </c>
      <c r="F1326" s="17"/>
      <c r="G1326" s="17"/>
      <c r="H1326" s="200"/>
    </row>
    <row r="1327" spans="4:8">
      <c r="D1327" s="142">
        <v>6246</v>
      </c>
      <c r="F1327" s="17"/>
      <c r="G1327" s="17"/>
      <c r="H1327" s="200"/>
    </row>
    <row r="1328" spans="4:8">
      <c r="D1328" s="142">
        <v>6247</v>
      </c>
      <c r="F1328" s="17"/>
      <c r="G1328" s="17"/>
      <c r="H1328" s="200"/>
    </row>
    <row r="1329" spans="4:8">
      <c r="D1329" s="142">
        <v>6248</v>
      </c>
      <c r="F1329" s="17"/>
      <c r="G1329" s="17"/>
      <c r="H1329" s="200"/>
    </row>
    <row r="1330" spans="4:8">
      <c r="D1330" s="142">
        <v>6250</v>
      </c>
      <c r="F1330" s="17"/>
      <c r="G1330" s="17"/>
      <c r="H1330" s="200"/>
    </row>
    <row r="1331" spans="4:8">
      <c r="D1331" s="142">
        <v>6259</v>
      </c>
      <c r="F1331" s="17"/>
      <c r="G1331" s="17"/>
      <c r="H1331" s="200"/>
    </row>
    <row r="1332" spans="4:8">
      <c r="D1332" s="142">
        <v>6261</v>
      </c>
      <c r="F1332" s="17"/>
      <c r="G1332" s="17"/>
      <c r="H1332" s="200"/>
    </row>
    <row r="1333" spans="4:8">
      <c r="D1333" s="142">
        <v>6263</v>
      </c>
      <c r="F1333" s="17"/>
      <c r="G1333" s="17"/>
      <c r="H1333" s="200"/>
    </row>
    <row r="1334" spans="4:8">
      <c r="D1334" s="142">
        <v>6264</v>
      </c>
      <c r="F1334" s="17"/>
      <c r="G1334" s="17"/>
      <c r="H1334" s="200"/>
    </row>
    <row r="1335" spans="4:8">
      <c r="D1335" s="142">
        <v>6265</v>
      </c>
      <c r="F1335" s="17"/>
      <c r="G1335" s="17"/>
      <c r="H1335" s="200"/>
    </row>
    <row r="1336" spans="4:8">
      <c r="D1336" s="142">
        <v>6266</v>
      </c>
      <c r="F1336" s="17"/>
      <c r="G1336" s="17"/>
      <c r="H1336" s="200"/>
    </row>
    <row r="1337" spans="4:8">
      <c r="D1337" s="142">
        <v>6270</v>
      </c>
      <c r="F1337" s="17"/>
      <c r="G1337" s="17"/>
      <c r="H1337" s="200"/>
    </row>
    <row r="1338" spans="4:8">
      <c r="D1338" s="142">
        <v>6274</v>
      </c>
      <c r="F1338" s="17"/>
      <c r="G1338" s="17"/>
      <c r="H1338" s="200"/>
    </row>
    <row r="1339" spans="4:8">
      <c r="D1339" s="142">
        <v>6275</v>
      </c>
      <c r="F1339" s="17"/>
      <c r="G1339" s="17"/>
      <c r="H1339" s="200"/>
    </row>
    <row r="1340" spans="4:8">
      <c r="D1340" s="142">
        <v>6276</v>
      </c>
      <c r="F1340" s="17"/>
      <c r="G1340" s="17"/>
      <c r="H1340" s="200"/>
    </row>
    <row r="1341" spans="4:8">
      <c r="D1341" s="142">
        <v>6279</v>
      </c>
      <c r="F1341" s="17"/>
      <c r="G1341" s="17"/>
      <c r="H1341" s="200"/>
    </row>
    <row r="1342" spans="4:8">
      <c r="D1342" s="142">
        <v>6284</v>
      </c>
      <c r="F1342" s="17"/>
      <c r="G1342" s="17"/>
      <c r="H1342" s="200"/>
    </row>
    <row r="1343" spans="4:8">
      <c r="D1343" s="142">
        <v>6287</v>
      </c>
      <c r="F1343" s="17"/>
      <c r="G1343" s="17"/>
      <c r="H1343" s="200"/>
    </row>
    <row r="1344" spans="4:8">
      <c r="D1344" s="142">
        <v>6290</v>
      </c>
      <c r="F1344" s="17"/>
      <c r="G1344" s="17"/>
      <c r="H1344" s="200"/>
    </row>
    <row r="1345" spans="4:8">
      <c r="D1345" s="142">
        <v>6291</v>
      </c>
      <c r="F1345" s="17"/>
      <c r="G1345" s="17"/>
      <c r="H1345" s="200"/>
    </row>
    <row r="1346" spans="4:8">
      <c r="D1346" s="142">
        <v>6292</v>
      </c>
      <c r="F1346" s="17"/>
      <c r="G1346" s="17"/>
      <c r="H1346" s="200"/>
    </row>
    <row r="1347" spans="4:8">
      <c r="D1347" s="142">
        <v>6294</v>
      </c>
      <c r="F1347" s="17"/>
      <c r="G1347" s="17"/>
      <c r="H1347" s="200"/>
    </row>
    <row r="1348" spans="4:8">
      <c r="D1348" s="142">
        <v>6298</v>
      </c>
      <c r="F1348" s="17"/>
      <c r="G1348" s="17"/>
      <c r="H1348" s="200"/>
    </row>
    <row r="1349" spans="4:8">
      <c r="D1349" s="142">
        <v>6404</v>
      </c>
      <c r="F1349" s="17"/>
      <c r="G1349" s="17"/>
      <c r="H1349" s="200"/>
    </row>
    <row r="1350" spans="4:8">
      <c r="D1350" s="142">
        <v>6411</v>
      </c>
      <c r="F1350" s="17"/>
      <c r="G1350" s="17"/>
      <c r="H1350" s="200"/>
    </row>
    <row r="1351" spans="4:8">
      <c r="D1351" s="142">
        <v>6417</v>
      </c>
      <c r="F1351" s="17"/>
      <c r="G1351" s="17"/>
      <c r="H1351" s="200"/>
    </row>
    <row r="1352" spans="4:8">
      <c r="D1352" s="142">
        <v>6419</v>
      </c>
      <c r="F1352" s="17"/>
      <c r="G1352" s="17"/>
      <c r="H1352" s="200"/>
    </row>
    <row r="1353" spans="4:8">
      <c r="D1353" s="142">
        <v>6426</v>
      </c>
      <c r="F1353" s="17"/>
      <c r="G1353" s="17"/>
      <c r="H1353" s="200"/>
    </row>
    <row r="1354" spans="4:8">
      <c r="D1354" s="142">
        <v>6432</v>
      </c>
      <c r="F1354" s="17"/>
      <c r="G1354" s="17"/>
      <c r="H1354" s="200"/>
    </row>
    <row r="1355" spans="4:8">
      <c r="D1355" s="142">
        <v>6457</v>
      </c>
      <c r="F1355" s="17"/>
      <c r="G1355" s="17"/>
      <c r="H1355" s="200"/>
    </row>
    <row r="1356" spans="4:8">
      <c r="D1356" s="142">
        <v>6488</v>
      </c>
      <c r="F1356" s="17"/>
      <c r="G1356" s="17"/>
      <c r="H1356" s="200"/>
    </row>
    <row r="1357" spans="4:8">
      <c r="D1357" s="142">
        <v>6506</v>
      </c>
      <c r="F1357" s="17"/>
      <c r="G1357" s="17"/>
      <c r="H1357" s="200"/>
    </row>
    <row r="1358" spans="4:8">
      <c r="D1358" s="142">
        <v>6508</v>
      </c>
      <c r="F1358" s="17"/>
      <c r="G1358" s="17"/>
      <c r="H1358" s="200"/>
    </row>
    <row r="1359" spans="4:8">
      <c r="D1359" s="142">
        <v>6509</v>
      </c>
      <c r="F1359" s="17"/>
      <c r="G1359" s="17"/>
      <c r="H1359" s="200"/>
    </row>
    <row r="1360" spans="4:8">
      <c r="D1360" s="142">
        <v>6603</v>
      </c>
      <c r="F1360" s="17"/>
      <c r="G1360" s="17"/>
      <c r="H1360" s="200"/>
    </row>
    <row r="1361" spans="4:8">
      <c r="D1361" s="142">
        <v>6609</v>
      </c>
      <c r="F1361" s="17"/>
      <c r="G1361" s="17"/>
      <c r="H1361" s="200"/>
    </row>
    <row r="1362" spans="4:8">
      <c r="D1362" s="142">
        <v>6803</v>
      </c>
      <c r="F1362" s="17"/>
      <c r="G1362" s="17"/>
      <c r="H1362" s="200"/>
    </row>
    <row r="1363" spans="4:8">
      <c r="D1363" s="142">
        <v>8024</v>
      </c>
      <c r="F1363" s="17"/>
      <c r="G1363" s="17"/>
      <c r="H1363" s="200"/>
    </row>
    <row r="1364" spans="4:8">
      <c r="D1364" s="142">
        <v>8027</v>
      </c>
      <c r="F1364" s="17"/>
      <c r="G1364" s="17"/>
      <c r="H1364" s="200"/>
    </row>
    <row r="1365" spans="4:8">
      <c r="D1365" s="142">
        <v>8032</v>
      </c>
      <c r="F1365" s="17"/>
      <c r="G1365" s="17"/>
      <c r="H1365" s="200"/>
    </row>
    <row r="1366" spans="4:8">
      <c r="D1366" s="142">
        <v>8034</v>
      </c>
      <c r="F1366" s="17"/>
      <c r="G1366" s="17"/>
      <c r="H1366" s="200"/>
    </row>
    <row r="1367" spans="4:8">
      <c r="D1367" s="142">
        <v>8038</v>
      </c>
      <c r="F1367" s="17"/>
      <c r="G1367" s="17"/>
      <c r="H1367" s="200"/>
    </row>
    <row r="1368" spans="4:8">
      <c r="D1368" s="142">
        <v>8040</v>
      </c>
      <c r="F1368" s="17"/>
      <c r="G1368" s="17"/>
      <c r="H1368" s="200"/>
    </row>
    <row r="1369" spans="4:8">
      <c r="D1369" s="142">
        <v>8042</v>
      </c>
      <c r="F1369" s="17"/>
      <c r="G1369" s="17"/>
      <c r="H1369" s="200"/>
    </row>
    <row r="1370" spans="4:8">
      <c r="D1370" s="142">
        <v>8043</v>
      </c>
      <c r="F1370" s="17"/>
      <c r="G1370" s="17"/>
      <c r="H1370" s="200"/>
    </row>
    <row r="1371" spans="4:8">
      <c r="D1371" s="142">
        <v>8044</v>
      </c>
      <c r="F1371" s="17"/>
      <c r="G1371" s="17"/>
      <c r="H1371" s="200"/>
    </row>
    <row r="1372" spans="4:8">
      <c r="D1372" s="142">
        <v>8047</v>
      </c>
      <c r="F1372" s="17"/>
      <c r="G1372" s="17"/>
      <c r="H1372" s="200"/>
    </row>
    <row r="1373" spans="4:8">
      <c r="D1373" s="142">
        <v>8048</v>
      </c>
      <c r="F1373" s="17"/>
      <c r="G1373" s="17"/>
      <c r="H1373" s="200"/>
    </row>
    <row r="1374" spans="4:8">
      <c r="D1374" s="142">
        <v>8049</v>
      </c>
      <c r="F1374" s="17"/>
      <c r="G1374" s="17"/>
      <c r="H1374" s="200"/>
    </row>
    <row r="1375" spans="4:8">
      <c r="D1375" s="142">
        <v>8050</v>
      </c>
      <c r="F1375" s="17"/>
      <c r="G1375" s="17"/>
      <c r="H1375" s="200"/>
    </row>
    <row r="1376" spans="4:8">
      <c r="D1376" s="142">
        <v>8053</v>
      </c>
      <c r="F1376" s="17"/>
      <c r="G1376" s="17"/>
      <c r="H1376" s="200"/>
    </row>
    <row r="1377" spans="4:8">
      <c r="D1377" s="142">
        <v>8054</v>
      </c>
      <c r="F1377" s="17"/>
      <c r="G1377" s="17"/>
      <c r="H1377" s="200"/>
    </row>
    <row r="1378" spans="4:8">
      <c r="D1378" s="142">
        <v>8059</v>
      </c>
      <c r="F1378" s="17"/>
      <c r="G1378" s="17"/>
      <c r="H1378" s="200"/>
    </row>
    <row r="1379" spans="4:8">
      <c r="D1379" s="142">
        <v>8064</v>
      </c>
      <c r="F1379" s="17"/>
      <c r="G1379" s="17"/>
      <c r="H1379" s="200"/>
    </row>
    <row r="1380" spans="4:8">
      <c r="D1380" s="142">
        <v>8066</v>
      </c>
      <c r="F1380" s="17"/>
      <c r="G1380" s="17"/>
      <c r="H1380" s="200"/>
    </row>
    <row r="1381" spans="4:8">
      <c r="D1381" s="142">
        <v>8067</v>
      </c>
      <c r="F1381" s="17"/>
      <c r="G1381" s="17"/>
      <c r="H1381" s="200"/>
    </row>
    <row r="1382" spans="4:8">
      <c r="D1382" s="142">
        <v>8068</v>
      </c>
      <c r="F1382" s="17"/>
      <c r="G1382" s="17"/>
      <c r="H1382" s="200"/>
    </row>
    <row r="1383" spans="4:8">
      <c r="D1383" s="142">
        <v>8069</v>
      </c>
      <c r="F1383" s="17"/>
      <c r="G1383" s="17"/>
      <c r="H1383" s="200"/>
    </row>
    <row r="1384" spans="4:8">
      <c r="D1384" s="142">
        <v>8071</v>
      </c>
      <c r="F1384" s="17"/>
      <c r="G1384" s="17"/>
      <c r="H1384" s="200"/>
    </row>
    <row r="1385" spans="4:8">
      <c r="D1385" s="142">
        <v>8074</v>
      </c>
      <c r="F1385" s="17"/>
      <c r="G1385" s="17"/>
      <c r="H1385" s="200"/>
    </row>
    <row r="1386" spans="4:8">
      <c r="D1386" s="142">
        <v>8076</v>
      </c>
      <c r="F1386" s="17"/>
      <c r="G1386" s="17"/>
      <c r="H1386" s="200"/>
    </row>
    <row r="1387" spans="4:8">
      <c r="D1387" s="142">
        <v>8077</v>
      </c>
      <c r="F1387" s="17"/>
      <c r="G1387" s="17"/>
      <c r="H1387" s="200"/>
    </row>
    <row r="1388" spans="4:8">
      <c r="D1388" s="142">
        <v>8079</v>
      </c>
      <c r="F1388" s="17"/>
      <c r="G1388" s="17"/>
      <c r="H1388" s="200"/>
    </row>
    <row r="1389" spans="4:8">
      <c r="D1389" s="142">
        <v>8080</v>
      </c>
      <c r="F1389" s="17"/>
      <c r="G1389" s="17"/>
      <c r="H1389" s="200"/>
    </row>
    <row r="1390" spans="4:8">
      <c r="D1390" s="142">
        <v>8083</v>
      </c>
      <c r="F1390" s="17"/>
      <c r="G1390" s="17"/>
      <c r="H1390" s="200"/>
    </row>
    <row r="1391" spans="4:8">
      <c r="D1391" s="142">
        <v>8084</v>
      </c>
      <c r="F1391" s="17"/>
      <c r="G1391" s="17"/>
      <c r="H1391" s="200"/>
    </row>
    <row r="1392" spans="4:8">
      <c r="D1392" s="142">
        <v>8085</v>
      </c>
      <c r="F1392" s="17"/>
      <c r="G1392" s="17"/>
      <c r="H1392" s="200"/>
    </row>
    <row r="1393" spans="4:8">
      <c r="D1393" s="142">
        <v>8086</v>
      </c>
      <c r="F1393" s="17"/>
      <c r="G1393" s="17"/>
      <c r="H1393" s="200"/>
    </row>
    <row r="1394" spans="4:8">
      <c r="D1394" s="142">
        <v>8087</v>
      </c>
      <c r="F1394" s="17"/>
      <c r="G1394" s="17"/>
      <c r="H1394" s="200"/>
    </row>
    <row r="1395" spans="4:8">
      <c r="D1395" s="142">
        <v>8088</v>
      </c>
      <c r="F1395" s="17"/>
      <c r="G1395" s="17"/>
      <c r="H1395" s="200"/>
    </row>
    <row r="1396" spans="4:8">
      <c r="D1396" s="142">
        <v>8091</v>
      </c>
      <c r="F1396" s="17"/>
      <c r="G1396" s="17"/>
      <c r="H1396" s="200"/>
    </row>
    <row r="1397" spans="4:8">
      <c r="D1397" s="142">
        <v>8092</v>
      </c>
      <c r="F1397" s="17"/>
      <c r="G1397" s="17"/>
      <c r="H1397" s="200"/>
    </row>
    <row r="1398" spans="4:8">
      <c r="D1398" s="142">
        <v>8093</v>
      </c>
      <c r="F1398" s="17"/>
      <c r="G1398" s="17"/>
      <c r="H1398" s="200"/>
    </row>
    <row r="1399" spans="4:8">
      <c r="D1399" s="142">
        <v>8096</v>
      </c>
      <c r="F1399" s="17"/>
      <c r="G1399" s="17"/>
      <c r="H1399" s="200"/>
    </row>
    <row r="1400" spans="4:8">
      <c r="D1400" s="142">
        <v>8097</v>
      </c>
      <c r="F1400" s="17"/>
      <c r="G1400" s="17"/>
      <c r="H1400" s="200"/>
    </row>
    <row r="1401" spans="4:8">
      <c r="D1401" s="142">
        <v>8099</v>
      </c>
      <c r="F1401" s="17"/>
      <c r="G1401" s="17"/>
      <c r="H1401" s="200"/>
    </row>
    <row r="1402" spans="4:8">
      <c r="D1402" s="142">
        <v>8107</v>
      </c>
      <c r="F1402" s="17"/>
      <c r="G1402" s="17"/>
      <c r="H1402" s="200"/>
    </row>
    <row r="1403" spans="4:8">
      <c r="D1403" s="142">
        <v>8109</v>
      </c>
      <c r="F1403" s="17"/>
      <c r="G1403" s="17"/>
      <c r="H1403" s="200"/>
    </row>
    <row r="1404" spans="4:8">
      <c r="D1404" s="142">
        <v>8111</v>
      </c>
      <c r="F1404" s="17"/>
      <c r="G1404" s="17"/>
      <c r="H1404" s="200"/>
    </row>
    <row r="1405" spans="4:8">
      <c r="D1405" s="142">
        <v>8121</v>
      </c>
      <c r="F1405" s="17"/>
      <c r="G1405" s="17"/>
      <c r="H1405" s="200"/>
    </row>
    <row r="1406" spans="4:8">
      <c r="D1406" s="142">
        <v>8147</v>
      </c>
      <c r="F1406" s="17"/>
      <c r="G1406" s="17"/>
      <c r="H1406" s="200"/>
    </row>
    <row r="1407" spans="4:8">
      <c r="D1407" s="142">
        <v>8155</v>
      </c>
      <c r="F1407" s="17"/>
      <c r="G1407" s="17"/>
      <c r="H1407" s="200"/>
    </row>
    <row r="1408" spans="4:8">
      <c r="D1408" s="142">
        <v>8171</v>
      </c>
      <c r="F1408" s="17"/>
      <c r="G1408" s="17"/>
      <c r="H1408" s="200"/>
    </row>
    <row r="1409" spans="4:8">
      <c r="D1409" s="142">
        <v>8176</v>
      </c>
      <c r="F1409" s="17"/>
      <c r="G1409" s="17"/>
      <c r="H1409" s="200"/>
    </row>
    <row r="1410" spans="4:8">
      <c r="D1410" s="142">
        <v>8182</v>
      </c>
      <c r="F1410" s="17"/>
      <c r="G1410" s="17"/>
      <c r="H1410" s="200"/>
    </row>
    <row r="1411" spans="4:8">
      <c r="D1411" s="142">
        <v>8183</v>
      </c>
      <c r="F1411" s="17"/>
      <c r="G1411" s="17"/>
      <c r="H1411" s="200"/>
    </row>
    <row r="1412" spans="4:8">
      <c r="D1412" s="142">
        <v>8234</v>
      </c>
      <c r="F1412" s="17"/>
      <c r="G1412" s="17"/>
      <c r="H1412" s="200"/>
    </row>
    <row r="1413" spans="4:8">
      <c r="D1413" s="142">
        <v>8240</v>
      </c>
      <c r="F1413" s="17"/>
      <c r="G1413" s="17"/>
      <c r="H1413" s="200"/>
    </row>
    <row r="1414" spans="4:8">
      <c r="D1414" s="142">
        <v>8255</v>
      </c>
      <c r="F1414" s="17"/>
      <c r="G1414" s="17"/>
      <c r="H1414" s="200"/>
    </row>
    <row r="1415" spans="4:8">
      <c r="D1415" s="142">
        <v>8266</v>
      </c>
      <c r="F1415" s="17"/>
      <c r="G1415" s="17"/>
      <c r="H1415" s="200"/>
    </row>
    <row r="1416" spans="4:8">
      <c r="D1416" s="142">
        <v>8277</v>
      </c>
      <c r="F1416" s="17"/>
      <c r="G1416" s="17"/>
      <c r="H1416" s="200"/>
    </row>
    <row r="1417" spans="4:8">
      <c r="D1417" s="142">
        <v>8287</v>
      </c>
      <c r="F1417" s="17"/>
      <c r="G1417" s="17"/>
      <c r="H1417" s="200"/>
    </row>
    <row r="1418" spans="4:8">
      <c r="D1418" s="142">
        <v>8289</v>
      </c>
      <c r="F1418" s="17"/>
      <c r="G1418" s="17"/>
      <c r="H1418" s="200"/>
    </row>
    <row r="1419" spans="4:8">
      <c r="D1419" s="142">
        <v>8291</v>
      </c>
      <c r="F1419" s="17"/>
      <c r="G1419" s="17"/>
      <c r="H1419" s="200"/>
    </row>
    <row r="1420" spans="4:8">
      <c r="D1420" s="142">
        <v>8299</v>
      </c>
      <c r="F1420" s="17"/>
      <c r="G1420" s="17"/>
      <c r="H1420" s="200"/>
    </row>
    <row r="1421" spans="4:8">
      <c r="D1421" s="142">
        <v>8349</v>
      </c>
      <c r="F1421" s="17"/>
      <c r="G1421" s="17"/>
      <c r="H1421" s="200"/>
    </row>
    <row r="1422" spans="4:8">
      <c r="D1422" s="142">
        <v>8354</v>
      </c>
      <c r="F1422" s="17"/>
      <c r="G1422" s="17"/>
      <c r="H1422" s="200"/>
    </row>
    <row r="1423" spans="4:8">
      <c r="D1423" s="142">
        <v>8358</v>
      </c>
      <c r="F1423" s="17"/>
      <c r="G1423" s="17"/>
      <c r="H1423" s="200"/>
    </row>
    <row r="1424" spans="4:8">
      <c r="D1424" s="142">
        <v>8383</v>
      </c>
      <c r="F1424" s="17"/>
      <c r="G1424" s="17"/>
      <c r="H1424" s="200"/>
    </row>
    <row r="1425" spans="4:8">
      <c r="D1425" s="142">
        <v>8390</v>
      </c>
      <c r="F1425" s="17"/>
      <c r="G1425" s="17"/>
      <c r="H1425" s="200"/>
    </row>
    <row r="1426" spans="4:8">
      <c r="D1426" s="142">
        <v>8401</v>
      </c>
      <c r="F1426" s="17"/>
      <c r="G1426" s="17"/>
      <c r="H1426" s="200"/>
    </row>
    <row r="1427" spans="4:8">
      <c r="D1427" s="142">
        <v>8403</v>
      </c>
      <c r="F1427" s="17"/>
      <c r="G1427" s="17"/>
      <c r="H1427" s="200"/>
    </row>
    <row r="1428" spans="4:8">
      <c r="D1428" s="142">
        <v>8406</v>
      </c>
      <c r="F1428" s="17"/>
      <c r="G1428" s="17"/>
      <c r="H1428" s="200"/>
    </row>
    <row r="1429" spans="4:8">
      <c r="D1429" s="142">
        <v>8409</v>
      </c>
      <c r="F1429" s="17"/>
      <c r="G1429" s="17"/>
      <c r="H1429" s="200"/>
    </row>
    <row r="1430" spans="4:8">
      <c r="D1430" s="142">
        <v>8410</v>
      </c>
      <c r="F1430" s="17"/>
      <c r="G1430" s="17"/>
      <c r="H1430" s="200"/>
    </row>
    <row r="1431" spans="4:8">
      <c r="D1431" s="142">
        <v>8416</v>
      </c>
      <c r="F1431" s="17"/>
      <c r="G1431" s="17"/>
      <c r="H1431" s="200"/>
    </row>
    <row r="1432" spans="4:8">
      <c r="D1432" s="142">
        <v>8418</v>
      </c>
      <c r="F1432" s="17"/>
      <c r="G1432" s="17"/>
      <c r="H1432" s="200"/>
    </row>
    <row r="1433" spans="4:8">
      <c r="D1433" s="142">
        <v>8420</v>
      </c>
      <c r="F1433" s="17"/>
      <c r="G1433" s="17"/>
      <c r="H1433" s="200"/>
    </row>
    <row r="1434" spans="4:8">
      <c r="D1434" s="142">
        <v>8421</v>
      </c>
      <c r="F1434" s="17"/>
      <c r="G1434" s="17"/>
      <c r="H1434" s="200"/>
    </row>
    <row r="1435" spans="4:8">
      <c r="D1435" s="142">
        <v>8423</v>
      </c>
      <c r="F1435" s="17"/>
      <c r="G1435" s="17"/>
      <c r="H1435" s="200"/>
    </row>
    <row r="1436" spans="4:8">
      <c r="D1436" s="142">
        <v>8424</v>
      </c>
      <c r="F1436" s="17"/>
      <c r="G1436" s="17"/>
      <c r="H1436" s="200"/>
    </row>
    <row r="1437" spans="4:8">
      <c r="D1437" s="142">
        <v>8426</v>
      </c>
      <c r="F1437" s="17"/>
      <c r="G1437" s="17"/>
      <c r="H1437" s="200"/>
    </row>
    <row r="1438" spans="4:8">
      <c r="D1438" s="142">
        <v>8431</v>
      </c>
      <c r="F1438" s="17"/>
      <c r="G1438" s="17"/>
      <c r="H1438" s="200"/>
    </row>
    <row r="1439" spans="4:8">
      <c r="D1439" s="142">
        <v>8432</v>
      </c>
      <c r="F1439" s="17"/>
      <c r="G1439" s="17"/>
      <c r="H1439" s="200"/>
    </row>
    <row r="1440" spans="4:8">
      <c r="D1440" s="142">
        <v>8433</v>
      </c>
      <c r="F1440" s="17"/>
      <c r="G1440" s="17"/>
      <c r="H1440" s="200"/>
    </row>
    <row r="1441" spans="4:8">
      <c r="D1441" s="142">
        <v>8435</v>
      </c>
      <c r="F1441" s="17"/>
      <c r="G1441" s="17"/>
      <c r="H1441" s="200"/>
    </row>
    <row r="1442" spans="4:8">
      <c r="D1442" s="142">
        <v>8436</v>
      </c>
      <c r="F1442" s="17"/>
      <c r="G1442" s="17"/>
      <c r="H1442" s="200"/>
    </row>
    <row r="1443" spans="4:8">
      <c r="D1443" s="142">
        <v>8437</v>
      </c>
      <c r="F1443" s="17"/>
      <c r="G1443" s="17"/>
      <c r="H1443" s="200"/>
    </row>
    <row r="1444" spans="4:8">
      <c r="D1444" s="142">
        <v>8444</v>
      </c>
      <c r="F1444" s="17"/>
      <c r="G1444" s="17"/>
      <c r="H1444" s="200"/>
    </row>
    <row r="1445" spans="4:8">
      <c r="D1445" s="142">
        <v>8446</v>
      </c>
      <c r="F1445" s="17"/>
      <c r="G1445" s="17"/>
      <c r="H1445" s="200"/>
    </row>
    <row r="1446" spans="4:8">
      <c r="D1446" s="142">
        <v>8450</v>
      </c>
      <c r="F1446" s="17"/>
      <c r="G1446" s="17"/>
      <c r="H1446" s="200"/>
    </row>
    <row r="1447" spans="4:8">
      <c r="D1447" s="142">
        <v>8905</v>
      </c>
      <c r="F1447" s="17"/>
      <c r="G1447" s="17"/>
      <c r="H1447" s="200"/>
    </row>
    <row r="1448" spans="4:8">
      <c r="D1448" s="142">
        <v>8906</v>
      </c>
      <c r="F1448" s="17"/>
      <c r="G1448" s="17"/>
      <c r="H1448" s="200"/>
    </row>
    <row r="1449" spans="4:8">
      <c r="D1449" s="142">
        <v>8908</v>
      </c>
      <c r="F1449" s="17"/>
      <c r="G1449" s="17"/>
      <c r="H1449" s="200"/>
    </row>
    <row r="1450" spans="4:8">
      <c r="D1450" s="142">
        <v>8913</v>
      </c>
      <c r="F1450" s="17"/>
      <c r="G1450" s="17"/>
      <c r="H1450" s="200"/>
    </row>
    <row r="1451" spans="4:8">
      <c r="D1451" s="142">
        <v>8916</v>
      </c>
      <c r="F1451" s="17"/>
      <c r="G1451" s="17"/>
      <c r="H1451" s="200"/>
    </row>
    <row r="1452" spans="4:8">
      <c r="D1452" s="142">
        <v>8917</v>
      </c>
      <c r="F1452" s="17"/>
      <c r="G1452" s="17"/>
      <c r="H1452" s="200"/>
    </row>
    <row r="1453" spans="4:8">
      <c r="D1453" s="142">
        <v>8921</v>
      </c>
      <c r="F1453" s="17"/>
      <c r="G1453" s="17"/>
      <c r="H1453" s="200"/>
    </row>
    <row r="1454" spans="4:8">
      <c r="D1454" s="142">
        <v>8923</v>
      </c>
      <c r="F1454" s="17"/>
      <c r="G1454" s="17"/>
      <c r="H1454" s="200"/>
    </row>
    <row r="1455" spans="4:8">
      <c r="D1455" s="142">
        <v>8924</v>
      </c>
      <c r="F1455" s="17"/>
      <c r="G1455" s="17"/>
      <c r="H1455" s="200"/>
    </row>
    <row r="1456" spans="4:8">
      <c r="D1456" s="142">
        <v>8925</v>
      </c>
      <c r="F1456" s="17"/>
      <c r="G1456" s="17"/>
      <c r="H1456" s="200"/>
    </row>
    <row r="1457" spans="4:8">
      <c r="D1457" s="142">
        <v>8927</v>
      </c>
      <c r="F1457" s="17"/>
      <c r="G1457" s="17"/>
      <c r="H1457" s="200"/>
    </row>
    <row r="1458" spans="4:8">
      <c r="D1458" s="142">
        <v>8928</v>
      </c>
      <c r="F1458" s="17"/>
      <c r="G1458" s="17"/>
    </row>
    <row r="1459" spans="4:8">
      <c r="D1459" s="142">
        <v>8929</v>
      </c>
      <c r="F1459" s="17"/>
      <c r="G1459" s="17"/>
    </row>
    <row r="1460" spans="4:8">
      <c r="D1460" s="142">
        <v>8930</v>
      </c>
      <c r="F1460" s="17"/>
      <c r="G1460" s="17"/>
    </row>
    <row r="1461" spans="4:8">
      <c r="D1461" s="142">
        <v>8931</v>
      </c>
      <c r="F1461" s="17"/>
      <c r="G1461" s="17"/>
    </row>
    <row r="1462" spans="4:8">
      <c r="D1462" s="142">
        <v>8932</v>
      </c>
      <c r="F1462" s="17"/>
      <c r="G1462" s="17"/>
    </row>
    <row r="1463" spans="4:8">
      <c r="D1463" s="142">
        <v>8933</v>
      </c>
      <c r="F1463" s="17"/>
      <c r="G1463" s="17"/>
    </row>
    <row r="1464" spans="4:8">
      <c r="D1464" s="142">
        <v>8934</v>
      </c>
      <c r="F1464" s="17"/>
      <c r="G1464" s="17"/>
    </row>
    <row r="1465" spans="4:8">
      <c r="D1465" s="142">
        <v>8935</v>
      </c>
      <c r="F1465" s="17"/>
      <c r="G1465" s="17"/>
    </row>
    <row r="1466" spans="4:8">
      <c r="D1466" s="142">
        <v>8936</v>
      </c>
      <c r="F1466" s="17"/>
      <c r="G1466" s="17"/>
    </row>
    <row r="1467" spans="4:8">
      <c r="D1467" s="142">
        <v>8937</v>
      </c>
      <c r="F1467" s="17"/>
      <c r="G1467" s="17"/>
    </row>
    <row r="1468" spans="4:8">
      <c r="D1468" s="142">
        <v>8938</v>
      </c>
      <c r="F1468" s="17"/>
      <c r="G1468" s="17"/>
    </row>
    <row r="1469" spans="4:8">
      <c r="D1469" s="142">
        <v>8941</v>
      </c>
      <c r="F1469" s="17"/>
      <c r="G1469" s="17"/>
    </row>
    <row r="1470" spans="4:8">
      <c r="D1470" s="142">
        <v>8942</v>
      </c>
      <c r="F1470" s="17"/>
      <c r="G1470" s="17"/>
    </row>
    <row r="1471" spans="4:8">
      <c r="D1471" s="142">
        <v>9949</v>
      </c>
      <c r="F1471" s="17"/>
      <c r="G1471" s="17"/>
    </row>
    <row r="1472" spans="4:8">
      <c r="D1472" s="142">
        <v>9950</v>
      </c>
      <c r="F1472" s="17"/>
      <c r="G1472" s="17"/>
    </row>
    <row r="1473" spans="4:7">
      <c r="D1473" s="142">
        <v>9951</v>
      </c>
      <c r="F1473" s="17"/>
      <c r="G1473" s="17"/>
    </row>
    <row r="1474" spans="4:7">
      <c r="D1474" s="142">
        <v>9960</v>
      </c>
      <c r="F1474" s="17"/>
      <c r="G1474" s="17"/>
    </row>
    <row r="1475" spans="4:7">
      <c r="D1475" s="142">
        <v>9962</v>
      </c>
      <c r="F1475" s="17"/>
      <c r="G1475" s="17"/>
    </row>
    <row r="1476" spans="4:7">
      <c r="F1476" s="17"/>
      <c r="G1476" s="17"/>
    </row>
    <row r="1477" spans="4:7">
      <c r="F1477" s="17"/>
      <c r="G1477" s="17"/>
    </row>
    <row r="1478" spans="4:7">
      <c r="F1478" s="17"/>
    </row>
  </sheetData>
  <sortState ref="H2:I1478">
    <sortCondition ref="I2:I1478"/>
  </sortState>
  <mergeCells count="5">
    <mergeCell ref="A11:C11"/>
    <mergeCell ref="A18:C18"/>
    <mergeCell ref="A25:C25"/>
    <mergeCell ref="A1:C1"/>
    <mergeCell ref="A32:C3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71" r:id="rId4" name="CommandButton2">
          <controlPr defaultSize="0" autoLine="0" r:id="rId5">
            <anchor moveWithCells="1">
              <from>
                <xdr:col>8</xdr:col>
                <xdr:colOff>104775</xdr:colOff>
                <xdr:row>0</xdr:row>
                <xdr:rowOff>0</xdr:rowOff>
              </from>
              <to>
                <xdr:col>8</xdr:col>
                <xdr:colOff>962025</xdr:colOff>
                <xdr:row>0</xdr:row>
                <xdr:rowOff>295275</xdr:rowOff>
              </to>
            </anchor>
          </controlPr>
        </control>
      </mc:Choice>
      <mc:Fallback>
        <control shapeId="32771" r:id="rId4" name="CommandButton2"/>
      </mc:Fallback>
    </mc:AlternateContent>
    <mc:AlternateContent xmlns:mc="http://schemas.openxmlformats.org/markup-compatibility/2006">
      <mc:Choice Requires="x14">
        <control shapeId="32769" r:id="rId6" name="CommandButton1">
          <controlPr defaultSize="0"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257175</xdr:colOff>
                <xdr:row>2</xdr:row>
                <xdr:rowOff>0</xdr:rowOff>
              </to>
            </anchor>
          </controlPr>
        </control>
      </mc:Choice>
      <mc:Fallback>
        <control shapeId="32769" r:id="rId6" name="CommandButton1"/>
      </mc:Fallback>
    </mc:AlternateContent>
    <mc:AlternateContent xmlns:mc="http://schemas.openxmlformats.org/markup-compatibility/2006">
      <mc:Choice Requires="x14">
        <control shapeId="32772" r:id="rId8" name="CommandButton3">
          <controlPr defaultSize="0" autoLine="0" r:id="rId9">
            <anchor moveWithCells="1">
              <from>
                <xdr:col>0</xdr:col>
                <xdr:colOff>219075</xdr:colOff>
                <xdr:row>11</xdr:row>
                <xdr:rowOff>47625</xdr:rowOff>
              </from>
              <to>
                <xdr:col>0</xdr:col>
                <xdr:colOff>619125</xdr:colOff>
                <xdr:row>11</xdr:row>
                <xdr:rowOff>228600</xdr:rowOff>
              </to>
            </anchor>
          </controlPr>
        </control>
      </mc:Choice>
      <mc:Fallback>
        <control shapeId="32772" r:id="rId8" name="CommandButton3"/>
      </mc:Fallback>
    </mc:AlternateContent>
    <mc:AlternateContent xmlns:mc="http://schemas.openxmlformats.org/markup-compatibility/2006">
      <mc:Choice Requires="x14">
        <control shapeId="32774" r:id="rId10" name="CommandButton4">
          <controlPr defaultSize="0" autoLine="0" r:id="rId9">
            <anchor moveWithCells="1">
              <from>
                <xdr:col>0</xdr:col>
                <xdr:colOff>219075</xdr:colOff>
                <xdr:row>12</xdr:row>
                <xdr:rowOff>47625</xdr:rowOff>
              </from>
              <to>
                <xdr:col>0</xdr:col>
                <xdr:colOff>619125</xdr:colOff>
                <xdr:row>12</xdr:row>
                <xdr:rowOff>228600</xdr:rowOff>
              </to>
            </anchor>
          </controlPr>
        </control>
      </mc:Choice>
      <mc:Fallback>
        <control shapeId="32774" r:id="rId10" name="CommandButton4"/>
      </mc:Fallback>
    </mc:AlternateContent>
    <mc:AlternateContent xmlns:mc="http://schemas.openxmlformats.org/markup-compatibility/2006">
      <mc:Choice Requires="x14">
        <control shapeId="32776" r:id="rId11" name="CommandButton5">
          <controlPr defaultSize="0" autoLine="0" r:id="rId9">
            <anchor moveWithCells="1">
              <from>
                <xdr:col>0</xdr:col>
                <xdr:colOff>219075</xdr:colOff>
                <xdr:row>13</xdr:row>
                <xdr:rowOff>47625</xdr:rowOff>
              </from>
              <to>
                <xdr:col>0</xdr:col>
                <xdr:colOff>619125</xdr:colOff>
                <xdr:row>13</xdr:row>
                <xdr:rowOff>228600</xdr:rowOff>
              </to>
            </anchor>
          </controlPr>
        </control>
      </mc:Choice>
      <mc:Fallback>
        <control shapeId="32776" r:id="rId11" name="CommandButton5"/>
      </mc:Fallback>
    </mc:AlternateContent>
    <mc:AlternateContent xmlns:mc="http://schemas.openxmlformats.org/markup-compatibility/2006">
      <mc:Choice Requires="x14">
        <control shapeId="32778" r:id="rId12" name="CommandButton6">
          <controlPr defaultSize="0" autoLine="0" r:id="rId9">
            <anchor moveWithCells="1">
              <from>
                <xdr:col>0</xdr:col>
                <xdr:colOff>219075</xdr:colOff>
                <xdr:row>14</xdr:row>
                <xdr:rowOff>47625</xdr:rowOff>
              </from>
              <to>
                <xdr:col>0</xdr:col>
                <xdr:colOff>619125</xdr:colOff>
                <xdr:row>14</xdr:row>
                <xdr:rowOff>228600</xdr:rowOff>
              </to>
            </anchor>
          </controlPr>
        </control>
      </mc:Choice>
      <mc:Fallback>
        <control shapeId="32778" r:id="rId12" name="CommandButton6"/>
      </mc:Fallback>
    </mc:AlternateContent>
    <mc:AlternateContent xmlns:mc="http://schemas.openxmlformats.org/markup-compatibility/2006">
      <mc:Choice Requires="x14">
        <control shapeId="32780" r:id="rId13" name="CommandButton7">
          <controlPr defaultSize="0" autoLine="0" r:id="rId9">
            <anchor moveWithCells="1">
              <from>
                <xdr:col>0</xdr:col>
                <xdr:colOff>219075</xdr:colOff>
                <xdr:row>15</xdr:row>
                <xdr:rowOff>47625</xdr:rowOff>
              </from>
              <to>
                <xdr:col>0</xdr:col>
                <xdr:colOff>619125</xdr:colOff>
                <xdr:row>15</xdr:row>
                <xdr:rowOff>228600</xdr:rowOff>
              </to>
            </anchor>
          </controlPr>
        </control>
      </mc:Choice>
      <mc:Fallback>
        <control shapeId="32780" r:id="rId13" name="CommandButton7"/>
      </mc:Fallback>
    </mc:AlternateContent>
    <mc:AlternateContent xmlns:mc="http://schemas.openxmlformats.org/markup-compatibility/2006">
      <mc:Choice Requires="x14">
        <control shapeId="32782" r:id="rId14" name="CommandButton8">
          <controlPr defaultSize="0" autoLine="0" r:id="rId9">
            <anchor moveWithCells="1">
              <from>
                <xdr:col>0</xdr:col>
                <xdr:colOff>219075</xdr:colOff>
                <xdr:row>18</xdr:row>
                <xdr:rowOff>47625</xdr:rowOff>
              </from>
              <to>
                <xdr:col>0</xdr:col>
                <xdr:colOff>619125</xdr:colOff>
                <xdr:row>18</xdr:row>
                <xdr:rowOff>228600</xdr:rowOff>
              </to>
            </anchor>
          </controlPr>
        </control>
      </mc:Choice>
      <mc:Fallback>
        <control shapeId="32782" r:id="rId14" name="CommandButton8"/>
      </mc:Fallback>
    </mc:AlternateContent>
    <mc:AlternateContent xmlns:mc="http://schemas.openxmlformats.org/markup-compatibility/2006">
      <mc:Choice Requires="x14">
        <control shapeId="32784" r:id="rId15" name="CommandButton9">
          <controlPr defaultSize="0" autoLine="0" r:id="rId9">
            <anchor moveWithCells="1">
              <from>
                <xdr:col>0</xdr:col>
                <xdr:colOff>219075</xdr:colOff>
                <xdr:row>19</xdr:row>
                <xdr:rowOff>47625</xdr:rowOff>
              </from>
              <to>
                <xdr:col>0</xdr:col>
                <xdr:colOff>619125</xdr:colOff>
                <xdr:row>19</xdr:row>
                <xdr:rowOff>228600</xdr:rowOff>
              </to>
            </anchor>
          </controlPr>
        </control>
      </mc:Choice>
      <mc:Fallback>
        <control shapeId="32784" r:id="rId15" name="CommandButton9"/>
      </mc:Fallback>
    </mc:AlternateContent>
    <mc:AlternateContent xmlns:mc="http://schemas.openxmlformats.org/markup-compatibility/2006">
      <mc:Choice Requires="x14">
        <control shapeId="32786" r:id="rId16" name="CommandButton10">
          <controlPr defaultSize="0" autoLine="0" r:id="rId9">
            <anchor moveWithCells="1">
              <from>
                <xdr:col>0</xdr:col>
                <xdr:colOff>219075</xdr:colOff>
                <xdr:row>20</xdr:row>
                <xdr:rowOff>47625</xdr:rowOff>
              </from>
              <to>
                <xdr:col>0</xdr:col>
                <xdr:colOff>619125</xdr:colOff>
                <xdr:row>20</xdr:row>
                <xdr:rowOff>228600</xdr:rowOff>
              </to>
            </anchor>
          </controlPr>
        </control>
      </mc:Choice>
      <mc:Fallback>
        <control shapeId="32786" r:id="rId16" name="CommandButton10"/>
      </mc:Fallback>
    </mc:AlternateContent>
    <mc:AlternateContent xmlns:mc="http://schemas.openxmlformats.org/markup-compatibility/2006">
      <mc:Choice Requires="x14">
        <control shapeId="32787" r:id="rId17" name="CommandButton11">
          <controlPr defaultSize="0" autoLine="0" r:id="rId9">
            <anchor moveWithCells="1">
              <from>
                <xdr:col>0</xdr:col>
                <xdr:colOff>219075</xdr:colOff>
                <xdr:row>21</xdr:row>
                <xdr:rowOff>47625</xdr:rowOff>
              </from>
              <to>
                <xdr:col>0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32787" r:id="rId17" name="CommandButton11"/>
      </mc:Fallback>
    </mc:AlternateContent>
    <mc:AlternateContent xmlns:mc="http://schemas.openxmlformats.org/markup-compatibility/2006">
      <mc:Choice Requires="x14">
        <control shapeId="32789" r:id="rId18" name="CommandButton12">
          <controlPr defaultSize="0" autoLine="0" r:id="rId9">
            <anchor moveWithCells="1">
              <from>
                <xdr:col>0</xdr:col>
                <xdr:colOff>219075</xdr:colOff>
                <xdr:row>22</xdr:row>
                <xdr:rowOff>47625</xdr:rowOff>
              </from>
              <to>
                <xdr:col>0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32789" r:id="rId18" name="CommandButton12"/>
      </mc:Fallback>
    </mc:AlternateContent>
    <mc:AlternateContent xmlns:mc="http://schemas.openxmlformats.org/markup-compatibility/2006">
      <mc:Choice Requires="x14">
        <control shapeId="32790" r:id="rId19" name="CommandButton13">
          <controlPr defaultSize="0" autoLine="0" r:id="rId9">
            <anchor moveWithCells="1">
              <from>
                <xdr:col>0</xdr:col>
                <xdr:colOff>219075</xdr:colOff>
                <xdr:row>25</xdr:row>
                <xdr:rowOff>47625</xdr:rowOff>
              </from>
              <to>
                <xdr:col>0</xdr:col>
                <xdr:colOff>619125</xdr:colOff>
                <xdr:row>25</xdr:row>
                <xdr:rowOff>228600</xdr:rowOff>
              </to>
            </anchor>
          </controlPr>
        </control>
      </mc:Choice>
      <mc:Fallback>
        <control shapeId="32790" r:id="rId19" name="CommandButton13"/>
      </mc:Fallback>
    </mc:AlternateContent>
    <mc:AlternateContent xmlns:mc="http://schemas.openxmlformats.org/markup-compatibility/2006">
      <mc:Choice Requires="x14">
        <control shapeId="32791" r:id="rId20" name="CommandButton14">
          <controlPr defaultSize="0" autoLine="0" r:id="rId9">
            <anchor moveWithCells="1">
              <from>
                <xdr:col>0</xdr:col>
                <xdr:colOff>219075</xdr:colOff>
                <xdr:row>26</xdr:row>
                <xdr:rowOff>47625</xdr:rowOff>
              </from>
              <to>
                <xdr:col>0</xdr:col>
                <xdr:colOff>619125</xdr:colOff>
                <xdr:row>26</xdr:row>
                <xdr:rowOff>228600</xdr:rowOff>
              </to>
            </anchor>
          </controlPr>
        </control>
      </mc:Choice>
      <mc:Fallback>
        <control shapeId="32791" r:id="rId20" name="CommandButton14"/>
      </mc:Fallback>
    </mc:AlternateContent>
    <mc:AlternateContent xmlns:mc="http://schemas.openxmlformats.org/markup-compatibility/2006">
      <mc:Choice Requires="x14">
        <control shapeId="32792" r:id="rId21" name="CommandButton15">
          <controlPr defaultSize="0" autoLine="0" r:id="rId9">
            <anchor moveWithCells="1">
              <from>
                <xdr:col>0</xdr:col>
                <xdr:colOff>219075</xdr:colOff>
                <xdr:row>27</xdr:row>
                <xdr:rowOff>47625</xdr:rowOff>
              </from>
              <to>
                <xdr:col>0</xdr:col>
                <xdr:colOff>619125</xdr:colOff>
                <xdr:row>27</xdr:row>
                <xdr:rowOff>228600</xdr:rowOff>
              </to>
            </anchor>
          </controlPr>
        </control>
      </mc:Choice>
      <mc:Fallback>
        <control shapeId="32792" r:id="rId21" name="CommandButton15"/>
      </mc:Fallback>
    </mc:AlternateContent>
    <mc:AlternateContent xmlns:mc="http://schemas.openxmlformats.org/markup-compatibility/2006">
      <mc:Choice Requires="x14">
        <control shapeId="32794" r:id="rId22" name="CommandButton16">
          <controlPr defaultSize="0" autoLine="0" r:id="rId9">
            <anchor moveWithCells="1">
              <from>
                <xdr:col>0</xdr:col>
                <xdr:colOff>219075</xdr:colOff>
                <xdr:row>28</xdr:row>
                <xdr:rowOff>47625</xdr:rowOff>
              </from>
              <to>
                <xdr:col>0</xdr:col>
                <xdr:colOff>619125</xdr:colOff>
                <xdr:row>28</xdr:row>
                <xdr:rowOff>228600</xdr:rowOff>
              </to>
            </anchor>
          </controlPr>
        </control>
      </mc:Choice>
      <mc:Fallback>
        <control shapeId="32794" r:id="rId22" name="CommandButton16"/>
      </mc:Fallback>
    </mc:AlternateContent>
    <mc:AlternateContent xmlns:mc="http://schemas.openxmlformats.org/markup-compatibility/2006">
      <mc:Choice Requires="x14">
        <control shapeId="32795" r:id="rId23" name="CommandButton17">
          <controlPr defaultSize="0" autoLine="0" r:id="rId9">
            <anchor moveWithCells="1">
              <from>
                <xdr:col>0</xdr:col>
                <xdr:colOff>219075</xdr:colOff>
                <xdr:row>29</xdr:row>
                <xdr:rowOff>47625</xdr:rowOff>
              </from>
              <to>
                <xdr:col>0</xdr:col>
                <xdr:colOff>619125</xdr:colOff>
                <xdr:row>29</xdr:row>
                <xdr:rowOff>228600</xdr:rowOff>
              </to>
            </anchor>
          </controlPr>
        </control>
      </mc:Choice>
      <mc:Fallback>
        <control shapeId="32795" r:id="rId23" name="CommandButton17"/>
      </mc:Fallback>
    </mc:AlternateContent>
    <mc:AlternateContent xmlns:mc="http://schemas.openxmlformats.org/markup-compatibility/2006">
      <mc:Choice Requires="x14">
        <control shapeId="32797" r:id="rId24" name="CommandButton18">
          <controlPr defaultSize="0" autoLine="0" r:id="rId9">
            <anchor moveWithCells="1">
              <from>
                <xdr:col>0</xdr:col>
                <xdr:colOff>219075</xdr:colOff>
                <xdr:row>32</xdr:row>
                <xdr:rowOff>47625</xdr:rowOff>
              </from>
              <to>
                <xdr:col>0</xdr:col>
                <xdr:colOff>619125</xdr:colOff>
                <xdr:row>32</xdr:row>
                <xdr:rowOff>228600</xdr:rowOff>
              </to>
            </anchor>
          </controlPr>
        </control>
      </mc:Choice>
      <mc:Fallback>
        <control shapeId="32797" r:id="rId24" name="CommandButton18"/>
      </mc:Fallback>
    </mc:AlternateContent>
    <mc:AlternateContent xmlns:mc="http://schemas.openxmlformats.org/markup-compatibility/2006">
      <mc:Choice Requires="x14">
        <control shapeId="32799" r:id="rId25" name="CommandButton19">
          <controlPr defaultSize="0" autoLine="0" r:id="rId9">
            <anchor moveWithCells="1">
              <from>
                <xdr:col>0</xdr:col>
                <xdr:colOff>219075</xdr:colOff>
                <xdr:row>33</xdr:row>
                <xdr:rowOff>47625</xdr:rowOff>
              </from>
              <to>
                <xdr:col>0</xdr:col>
                <xdr:colOff>619125</xdr:colOff>
                <xdr:row>33</xdr:row>
                <xdr:rowOff>228600</xdr:rowOff>
              </to>
            </anchor>
          </controlPr>
        </control>
      </mc:Choice>
      <mc:Fallback>
        <control shapeId="32799" r:id="rId25" name="CommandButton19"/>
      </mc:Fallback>
    </mc:AlternateContent>
    <mc:AlternateContent xmlns:mc="http://schemas.openxmlformats.org/markup-compatibility/2006">
      <mc:Choice Requires="x14">
        <control shapeId="32800" r:id="rId26" name="CommandButton20">
          <controlPr defaultSize="0" autoLine="0" r:id="rId9">
            <anchor moveWithCells="1">
              <from>
                <xdr:col>0</xdr:col>
                <xdr:colOff>219075</xdr:colOff>
                <xdr:row>34</xdr:row>
                <xdr:rowOff>47625</xdr:rowOff>
              </from>
              <to>
                <xdr:col>0</xdr:col>
                <xdr:colOff>619125</xdr:colOff>
                <xdr:row>34</xdr:row>
                <xdr:rowOff>228600</xdr:rowOff>
              </to>
            </anchor>
          </controlPr>
        </control>
      </mc:Choice>
      <mc:Fallback>
        <control shapeId="32800" r:id="rId26" name="CommandButton20"/>
      </mc:Fallback>
    </mc:AlternateContent>
    <mc:AlternateContent xmlns:mc="http://schemas.openxmlformats.org/markup-compatibility/2006">
      <mc:Choice Requires="x14">
        <control shapeId="32801" r:id="rId27" name="CommandButton21">
          <controlPr defaultSize="0" autoLine="0" r:id="rId9">
            <anchor moveWithCells="1">
              <from>
                <xdr:col>0</xdr:col>
                <xdr:colOff>219075</xdr:colOff>
                <xdr:row>35</xdr:row>
                <xdr:rowOff>47625</xdr:rowOff>
              </from>
              <to>
                <xdr:col>0</xdr:col>
                <xdr:colOff>619125</xdr:colOff>
                <xdr:row>35</xdr:row>
                <xdr:rowOff>228600</xdr:rowOff>
              </to>
            </anchor>
          </controlPr>
        </control>
      </mc:Choice>
      <mc:Fallback>
        <control shapeId="32801" r:id="rId27" name="CommandButton21"/>
      </mc:Fallback>
    </mc:AlternateContent>
    <mc:AlternateContent xmlns:mc="http://schemas.openxmlformats.org/markup-compatibility/2006">
      <mc:Choice Requires="x14">
        <control shapeId="32802" r:id="rId28" name="CommandButton22">
          <controlPr defaultSize="0" autoLine="0" r:id="rId9">
            <anchor moveWithCells="1">
              <from>
                <xdr:col>0</xdr:col>
                <xdr:colOff>219075</xdr:colOff>
                <xdr:row>36</xdr:row>
                <xdr:rowOff>47625</xdr:rowOff>
              </from>
              <to>
                <xdr:col>0</xdr:col>
                <xdr:colOff>619125</xdr:colOff>
                <xdr:row>36</xdr:row>
                <xdr:rowOff>228600</xdr:rowOff>
              </to>
            </anchor>
          </controlPr>
        </control>
      </mc:Choice>
      <mc:Fallback>
        <control shapeId="32802" r:id="rId28" name="CommandButton2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紅綠燈">
    <pageSetUpPr fitToPage="1"/>
  </sheetPr>
  <dimension ref="A1:AT266"/>
  <sheetViews>
    <sheetView tabSelected="1" zoomScale="80" zoomScaleNormal="80" workbookViewId="0">
      <pane xSplit="11" ySplit="1" topLeftCell="L2" activePane="bottomRight" state="frozen"/>
      <selection pane="topRight" activeCell="L1" sqref="L1"/>
      <selection pane="bottomLeft" activeCell="A2" sqref="A2"/>
      <selection pane="bottomRight" activeCell="B1" sqref="B1"/>
    </sheetView>
  </sheetViews>
  <sheetFormatPr defaultRowHeight="16.5"/>
  <cols>
    <col min="1" max="1" width="10.625" style="1" customWidth="1"/>
    <col min="2" max="2" width="58.125" style="1" customWidth="1"/>
    <col min="3" max="3" width="10.625" style="1" customWidth="1"/>
    <col min="4" max="4" width="0.75" style="1" customWidth="1"/>
    <col min="5" max="5" width="10.625" style="1" customWidth="1"/>
    <col min="6" max="9" width="14.5" style="1" customWidth="1"/>
    <col min="10" max="10" width="10.625" style="1" customWidth="1"/>
    <col min="11" max="13" width="0.375" style="1" customWidth="1"/>
    <col min="14" max="14" width="15.75" hidden="1" customWidth="1"/>
    <col min="15" max="22" width="7.625" customWidth="1"/>
    <col min="23" max="25" width="0.125" customWidth="1"/>
    <col min="26" max="26" width="0.75" customWidth="1"/>
    <col min="27" max="27" width="0.625" style="53" customWidth="1"/>
    <col min="28" max="30" width="19.375" customWidth="1"/>
    <col min="31" max="31" width="2.25" customWidth="1"/>
    <col min="32" max="32" width="11.375" bestFit="1" customWidth="1"/>
    <col min="33" max="33" width="12.375" bestFit="1" customWidth="1"/>
    <col min="34" max="37" width="9" customWidth="1"/>
  </cols>
  <sheetData>
    <row r="1" spans="1:39" s="187" customFormat="1" ht="27.95" customHeight="1" thickBot="1">
      <c r="A1" s="295" t="s">
        <v>2218</v>
      </c>
      <c r="B1" s="349" t="s">
        <v>4064</v>
      </c>
      <c r="C1" s="379">
        <v>8</v>
      </c>
      <c r="D1" s="6"/>
      <c r="E1" s="296"/>
      <c r="F1" s="297"/>
      <c r="G1" s="297"/>
      <c r="H1" s="297"/>
      <c r="I1" s="297"/>
      <c r="J1" s="298"/>
      <c r="K1" s="6"/>
      <c r="L1" s="6"/>
      <c r="M1" s="6"/>
      <c r="N1" s="267" t="s">
        <v>2549</v>
      </c>
      <c r="O1" s="342">
        <v>1</v>
      </c>
      <c r="P1" s="343">
        <v>1</v>
      </c>
      <c r="Q1" s="343">
        <v>2</v>
      </c>
      <c r="R1" s="343">
        <v>1</v>
      </c>
      <c r="S1" s="343">
        <v>1</v>
      </c>
      <c r="T1" s="344" t="str">
        <f>"    合計     " &amp; SUM(O1:S1) &amp; " 分    "</f>
        <v xml:space="preserve">    合計     6 分    </v>
      </c>
      <c r="U1" s="344"/>
      <c r="V1" s="344"/>
      <c r="W1" s="345"/>
      <c r="X1" s="346"/>
      <c r="Y1" s="130">
        <f>SUM(Y6:Y20)</f>
        <v>0</v>
      </c>
      <c r="Z1" s="6"/>
      <c r="AA1" s="6"/>
      <c r="AB1" s="294"/>
      <c r="AC1" s="300" t="s">
        <v>2562</v>
      </c>
      <c r="AD1" s="299">
        <f ca="1">TODAY()</f>
        <v>42438</v>
      </c>
      <c r="AF1" s="361" t="s">
        <v>3258</v>
      </c>
      <c r="AG1" s="473" t="s">
        <v>3259</v>
      </c>
      <c r="AH1" s="473"/>
      <c r="AI1" s="473"/>
      <c r="AJ1" s="473"/>
      <c r="AK1" s="361" t="s">
        <v>3260</v>
      </c>
      <c r="AL1" s="1"/>
      <c r="AM1" s="1"/>
    </row>
    <row r="2" spans="1:39" ht="24" customHeight="1">
      <c r="A2" s="34"/>
      <c r="B2" s="109" t="s">
        <v>3171</v>
      </c>
      <c r="C2" s="35"/>
      <c r="D2" s="6"/>
      <c r="E2" s="35"/>
      <c r="F2" s="458" t="s">
        <v>2552</v>
      </c>
      <c r="G2" s="458"/>
      <c r="H2" s="458"/>
      <c r="I2" s="458"/>
      <c r="J2" s="36"/>
      <c r="K2" s="6"/>
      <c r="L2" s="6"/>
      <c r="M2" s="6"/>
      <c r="N2" s="266" t="s">
        <v>0</v>
      </c>
      <c r="O2" s="347" t="s">
        <v>1</v>
      </c>
      <c r="P2" s="348" t="s">
        <v>2</v>
      </c>
      <c r="Q2" s="348" t="s">
        <v>3</v>
      </c>
      <c r="R2" s="348">
        <f>VLOOKUP(,U:AC,9,0)</f>
        <v>913</v>
      </c>
      <c r="S2" s="348" t="s">
        <v>4</v>
      </c>
      <c r="T2" s="348" t="s">
        <v>5</v>
      </c>
      <c r="U2" s="348" t="s">
        <v>6</v>
      </c>
      <c r="V2" s="348" t="s">
        <v>7</v>
      </c>
      <c r="W2" s="461" t="s">
        <v>2547</v>
      </c>
      <c r="X2" s="462"/>
      <c r="Y2" s="130"/>
      <c r="Z2" s="6"/>
      <c r="AA2" s="1"/>
      <c r="AB2" s="293" t="s">
        <v>2551</v>
      </c>
      <c r="AC2" s="303">
        <v>1266000</v>
      </c>
      <c r="AD2" s="304">
        <v>1429915</v>
      </c>
      <c r="AE2" s="1"/>
      <c r="AF2" s="86">
        <f>AD2/1000</f>
        <v>1429.915</v>
      </c>
      <c r="AG2" s="362">
        <f>(S3-O3)/O3</f>
        <v>0.22278056951423786</v>
      </c>
      <c r="AH2" s="362">
        <f t="shared" ref="AH2:AJ2" si="0">(T3-P3)/P3</f>
        <v>0.40192307692307694</v>
      </c>
      <c r="AI2" s="362">
        <f t="shared" si="0"/>
        <v>0.6216216216216216</v>
      </c>
      <c r="AJ2" s="362">
        <f t="shared" si="0"/>
        <v>1.2446808510638299</v>
      </c>
      <c r="AK2" s="363">
        <f>((P73+P74+P75)-(P85+P86+P87))/(P85+P86+P87)</f>
        <v>0.9381845044458903</v>
      </c>
      <c r="AL2" s="1"/>
      <c r="AM2" s="1"/>
    </row>
    <row r="3" spans="1:39" ht="17.25">
      <c r="A3" s="2"/>
      <c r="B3" s="3"/>
      <c r="C3" s="3"/>
      <c r="D3" s="6"/>
      <c r="E3" s="3"/>
      <c r="F3" s="3"/>
      <c r="G3" s="3"/>
      <c r="H3" s="3"/>
      <c r="I3" s="3"/>
      <c r="J3" s="4"/>
      <c r="K3" s="6"/>
      <c r="L3" s="6"/>
      <c r="M3" s="6"/>
      <c r="N3" s="354" t="s">
        <v>215</v>
      </c>
      <c r="O3" s="147">
        <f>VLOOKUP("營業收入淨額",$B$40:$L$500,9,0)</f>
        <v>597</v>
      </c>
      <c r="P3" s="148">
        <f>VLOOKUP("營業收入淨額",$B$40:$L$500,8,0)</f>
        <v>520</v>
      </c>
      <c r="Q3" s="148">
        <f>VLOOKUP("營業收入淨額",$B$40:$L$500,7,0)</f>
        <v>592</v>
      </c>
      <c r="R3" s="148">
        <f>VLOOKUP("營業收入淨額",$B$40:$L$500,6,0)</f>
        <v>564</v>
      </c>
      <c r="S3" s="148">
        <f>VLOOKUP("營業收入淨額",$B$40:$L$500,5,0)</f>
        <v>730</v>
      </c>
      <c r="T3" s="148">
        <f>VLOOKUP("營業收入淨額",$B$40:$L$500,4,0)</f>
        <v>729</v>
      </c>
      <c r="U3" s="148">
        <f>VLOOKUP("營業收入淨額",$B$40:$L$500,3,0)</f>
        <v>960</v>
      </c>
      <c r="V3" s="148">
        <f>VLOOKUP("營業收入淨額",$B$40:$L$500,2,0)</f>
        <v>1266</v>
      </c>
      <c r="W3" s="148">
        <f>MAX(O3:V3)</f>
        <v>1266</v>
      </c>
      <c r="X3" s="149"/>
      <c r="Y3" s="130"/>
      <c r="Z3" s="6"/>
      <c r="AA3" s="1"/>
      <c r="AB3" s="291" t="s">
        <v>2514</v>
      </c>
      <c r="AC3" s="292">
        <v>163915</v>
      </c>
      <c r="AD3" s="305" t="s">
        <v>4063</v>
      </c>
      <c r="AE3" s="1"/>
      <c r="AF3" s="361" t="s">
        <v>3322</v>
      </c>
      <c r="AG3" s="367" t="s">
        <v>3261</v>
      </c>
      <c r="AH3" s="361" t="s">
        <v>3262</v>
      </c>
      <c r="AI3" s="361" t="s">
        <v>3263</v>
      </c>
      <c r="AJ3" s="370" t="s">
        <v>3320</v>
      </c>
      <c r="AK3" s="361" t="s">
        <v>3321</v>
      </c>
      <c r="AL3" s="1"/>
      <c r="AM3" s="1"/>
    </row>
    <row r="4" spans="1:39" ht="17.25">
      <c r="A4" s="2"/>
      <c r="B4" s="135"/>
      <c r="C4" s="3"/>
      <c r="D4" s="6"/>
      <c r="E4" s="3"/>
      <c r="F4" s="457"/>
      <c r="G4" s="457"/>
      <c r="H4" s="457"/>
      <c r="I4" s="457"/>
      <c r="J4" s="4"/>
      <c r="K4" s="6"/>
      <c r="L4" s="6"/>
      <c r="M4" s="6"/>
      <c r="N4" s="131" t="s">
        <v>9</v>
      </c>
      <c r="O4" s="147">
        <f>VLOOKUP("營業成本",$B$40:$L$500,9,0)</f>
        <v>491</v>
      </c>
      <c r="P4" s="148">
        <f>VLOOKUP("營業成本",$B$40:$L$500,8,0)</f>
        <v>411</v>
      </c>
      <c r="Q4" s="148">
        <f>VLOOKUP("營業成本",$B$40:$L$500,7,0)</f>
        <v>435</v>
      </c>
      <c r="R4" s="148">
        <f>VLOOKUP("營業成本",$B$40:$L$500,6,0)</f>
        <v>421</v>
      </c>
      <c r="S4" s="148">
        <f>VLOOKUP("營業成本",$B$40:$L$500,5,0)</f>
        <v>532</v>
      </c>
      <c r="T4" s="148">
        <f>VLOOKUP("營業成本",$B$40:$L$500,4,0)</f>
        <v>543</v>
      </c>
      <c r="U4" s="148">
        <f>VLOOKUP("營業成本",$B$40:$L$500,3,0)</f>
        <v>695</v>
      </c>
      <c r="V4" s="148">
        <f>VLOOKUP("營業成本",$B$40:$L$500,2,0)</f>
        <v>796</v>
      </c>
      <c r="W4" s="148"/>
      <c r="X4" s="149"/>
      <c r="Y4" s="130"/>
      <c r="Z4" s="6"/>
      <c r="AA4" s="1"/>
      <c r="AB4" s="291" t="s">
        <v>2515</v>
      </c>
      <c r="AC4" s="355">
        <v>0.231437598736177</v>
      </c>
      <c r="AD4" s="305">
        <v>0.96571428571428597</v>
      </c>
      <c r="AE4" s="261"/>
      <c r="AF4" s="371">
        <f>-SUM(Q126:Q200)</f>
        <v>0</v>
      </c>
      <c r="AG4" s="368">
        <f>-SUM(R126:R200)</f>
        <v>0</v>
      </c>
      <c r="AH4" s="368">
        <f>-SUM(S126:S200)*15</f>
        <v>0</v>
      </c>
      <c r="AI4" s="369">
        <f>-SUM(T126:T200)*15</f>
        <v>0</v>
      </c>
      <c r="AJ4" s="368">
        <f>-SUM(U126:U200)*15</f>
        <v>0</v>
      </c>
      <c r="AK4" s="368"/>
      <c r="AL4" s="1"/>
      <c r="AM4" s="1"/>
    </row>
    <row r="5" spans="1:39" ht="17.25">
      <c r="A5" s="2"/>
      <c r="B5" s="3"/>
      <c r="C5" s="3"/>
      <c r="D5" s="6"/>
      <c r="E5" s="3"/>
      <c r="F5" s="3"/>
      <c r="G5" s="3"/>
      <c r="H5" s="3"/>
      <c r="I5" s="3"/>
      <c r="J5" s="4"/>
      <c r="K5" s="6"/>
      <c r="L5" s="6"/>
      <c r="M5" s="6"/>
      <c r="N5" s="131" t="s">
        <v>217</v>
      </c>
      <c r="O5" s="147">
        <f>VLOOKUP("營業利益",$B$40:$L$500,9,0)</f>
        <v>43</v>
      </c>
      <c r="P5" s="148">
        <f>VLOOKUP("營業利益",$B$40:$L$500,8,0)</f>
        <v>49</v>
      </c>
      <c r="Q5" s="148">
        <f>VLOOKUP("營業利益",$B$40:$L$500,7,0)</f>
        <v>90</v>
      </c>
      <c r="R5" s="148">
        <f>VLOOKUP("營業利益",$B$40:$L$500,6,0)</f>
        <v>69</v>
      </c>
      <c r="S5" s="148">
        <f>VLOOKUP("營業利益",$B$40:$L$500,5,0)</f>
        <v>125</v>
      </c>
      <c r="T5" s="148">
        <f>VLOOKUP("營業利益",$B$40:$L$500,4,0)</f>
        <v>112</v>
      </c>
      <c r="U5" s="148">
        <f>VLOOKUP("營業利益",$B$40:$L$500,3,0)</f>
        <v>72</v>
      </c>
      <c r="V5" s="148">
        <f>VLOOKUP("營業利益",$B$40:$L$500,2,0)</f>
        <v>338</v>
      </c>
      <c r="W5" s="148"/>
      <c r="X5" s="149"/>
      <c r="Y5" s="130"/>
      <c r="Z5" s="6"/>
      <c r="AA5" s="1"/>
      <c r="AB5" s="291" t="s">
        <v>2516</v>
      </c>
      <c r="AC5" s="306">
        <v>2.9</v>
      </c>
      <c r="AD5" s="307">
        <v>0.1</v>
      </c>
      <c r="AE5" s="1"/>
      <c r="AF5" s="364"/>
      <c r="AG5" s="365"/>
      <c r="AH5" s="365"/>
      <c r="AI5" s="365"/>
      <c r="AJ5" s="365"/>
      <c r="AK5" s="366"/>
      <c r="AL5" s="1"/>
      <c r="AM5" s="1"/>
    </row>
    <row r="6" spans="1:39" ht="17.25">
      <c r="A6" s="2"/>
      <c r="B6" s="135"/>
      <c r="C6" s="3"/>
      <c r="D6" s="6"/>
      <c r="E6" s="3"/>
      <c r="F6" s="457"/>
      <c r="G6" s="457"/>
      <c r="H6" s="457"/>
      <c r="I6" s="457"/>
      <c r="J6" s="4"/>
      <c r="K6" s="6"/>
      <c r="L6" s="6"/>
      <c r="M6" s="6"/>
      <c r="N6" s="131" t="s">
        <v>10</v>
      </c>
      <c r="O6" s="147">
        <f>VLOOKUP("營業外收入合計",$B$40:$L$500,9,0)</f>
        <v>14</v>
      </c>
      <c r="P6" s="148">
        <f>VLOOKUP("營業外收入合計",$B$40:$L$500,8,0)</f>
        <v>11</v>
      </c>
      <c r="Q6" s="148">
        <f>VLOOKUP("營業外收入合計",$B$40:$L$500,7,0)</f>
        <v>-1</v>
      </c>
      <c r="R6" s="148">
        <f>VLOOKUP("營業外收入合計",$B$40:$L$500,6,0)</f>
        <v>10</v>
      </c>
      <c r="S6" s="148">
        <f>VLOOKUP("營業外收入合計",$B$40:$L$500,5,0)</f>
        <v>19</v>
      </c>
      <c r="T6" s="148">
        <f>VLOOKUP("營業外收入合計",$B$40:$L$500,4,0)</f>
        <v>3</v>
      </c>
      <c r="U6" s="148">
        <f>VLOOKUP("營業外收入合計",$B$40:$L$500,3,0)</f>
        <v>9</v>
      </c>
      <c r="V6" s="148">
        <f>VLOOKUP("營業外收入合計",$B$40:$L$500,2,0)</f>
        <v>13</v>
      </c>
      <c r="W6" s="148"/>
      <c r="X6" s="149"/>
      <c r="Y6" s="130"/>
      <c r="Z6" s="6"/>
      <c r="AA6" s="1"/>
      <c r="AB6" s="308" t="s">
        <v>2517</v>
      </c>
      <c r="AC6" s="292">
        <v>103800000</v>
      </c>
      <c r="AD6" s="307">
        <v>3.27</v>
      </c>
      <c r="AE6" s="1"/>
      <c r="AF6" s="364"/>
      <c r="AG6" s="365"/>
      <c r="AH6" s="365"/>
      <c r="AI6" s="365"/>
      <c r="AJ6" s="365"/>
      <c r="AK6" s="366"/>
      <c r="AL6" s="1"/>
      <c r="AM6" s="1"/>
    </row>
    <row r="7" spans="1:39" ht="18" thickBot="1">
      <c r="A7" s="2"/>
      <c r="B7" s="3"/>
      <c r="C7" s="3"/>
      <c r="D7" s="6"/>
      <c r="E7" s="3"/>
      <c r="F7" s="3"/>
      <c r="G7" s="3"/>
      <c r="H7" s="3"/>
      <c r="I7" s="3"/>
      <c r="J7" s="4"/>
      <c r="K7" s="6"/>
      <c r="L7" s="6"/>
      <c r="M7" s="6"/>
      <c r="N7" s="131" t="s">
        <v>199</v>
      </c>
      <c r="O7" s="147">
        <f>VLOOKUP("稅前淨利",$B$40:$L$500,9,0)</f>
        <v>39</v>
      </c>
      <c r="P7" s="148">
        <f>VLOOKUP("稅前淨利",$B$40:$L$500,8,0)</f>
        <v>56</v>
      </c>
      <c r="Q7" s="148">
        <f>VLOOKUP("稅前淨利",$B$40:$L$500,7,0)</f>
        <v>86</v>
      </c>
      <c r="R7" s="148">
        <f>VLOOKUP("稅前淨利",$B$40:$L$500,6,0)</f>
        <v>78</v>
      </c>
      <c r="S7" s="148">
        <f>VLOOKUP("稅前淨利",$B$40:$L$500,5,0)</f>
        <v>129</v>
      </c>
      <c r="T7" s="148">
        <f>VLOOKUP("稅前淨利",$B$40:$L$500,4,0)</f>
        <v>110</v>
      </c>
      <c r="U7" s="148">
        <f>VLOOKUP("稅前淨利",$B$40:$L$500,3,0)</f>
        <v>79</v>
      </c>
      <c r="V7" s="148">
        <f>VLOOKUP("稅前淨利",$B$40:$L$500,2,0)</f>
        <v>350</v>
      </c>
      <c r="W7" s="148"/>
      <c r="X7" s="149"/>
      <c r="Y7" s="130"/>
      <c r="Z7" s="6"/>
      <c r="AA7" s="1"/>
      <c r="AB7" s="309" t="s">
        <v>2548</v>
      </c>
      <c r="AC7" s="310">
        <v>9.94</v>
      </c>
      <c r="AD7" s="311">
        <v>0.12758620689655176</v>
      </c>
      <c r="AE7" s="1"/>
      <c r="AF7" s="364"/>
      <c r="AG7" s="365"/>
      <c r="AH7" s="365"/>
      <c r="AI7" s="365"/>
      <c r="AJ7" s="365"/>
      <c r="AK7" s="366"/>
      <c r="AL7" s="1"/>
      <c r="AM7" s="1"/>
    </row>
    <row r="8" spans="1:39" ht="17.25">
      <c r="A8" s="2"/>
      <c r="B8" s="135"/>
      <c r="C8" s="3"/>
      <c r="D8" s="6"/>
      <c r="E8" s="3"/>
      <c r="F8" s="457"/>
      <c r="G8" s="457"/>
      <c r="H8" s="457"/>
      <c r="I8" s="457"/>
      <c r="J8" s="4"/>
      <c r="K8" s="6"/>
      <c r="L8" s="6"/>
      <c r="M8" s="6"/>
      <c r="N8" s="131" t="s">
        <v>11</v>
      </c>
      <c r="O8" s="147">
        <f>VLOOKUP("本期稅後淨利",$B$40:$L$500,9,0)</f>
        <v>28</v>
      </c>
      <c r="P8" s="148">
        <f>VLOOKUP("本期稅後淨利",$B$40:$L$500,8,0)</f>
        <v>47</v>
      </c>
      <c r="Q8" s="148">
        <f>VLOOKUP("本期稅後淨利",$B$40:$L$500,7,0)</f>
        <v>71</v>
      </c>
      <c r="R8" s="148">
        <f>VLOOKUP("本期稅後淨利",$B$40:$L$500,6,0)</f>
        <v>65</v>
      </c>
      <c r="S8" s="148">
        <f>VLOOKUP("本期稅後淨利",$B$40:$L$500,5,0)</f>
        <v>107</v>
      </c>
      <c r="T8" s="148">
        <f>VLOOKUP("本期稅後淨利",$B$40:$L$500,4,0)</f>
        <v>94</v>
      </c>
      <c r="U8" s="148">
        <f>VLOOKUP("本期稅後淨利",$B$40:$L$500,3,0)</f>
        <v>75</v>
      </c>
      <c r="V8" s="148">
        <f>VLOOKUP("本期稅後淨利",$B$40:$L$500,2,0)</f>
        <v>293</v>
      </c>
      <c r="W8" s="148"/>
      <c r="X8" s="149"/>
      <c r="Y8" s="130"/>
      <c r="Z8" s="6"/>
      <c r="AA8" s="1"/>
      <c r="AB8" s="334" t="s">
        <v>2558</v>
      </c>
      <c r="AC8" s="373">
        <f>VLOOKUP(3234,PSR!A:I,9,0)</f>
        <v>1.8125773283843167</v>
      </c>
      <c r="AD8" s="376" t="s">
        <v>4055</v>
      </c>
      <c r="AE8" s="1"/>
      <c r="AF8" s="364"/>
      <c r="AG8" s="365"/>
      <c r="AH8" s="365"/>
      <c r="AI8" s="365"/>
      <c r="AJ8" s="365"/>
      <c r="AK8" s="366"/>
      <c r="AL8" s="1"/>
      <c r="AM8" s="1"/>
    </row>
    <row r="9" spans="1:39" ht="17.25">
      <c r="A9" s="2"/>
      <c r="B9" s="3"/>
      <c r="C9" s="3"/>
      <c r="D9" s="6"/>
      <c r="E9" s="3"/>
      <c r="F9" s="3"/>
      <c r="G9" s="3"/>
      <c r="H9" s="3"/>
      <c r="I9" s="3"/>
      <c r="J9" s="4"/>
      <c r="K9" s="6"/>
      <c r="L9" s="6"/>
      <c r="M9" s="6"/>
      <c r="N9" s="131" t="s">
        <v>12</v>
      </c>
      <c r="O9" s="147">
        <f>VLOOKUP("每股盈餘 (元)",$B$40:$L$500,9,0)</f>
        <v>0.28000000000000003</v>
      </c>
      <c r="P9" s="148">
        <f>VLOOKUP("每股盈餘 (元)",$B$40:$L$500,8,0)</f>
        <v>0.47</v>
      </c>
      <c r="Q9" s="148">
        <f>VLOOKUP("每股盈餘 (元)",$B$40:$L$500,7,0)</f>
        <v>0.71</v>
      </c>
      <c r="R9" s="148">
        <f>VLOOKUP("每股盈餘 (元)",$B$40:$L$500,6,0)</f>
        <v>0.65</v>
      </c>
      <c r="S9" s="148">
        <f>VLOOKUP("每股盈餘 (元)",$B$40:$L$500,5,0)</f>
        <v>1.08</v>
      </c>
      <c r="T9" s="148">
        <f>VLOOKUP("每股盈餘 (元)",$B$40:$L$500,4,0)</f>
        <v>0.99</v>
      </c>
      <c r="U9" s="148">
        <f>VLOOKUP("每股盈餘 (元)",$B$40:$L$500,3,0)</f>
        <v>0.77</v>
      </c>
      <c r="V9" s="148">
        <f>VLOOKUP("每股盈餘 (元)",$B$40:$L$500,2,0)</f>
        <v>3</v>
      </c>
      <c r="W9" s="148">
        <f>MAX(R9:V9)</f>
        <v>3</v>
      </c>
      <c r="X9" s="149"/>
      <c r="Y9" s="130"/>
      <c r="Z9" s="6"/>
      <c r="AA9" s="105"/>
      <c r="AB9" s="335" t="s">
        <v>2559</v>
      </c>
      <c r="AC9" s="374">
        <f>VLOOKUP(3234,RPS!A:F,6,0)</f>
        <v>10.27</v>
      </c>
      <c r="AD9" s="377">
        <f>VLOOKUP(A1,權息!A:F,6,0)</f>
        <v>0</v>
      </c>
      <c r="AE9" s="1"/>
      <c r="AF9" s="364"/>
      <c r="AG9" s="365"/>
      <c r="AH9" s="365"/>
      <c r="AI9" s="365"/>
      <c r="AJ9" s="365"/>
      <c r="AK9" s="366"/>
      <c r="AL9" s="1"/>
      <c r="AM9" s="1"/>
    </row>
    <row r="10" spans="1:39" ht="18" thickBot="1">
      <c r="A10" s="2"/>
      <c r="B10" s="135"/>
      <c r="C10" s="3"/>
      <c r="D10" s="6"/>
      <c r="E10" s="3"/>
      <c r="F10" s="457"/>
      <c r="G10" s="457"/>
      <c r="H10" s="457"/>
      <c r="I10" s="457"/>
      <c r="J10" s="4"/>
      <c r="K10" s="6"/>
      <c r="L10" s="6"/>
      <c r="M10" s="6"/>
      <c r="N10" s="131" t="s">
        <v>216</v>
      </c>
      <c r="O10" s="147">
        <f>VLOOKUP(" 應收帳款及票據",$B$40:$L$500,9,0)</f>
        <v>464</v>
      </c>
      <c r="P10" s="148">
        <f>VLOOKUP(" 應收帳款及票據",$B$40:$L$500,8,0)</f>
        <v>438</v>
      </c>
      <c r="Q10" s="148">
        <f>VLOOKUP(" 應收帳款及票據",$B$40:$L$500,7,0)</f>
        <v>447</v>
      </c>
      <c r="R10" s="148">
        <f>VLOOKUP(" 應收帳款及票據",$B$40:$L$500,6,0)</f>
        <v>434</v>
      </c>
      <c r="S10" s="148">
        <f>VLOOKUP(" 應收帳款及票據",$B$40:$L$500,5,0)</f>
        <v>616</v>
      </c>
      <c r="T10" s="148">
        <f>VLOOKUP(" 應收帳款及票據",$B$40:$L$500,4,0)</f>
        <v>618</v>
      </c>
      <c r="U10" s="148">
        <f>VLOOKUP(" 應收帳款及票據",$B$40:$L$500,3,0)</f>
        <v>742</v>
      </c>
      <c r="V10" s="148">
        <f>VLOOKUP(" 應收帳款及票據",$B$40:$L$500,2,0)</f>
        <v>906</v>
      </c>
      <c r="W10" s="148"/>
      <c r="X10" s="149"/>
      <c r="Y10" s="130"/>
      <c r="Z10" s="6"/>
      <c r="AA10" s="105"/>
      <c r="AB10" s="336" t="s">
        <v>2560</v>
      </c>
      <c r="AC10" s="375">
        <f>VLOOKUP(3234,葛林公式!A:L,12,0)</f>
        <v>4</v>
      </c>
      <c r="AD10" s="378">
        <f>VLOOKUP(A1,權息!A:F,5,0)</f>
        <v>5</v>
      </c>
      <c r="AE10" s="1"/>
      <c r="AF10" s="364"/>
      <c r="AG10" s="365"/>
      <c r="AH10" s="365"/>
      <c r="AI10" s="365"/>
      <c r="AJ10" s="365"/>
      <c r="AK10" s="366"/>
      <c r="AL10" s="1"/>
      <c r="AM10" s="1"/>
    </row>
    <row r="11" spans="1:39" ht="17.25">
      <c r="A11" s="2"/>
      <c r="B11" s="3"/>
      <c r="C11" s="3"/>
      <c r="D11" s="6"/>
      <c r="E11" s="3"/>
      <c r="F11" s="3"/>
      <c r="G11" s="3"/>
      <c r="H11" s="3"/>
      <c r="I11" s="3"/>
      <c r="J11" s="4"/>
      <c r="K11" s="6"/>
      <c r="L11" s="6"/>
      <c r="M11" s="6"/>
      <c r="N11" s="131" t="s">
        <v>13</v>
      </c>
      <c r="O11" s="147">
        <f>VLOOKUP(" 存貨",$B$40:$L$500,9,0)</f>
        <v>375</v>
      </c>
      <c r="P11" s="148">
        <f>VLOOKUP(" 存貨",$B$40:$L$500,8,0)</f>
        <v>365</v>
      </c>
      <c r="Q11" s="148">
        <f>VLOOKUP(" 存貨",$B$40:$L$500,7,0)</f>
        <v>435</v>
      </c>
      <c r="R11" s="148">
        <f>VLOOKUP(" 存貨",$B$40:$L$500,6,0)</f>
        <v>515</v>
      </c>
      <c r="S11" s="148">
        <f>VLOOKUP(" 存貨",$B$40:$L$500,5,0)</f>
        <v>531</v>
      </c>
      <c r="T11" s="148">
        <f>VLOOKUP(" 存貨",$B$40:$L$500,4,0)</f>
        <v>586</v>
      </c>
      <c r="U11" s="148">
        <f>VLOOKUP(" 存貨",$B$40:$L$500,3,0)</f>
        <v>670</v>
      </c>
      <c r="V11" s="148">
        <f>VLOOKUP(" 存貨",$B$40:$L$500,2,0)</f>
        <v>748</v>
      </c>
      <c r="W11" s="148"/>
      <c r="X11" s="149"/>
      <c r="Y11" s="130"/>
      <c r="Z11" s="6"/>
      <c r="AA11" s="105"/>
      <c r="AB11" s="251"/>
      <c r="AC11" s="337"/>
      <c r="AD11" s="338"/>
      <c r="AE11" s="1"/>
      <c r="AF11" s="364"/>
      <c r="AG11" s="365"/>
      <c r="AH11" s="365"/>
      <c r="AI11" s="365"/>
      <c r="AJ11" s="365"/>
      <c r="AK11" s="366"/>
      <c r="AL11" s="1"/>
      <c r="AM11" s="1"/>
    </row>
    <row r="12" spans="1:39" ht="18" thickBot="1">
      <c r="A12" s="2"/>
      <c r="B12" s="3"/>
      <c r="C12" s="3"/>
      <c r="D12" s="6"/>
      <c r="E12" s="3"/>
      <c r="F12" s="3"/>
      <c r="G12" s="3"/>
      <c r="H12" s="3"/>
      <c r="I12" s="3"/>
      <c r="J12" s="4"/>
      <c r="K12" s="6"/>
      <c r="L12" s="6"/>
      <c r="M12" s="6"/>
      <c r="N12" s="131" t="s">
        <v>14</v>
      </c>
      <c r="O12" s="147">
        <f>VLOOKUP(" 應付帳款及票據",$B$40:$L$500,9,0)</f>
        <v>231</v>
      </c>
      <c r="P12" s="148">
        <f>VLOOKUP(" 應付帳款及票據",$B$40:$L$500,8,0)</f>
        <v>204</v>
      </c>
      <c r="Q12" s="148">
        <f>VLOOKUP(" 應付帳款及票據",$B$40:$L$500,7,0)</f>
        <v>255</v>
      </c>
      <c r="R12" s="148">
        <f>VLOOKUP(" 應付帳款及票據",$B$40:$L$500,6,0)</f>
        <v>254</v>
      </c>
      <c r="S12" s="148">
        <f>VLOOKUP(" 應付帳款及票據",$B$40:$L$500,5,0)</f>
        <v>278</v>
      </c>
      <c r="T12" s="148">
        <f>VLOOKUP(" 應付帳款及票據",$B$40:$L$500,4,0)</f>
        <v>304</v>
      </c>
      <c r="U12" s="148">
        <f>VLOOKUP(" 應付帳款及票據",$B$40:$L$500,3,0)</f>
        <v>395</v>
      </c>
      <c r="V12" s="148">
        <f>VLOOKUP(" 應付帳款及票據",$B$40:$L$500,2,0)</f>
        <v>477</v>
      </c>
      <c r="W12" s="148"/>
      <c r="X12" s="149"/>
      <c r="Y12" s="130"/>
      <c r="Z12" s="6"/>
      <c r="AA12" s="105"/>
      <c r="AB12" s="339"/>
      <c r="AC12" s="340"/>
      <c r="AD12" s="341"/>
      <c r="AE12" s="1"/>
      <c r="AF12" s="1"/>
      <c r="AG12" s="187"/>
      <c r="AH12" s="187"/>
      <c r="AI12" s="187"/>
      <c r="AJ12" s="187"/>
      <c r="AL12" s="1"/>
      <c r="AM12" s="1"/>
    </row>
    <row r="13" spans="1:39" ht="5.0999999999999996" customHeight="1" thickBot="1">
      <c r="A13" s="5"/>
      <c r="B13" s="6"/>
      <c r="C13" s="6"/>
      <c r="D13" s="6"/>
      <c r="E13" s="6"/>
      <c r="F13" s="6"/>
      <c r="G13" s="6"/>
      <c r="H13" s="6"/>
      <c r="I13" s="6"/>
      <c r="J13" s="7"/>
      <c r="K13" s="6"/>
      <c r="L13" s="6"/>
      <c r="M13" s="6"/>
      <c r="N13" s="131" t="s">
        <v>15</v>
      </c>
      <c r="O13" s="147">
        <f>VLOOKUP("負債總額",$B$40:$L$500,9,0)</f>
        <v>663</v>
      </c>
      <c r="P13" s="148">
        <f>VLOOKUP("負債總額",$B$40:$L$500,8,0)</f>
        <v>642</v>
      </c>
      <c r="Q13" s="148">
        <f>VLOOKUP("負債總額",$B$40:$L$500,7,0)</f>
        <v>703</v>
      </c>
      <c r="R13" s="148">
        <f>VLOOKUP("負債總額",$B$40:$L$500,6,0)</f>
        <v>696</v>
      </c>
      <c r="S13" s="148">
        <f>VLOOKUP("負債總額",$B$40:$L$500,5,0)</f>
        <v>861</v>
      </c>
      <c r="T13" s="148">
        <f>VLOOKUP("負債總額",$B$40:$L$500,4,0)</f>
        <v>1071</v>
      </c>
      <c r="U13" s="148">
        <f>VLOOKUP("負債總額",$B$40:$L$500,3,0)</f>
        <v>1432</v>
      </c>
      <c r="V13" s="148">
        <f>VLOOKUP("負債總額",$B$40:$L$500,2,0)</f>
        <v>1605</v>
      </c>
      <c r="W13" s="148"/>
      <c r="X13" s="149"/>
      <c r="Y13" s="130"/>
      <c r="Z13" s="6"/>
      <c r="AA13" s="105"/>
      <c r="AB13" s="301"/>
      <c r="AC13" s="302"/>
      <c r="AD13" s="301"/>
      <c r="AE13" s="1"/>
      <c r="AF13" s="1"/>
      <c r="AG13" s="1"/>
      <c r="AH13" s="1"/>
      <c r="AI13" s="1"/>
      <c r="AJ13" s="1"/>
      <c r="AK13" s="1"/>
      <c r="AL13" s="1"/>
      <c r="AM13" s="1"/>
    </row>
    <row r="14" spans="1:39" ht="24" customHeight="1" thickBot="1">
      <c r="A14" s="34"/>
      <c r="B14" s="109" t="s">
        <v>1851</v>
      </c>
      <c r="C14" s="35"/>
      <c r="D14" s="6"/>
      <c r="E14" s="35"/>
      <c r="F14" s="458" t="s">
        <v>1853</v>
      </c>
      <c r="G14" s="458"/>
      <c r="H14" s="458"/>
      <c r="I14" s="458"/>
      <c r="J14" s="36"/>
      <c r="K14" s="6"/>
      <c r="L14" s="6"/>
      <c r="M14" s="6"/>
      <c r="N14" s="131" t="s">
        <v>16</v>
      </c>
      <c r="O14" s="147">
        <f>VLOOKUP("資產總額",$B$40:$L$500,9,0)</f>
        <v>2167</v>
      </c>
      <c r="P14" s="148">
        <f>VLOOKUP("資產總額",$B$40:$L$500,8,0)</f>
        <v>2194</v>
      </c>
      <c r="Q14" s="148">
        <f>VLOOKUP("資產總額",$B$40:$L$500,7,0)</f>
        <v>2232</v>
      </c>
      <c r="R14" s="148">
        <f>VLOOKUP("資產總額",$B$40:$L$500,6,0)</f>
        <v>2295</v>
      </c>
      <c r="S14" s="148">
        <f>VLOOKUP("資產總額",$B$40:$L$500,5,0)</f>
        <v>2434</v>
      </c>
      <c r="T14" s="148">
        <f>VLOOKUP("資產總額",$B$40:$L$500,4,0)</f>
        <v>2740</v>
      </c>
      <c r="U14" s="148">
        <f>VLOOKUP("資產總額",$B$40:$L$500,3,0)</f>
        <v>3076</v>
      </c>
      <c r="V14" s="148">
        <f>VLOOKUP("資產總額",$B$40:$L$500,2,0)</f>
        <v>3572</v>
      </c>
      <c r="W14" s="148"/>
      <c r="X14" s="149"/>
      <c r="Y14" s="130"/>
      <c r="Z14" s="6"/>
      <c r="AA14" s="105"/>
      <c r="AB14" s="314" t="s">
        <v>3869</v>
      </c>
      <c r="AC14" s="459" t="s">
        <v>3319</v>
      </c>
      <c r="AD14" s="460"/>
      <c r="AE14" s="1"/>
      <c r="AF14" s="1"/>
      <c r="AG14" s="1"/>
      <c r="AH14" s="1"/>
      <c r="AI14" s="1"/>
      <c r="AJ14" s="1"/>
      <c r="AK14" s="1"/>
      <c r="AL14" s="1"/>
      <c r="AM14" s="1"/>
    </row>
    <row r="15" spans="1:39" ht="17.25">
      <c r="A15" s="2"/>
      <c r="B15" s="3"/>
      <c r="C15" s="3"/>
      <c r="D15" s="6"/>
      <c r="E15" s="3"/>
      <c r="F15" s="3"/>
      <c r="G15" s="3"/>
      <c r="H15" s="3"/>
      <c r="I15" s="3"/>
      <c r="J15" s="4"/>
      <c r="K15" s="6"/>
      <c r="L15" s="6"/>
      <c r="M15" s="6"/>
      <c r="N15" s="131" t="s">
        <v>17</v>
      </c>
      <c r="O15" s="147">
        <f>VLOOKUP("來自營運之現金流量",$B$40:$L$500,9,0)</f>
        <v>117</v>
      </c>
      <c r="P15" s="148">
        <f>VLOOKUP("來自營運之現金流量",$B$40:$L$500,8,0)</f>
        <v>97</v>
      </c>
      <c r="Q15" s="148">
        <f>VLOOKUP("來自營運之現金流量",$B$40:$L$500,7,0)</f>
        <v>99</v>
      </c>
      <c r="R15" s="148">
        <f>VLOOKUP("來自營運之現金流量",$B$40:$L$500,6,0)</f>
        <v>51</v>
      </c>
      <c r="S15" s="148">
        <f>VLOOKUP("來自營運之現金流量",$B$40:$L$500,5,0)</f>
        <v>20</v>
      </c>
      <c r="T15" s="148">
        <f>VLOOKUP("來自營運之現金流量",$B$40:$L$500,4,0)</f>
        <v>129</v>
      </c>
      <c r="U15" s="148">
        <f>VLOOKUP("來自營運之現金流量",$B$40:$L$500,3,0)</f>
        <v>136</v>
      </c>
      <c r="V15" s="148">
        <f>VLOOKUP("來自營運之現金流量",$B$40:$L$500,2,0)</f>
        <v>257</v>
      </c>
      <c r="W15" s="253">
        <f>AVERAGE(R15:V15)</f>
        <v>118.6</v>
      </c>
      <c r="X15" s="256">
        <f>AVERAGE(U15:V15)</f>
        <v>196.5</v>
      </c>
      <c r="Y15" s="130"/>
      <c r="Z15" s="6"/>
      <c r="AA15" s="105"/>
      <c r="AB15" s="313" t="s">
        <v>2447</v>
      </c>
      <c r="AC15" s="315">
        <v>32342</v>
      </c>
      <c r="AD15" s="316">
        <v>32341</v>
      </c>
      <c r="AE15" s="262"/>
      <c r="AF15" s="262"/>
      <c r="AG15" s="1"/>
      <c r="AH15" s="1"/>
      <c r="AI15" s="1"/>
      <c r="AJ15" s="1"/>
      <c r="AK15" s="1"/>
      <c r="AL15" s="1"/>
      <c r="AM15" s="1"/>
    </row>
    <row r="16" spans="1:39" ht="17.25">
      <c r="A16" s="2"/>
      <c r="B16" s="135"/>
      <c r="C16" s="3"/>
      <c r="D16" s="6"/>
      <c r="E16" s="3"/>
      <c r="F16" s="457"/>
      <c r="G16" s="457"/>
      <c r="H16" s="457"/>
      <c r="I16" s="457"/>
      <c r="J16" s="4"/>
      <c r="K16" s="6"/>
      <c r="L16" s="6"/>
      <c r="M16" s="6"/>
      <c r="N16" s="131" t="s">
        <v>18</v>
      </c>
      <c r="O16" s="147">
        <v>52</v>
      </c>
      <c r="P16" s="148">
        <v>5</v>
      </c>
      <c r="Q16" s="148">
        <v>6</v>
      </c>
      <c r="R16" s="148">
        <v>36</v>
      </c>
      <c r="S16" s="148">
        <v>39</v>
      </c>
      <c r="T16" s="148">
        <v>174</v>
      </c>
      <c r="U16" s="148">
        <v>300</v>
      </c>
      <c r="V16" s="148">
        <v>337</v>
      </c>
      <c r="W16" s="253">
        <f>MAX(O16:V16)</f>
        <v>337</v>
      </c>
      <c r="X16" s="256">
        <f>AVERAGE(U16:V16)</f>
        <v>318.5</v>
      </c>
      <c r="Y16" s="130"/>
      <c r="Z16" s="6"/>
      <c r="AA16" s="105"/>
      <c r="AB16" s="317" t="s">
        <v>2493</v>
      </c>
      <c r="AC16" s="318">
        <v>1</v>
      </c>
      <c r="AD16" s="319">
        <v>1</v>
      </c>
      <c r="AE16" s="262"/>
      <c r="AF16" s="262"/>
      <c r="AG16" s="1"/>
      <c r="AH16" s="1"/>
      <c r="AI16" s="1"/>
      <c r="AJ16" s="1"/>
      <c r="AK16" s="1"/>
      <c r="AL16" s="1"/>
      <c r="AM16" s="1"/>
    </row>
    <row r="17" spans="1:39" ht="17.25">
      <c r="A17" s="2"/>
      <c r="B17" s="3"/>
      <c r="C17" s="3"/>
      <c r="D17" s="6"/>
      <c r="E17" s="3"/>
      <c r="F17" s="3"/>
      <c r="G17" s="3"/>
      <c r="H17" s="3"/>
      <c r="I17" s="3"/>
      <c r="J17" s="4"/>
      <c r="K17" s="6"/>
      <c r="L17" s="6"/>
      <c r="M17" s="6"/>
      <c r="N17" s="131" t="s">
        <v>19</v>
      </c>
      <c r="O17" s="147">
        <v>0</v>
      </c>
      <c r="P17" s="148">
        <v>0</v>
      </c>
      <c r="Q17" s="148">
        <v>0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/>
      <c r="X17" s="149"/>
      <c r="Y17" s="130"/>
      <c r="Z17" s="6"/>
      <c r="AA17" s="105"/>
      <c r="AB17" s="317" t="s">
        <v>2446</v>
      </c>
      <c r="AC17" s="320">
        <v>913</v>
      </c>
      <c r="AD17" s="321">
        <v>915</v>
      </c>
      <c r="AE17" s="263"/>
      <c r="AF17" s="263"/>
      <c r="AG17" s="1"/>
      <c r="AH17" s="1"/>
      <c r="AI17" s="1"/>
      <c r="AJ17" s="1"/>
      <c r="AK17" s="1"/>
      <c r="AL17" s="1"/>
      <c r="AM17" s="1"/>
    </row>
    <row r="18" spans="1:39" ht="17.25">
      <c r="A18" s="2"/>
      <c r="B18" s="135"/>
      <c r="C18" s="3"/>
      <c r="D18" s="6"/>
      <c r="E18" s="3"/>
      <c r="F18" s="457"/>
      <c r="G18" s="457"/>
      <c r="H18" s="457"/>
      <c r="I18" s="457"/>
      <c r="J18" s="4"/>
      <c r="K18" s="6"/>
      <c r="L18" s="6"/>
      <c r="M18" s="6"/>
      <c r="N18" s="131" t="s">
        <v>20</v>
      </c>
      <c r="O18" s="147">
        <f>VLOOKUP(" 折舊",$B$40:$L$500,9,0)</f>
        <v>38</v>
      </c>
      <c r="P18" s="148">
        <f>VLOOKUP(" 折舊",$B$40:$L$500,8,0)</f>
        <v>39</v>
      </c>
      <c r="Q18" s="148">
        <f>VLOOKUP(" 折舊",$B$40:$L$500,7,0)</f>
        <v>39</v>
      </c>
      <c r="R18" s="148">
        <f>VLOOKUP(" 折舊",$B$40:$L$500,6,0)</f>
        <v>37</v>
      </c>
      <c r="S18" s="148">
        <f>VLOOKUP(" 折舊",$B$40:$L$500,5,0)</f>
        <v>36</v>
      </c>
      <c r="T18" s="148">
        <f>VLOOKUP(" 折舊",$B$40:$L$500,4,0)</f>
        <v>36</v>
      </c>
      <c r="U18" s="148">
        <f>VLOOKUP(" 折舊",$B$40:$L$500,3,0)</f>
        <v>41</v>
      </c>
      <c r="V18" s="148">
        <f>VLOOKUP(" 折舊",$B$40:$L$500,2,0)</f>
        <v>53</v>
      </c>
      <c r="W18" s="148"/>
      <c r="X18" s="149"/>
      <c r="Y18" s="130"/>
      <c r="Z18" s="6"/>
      <c r="AA18" s="105"/>
      <c r="AB18" s="317" t="s">
        <v>2492</v>
      </c>
      <c r="AC18" s="322">
        <v>107</v>
      </c>
      <c r="AD18" s="323">
        <v>109.3</v>
      </c>
      <c r="AE18" s="263"/>
      <c r="AF18" s="263"/>
      <c r="AG18" s="1"/>
      <c r="AH18" s="1"/>
      <c r="AI18" s="1"/>
      <c r="AJ18" s="1"/>
      <c r="AK18" s="1"/>
      <c r="AL18" s="1"/>
      <c r="AM18" s="1"/>
    </row>
    <row r="19" spans="1:39" ht="18" thickBot="1">
      <c r="A19" s="2"/>
      <c r="B19" s="3"/>
      <c r="C19" s="3"/>
      <c r="D19" s="6"/>
      <c r="E19" s="3"/>
      <c r="F19" s="3"/>
      <c r="G19" s="3"/>
      <c r="H19" s="3"/>
      <c r="I19" s="3"/>
      <c r="J19" s="4"/>
      <c r="K19" s="6"/>
      <c r="L19" s="6"/>
      <c r="M19" s="6"/>
      <c r="N19" s="131" t="s">
        <v>21</v>
      </c>
      <c r="O19" s="276">
        <f>VLOOKUP(" 攤提",$B$40:$L$500,9,0)</f>
        <v>0</v>
      </c>
      <c r="P19" s="277">
        <f>VLOOKUP(" 攤提",$B$40:$L$500,8,0)</f>
        <v>0</v>
      </c>
      <c r="Q19" s="277">
        <f>VLOOKUP(" 攤提",$B$40:$L$500,7,0)</f>
        <v>0</v>
      </c>
      <c r="R19" s="277">
        <f>VLOOKUP(" 攤提",$B$40:$L$500,6,0)</f>
        <v>0</v>
      </c>
      <c r="S19" s="277">
        <f>VLOOKUP(" 攤提",$B$40:$L$500,5,0)</f>
        <v>0</v>
      </c>
      <c r="T19" s="277">
        <f>VLOOKUP(" 攤提",$B$40:$L$500,4,0)</f>
        <v>0</v>
      </c>
      <c r="U19" s="277">
        <f>VLOOKUP(" 攤提",$B$40:$L$500,3,0)</f>
        <v>0</v>
      </c>
      <c r="V19" s="277">
        <f>VLOOKUP(" 攤提",$B$40:$L$500,2,0)</f>
        <v>0</v>
      </c>
      <c r="W19" s="277"/>
      <c r="X19" s="278"/>
      <c r="Y19" s="130"/>
      <c r="Z19" s="6"/>
      <c r="AA19" s="105"/>
      <c r="AB19" s="324" t="s">
        <v>2494</v>
      </c>
      <c r="AC19" s="325">
        <v>117.1960569550931</v>
      </c>
      <c r="AD19" s="326">
        <v>119.4535519125683</v>
      </c>
      <c r="AE19" s="263"/>
      <c r="AF19" s="263"/>
      <c r="AG19" s="1"/>
      <c r="AH19" s="1"/>
      <c r="AI19" s="1"/>
      <c r="AJ19" s="1"/>
      <c r="AK19" s="1"/>
      <c r="AL19" s="1"/>
      <c r="AM19" s="1"/>
    </row>
    <row r="20" spans="1:39" ht="17.25">
      <c r="A20" s="2"/>
      <c r="B20" s="135"/>
      <c r="C20" s="3"/>
      <c r="D20" s="6"/>
      <c r="E20" s="3"/>
      <c r="F20" s="457"/>
      <c r="G20" s="457"/>
      <c r="H20" s="457"/>
      <c r="I20" s="457"/>
      <c r="J20" s="4"/>
      <c r="K20" s="6"/>
      <c r="L20" s="6"/>
      <c r="M20" s="6"/>
      <c r="N20" s="131" t="s">
        <v>22</v>
      </c>
      <c r="O20" s="147">
        <f>VLOOKUP("股東權益總額",$B$40:$L$500,9,0)</f>
        <v>1503</v>
      </c>
      <c r="P20" s="148">
        <f>VLOOKUP("股東權益總額",$B$40:$L$500,8,0)</f>
        <v>1552</v>
      </c>
      <c r="Q20" s="148">
        <f>VLOOKUP("股東權益總額",$B$40:$L$500,7,0)</f>
        <v>1529</v>
      </c>
      <c r="R20" s="148">
        <f>VLOOKUP("股東權益總額",$B$40:$L$500,6,0)</f>
        <v>1599</v>
      </c>
      <c r="S20" s="148">
        <f>VLOOKUP("股東權益總額",$B$40:$L$500,5,0)</f>
        <v>1573</v>
      </c>
      <c r="T20" s="148">
        <f>VLOOKUP("股東權益總額",$B$40:$L$500,4,0)</f>
        <v>1669</v>
      </c>
      <c r="U20" s="148">
        <f>VLOOKUP("股東權益總額",$B$40:$L$500,3,0)</f>
        <v>1644</v>
      </c>
      <c r="V20" s="148">
        <f>VLOOKUP("股東權益總額",$B$40:$L$500,2,0)</f>
        <v>1966</v>
      </c>
      <c r="W20" s="148"/>
      <c r="X20" s="149"/>
      <c r="Y20" s="130"/>
      <c r="Z20" s="6"/>
      <c r="AA20" s="105"/>
      <c r="AB20" s="312" t="s">
        <v>2508</v>
      </c>
      <c r="AC20" s="327">
        <v>109.5</v>
      </c>
      <c r="AD20" s="328">
        <v>109.3</v>
      </c>
      <c r="AE20" s="1"/>
      <c r="AF20" s="1"/>
      <c r="AG20" s="1"/>
      <c r="AH20" s="1"/>
      <c r="AI20" s="1"/>
      <c r="AJ20" s="1"/>
      <c r="AK20" s="1"/>
      <c r="AL20" s="1"/>
      <c r="AM20" s="1"/>
    </row>
    <row r="21" spans="1:39" ht="17.25">
      <c r="A21" s="2"/>
      <c r="B21" s="3"/>
      <c r="C21" s="3"/>
      <c r="D21" s="6"/>
      <c r="E21" s="3"/>
      <c r="F21" s="3"/>
      <c r="G21" s="3"/>
      <c r="H21" s="3"/>
      <c r="I21" s="3"/>
      <c r="J21" s="4"/>
      <c r="K21" s="6"/>
      <c r="L21" s="6"/>
      <c r="M21" s="6"/>
      <c r="N21" s="132" t="s">
        <v>192</v>
      </c>
      <c r="O21" s="150">
        <f>VLOOKUP(" 普通股股本",$B$40:$L$500,9,0)</f>
        <v>1012</v>
      </c>
      <c r="P21" s="151">
        <f>VLOOKUP(" 普通股股本",$B$40:$L$500,8,0)</f>
        <v>1012</v>
      </c>
      <c r="Q21" s="151">
        <f>VLOOKUP(" 普通股股本",$B$40:$L$500,7,0)</f>
        <v>1011</v>
      </c>
      <c r="R21" s="151">
        <f>VLOOKUP(" 普通股股本",$B$40:$L$500,6,0)</f>
        <v>1011</v>
      </c>
      <c r="S21" s="151">
        <f>VLOOKUP(" 普通股股本",$B$40:$L$500,5,0)</f>
        <v>1010</v>
      </c>
      <c r="T21" s="151">
        <f>VLOOKUP(" 普通股股本",$B$40:$L$500,4,0)</f>
        <v>1010</v>
      </c>
      <c r="U21" s="151">
        <f>VLOOKUP(" 普通股股本",$B$40:$L$500,3,0)</f>
        <v>1039</v>
      </c>
      <c r="V21" s="151">
        <f>VLOOKUP(" 普通股股本",$B$40:$L$500,2,0)</f>
        <v>1038</v>
      </c>
      <c r="W21" s="151"/>
      <c r="X21" s="152"/>
      <c r="Y21" s="130"/>
      <c r="Z21" s="6"/>
      <c r="AA21" s="105"/>
      <c r="AB21" s="312" t="s">
        <v>2490</v>
      </c>
      <c r="AC21" s="329">
        <v>-0.13350000000000001</v>
      </c>
      <c r="AD21" s="319">
        <v>-0.13150000000000001</v>
      </c>
      <c r="AE21" s="1"/>
      <c r="AF21" s="1"/>
      <c r="AG21" s="1"/>
      <c r="AH21" s="1"/>
      <c r="AI21" s="1"/>
      <c r="AJ21" s="1"/>
      <c r="AK21" s="1"/>
      <c r="AL21" s="1"/>
      <c r="AM21" s="1"/>
    </row>
    <row r="22" spans="1:39" ht="17.25">
      <c r="A22" s="2"/>
      <c r="B22" s="135"/>
      <c r="C22" s="3"/>
      <c r="D22" s="6"/>
      <c r="E22" s="3"/>
      <c r="F22" s="457"/>
      <c r="G22" s="457"/>
      <c r="H22" s="457"/>
      <c r="I22" s="457"/>
      <c r="J22" s="4"/>
      <c r="K22" s="6"/>
      <c r="L22" s="6"/>
      <c r="M22" s="6"/>
      <c r="N22" s="131" t="s">
        <v>23</v>
      </c>
      <c r="O22" s="153">
        <f t="shared" ref="O22:V22" si="1">IF(ISNUMBER((O3-O4)/O3),(O3-O4)/O3,0)</f>
        <v>0.17755443886097153</v>
      </c>
      <c r="P22" s="154">
        <f t="shared" si="1"/>
        <v>0.20961538461538462</v>
      </c>
      <c r="Q22" s="154">
        <f t="shared" si="1"/>
        <v>0.26520270270270269</v>
      </c>
      <c r="R22" s="154">
        <f t="shared" ref="R22" si="2">IF(ISNUMBER((R3-R4)/R3),(R3-R4)/R3,0)</f>
        <v>0.25354609929078015</v>
      </c>
      <c r="S22" s="154">
        <f t="shared" si="1"/>
        <v>0.27123287671232876</v>
      </c>
      <c r="T22" s="154">
        <f t="shared" si="1"/>
        <v>0.2551440329218107</v>
      </c>
      <c r="U22" s="154">
        <f t="shared" si="1"/>
        <v>0.27604166666666669</v>
      </c>
      <c r="V22" s="154">
        <f t="shared" si="1"/>
        <v>0.37124802527646128</v>
      </c>
      <c r="W22" s="463">
        <f>MIN(O22:V23)</f>
        <v>4.690117252931323E-2</v>
      </c>
      <c r="X22" s="464">
        <f>MAX(O22:V23)</f>
        <v>0.37124802527646128</v>
      </c>
      <c r="Y22" s="130"/>
      <c r="Z22" s="6"/>
      <c r="AA22" s="105"/>
      <c r="AB22" s="312" t="s">
        <v>2495</v>
      </c>
      <c r="AC22" s="330" t="s">
        <v>4065</v>
      </c>
      <c r="AD22" s="381" t="s">
        <v>4066</v>
      </c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18" thickBot="1">
      <c r="A23" s="2"/>
      <c r="B23" s="3"/>
      <c r="C23" s="3"/>
      <c r="D23" s="6"/>
      <c r="E23" s="3"/>
      <c r="F23" s="3"/>
      <c r="G23" s="3"/>
      <c r="H23" s="3"/>
      <c r="I23" s="3"/>
      <c r="J23" s="4"/>
      <c r="K23" s="6"/>
      <c r="L23" s="6"/>
      <c r="M23" s="6"/>
      <c r="N23" s="131" t="s">
        <v>1891</v>
      </c>
      <c r="O23" s="153">
        <f t="shared" ref="O23:Q23" si="3">IF(O3&gt;0,O8/O3,0)</f>
        <v>4.690117252931323E-2</v>
      </c>
      <c r="P23" s="154">
        <f t="shared" si="3"/>
        <v>9.0384615384615383E-2</v>
      </c>
      <c r="Q23" s="154">
        <f t="shared" si="3"/>
        <v>0.11993243243243243</v>
      </c>
      <c r="R23" s="154">
        <f t="shared" ref="R23:S23" si="4">IF(R3&gt;0,R8/R3,0)</f>
        <v>0.11524822695035461</v>
      </c>
      <c r="S23" s="154">
        <f t="shared" si="4"/>
        <v>0.14657534246575343</v>
      </c>
      <c r="T23" s="154">
        <f t="shared" ref="T23:U23" si="5">IF(T3&gt;0,T8/T3,0)</f>
        <v>0.12894375857338819</v>
      </c>
      <c r="U23" s="154">
        <f t="shared" si="5"/>
        <v>7.8125E-2</v>
      </c>
      <c r="V23" s="154">
        <f>IF(V3&gt;0,V8/V3,0)</f>
        <v>0.23143759873617695</v>
      </c>
      <c r="W23" s="463"/>
      <c r="X23" s="464"/>
      <c r="Y23" s="130"/>
      <c r="Z23" s="6"/>
      <c r="AA23" s="105"/>
      <c r="AB23" s="331"/>
      <c r="AC23" s="332"/>
      <c r="AD23" s="333"/>
      <c r="AE23" s="1"/>
      <c r="AF23" s="1"/>
      <c r="AG23" s="1"/>
      <c r="AH23" s="1"/>
      <c r="AI23" s="1"/>
      <c r="AJ23" s="1"/>
      <c r="AK23" s="1"/>
      <c r="AL23" s="1"/>
      <c r="AM23" s="1"/>
    </row>
    <row r="24" spans="1:39">
      <c r="A24" s="2"/>
      <c r="B24" s="3"/>
      <c r="C24" s="3"/>
      <c r="D24" s="6"/>
      <c r="E24" s="3"/>
      <c r="F24" s="3"/>
      <c r="G24" s="3"/>
      <c r="H24" s="3"/>
      <c r="I24" s="3"/>
      <c r="J24" s="4"/>
      <c r="K24" s="6"/>
      <c r="L24" s="6"/>
      <c r="M24" s="6"/>
      <c r="N24" s="131" t="s">
        <v>24</v>
      </c>
      <c r="O24" s="153">
        <f t="shared" ref="O24:V24" si="6">O13/O14</f>
        <v>0.30595293031841253</v>
      </c>
      <c r="P24" s="154">
        <f t="shared" si="6"/>
        <v>0.29261622607110299</v>
      </c>
      <c r="Q24" s="154">
        <f t="shared" si="6"/>
        <v>0.31496415770609321</v>
      </c>
      <c r="R24" s="154">
        <f t="shared" ref="R24" si="7">R13/R14</f>
        <v>0.30326797385620913</v>
      </c>
      <c r="S24" s="154">
        <f t="shared" si="6"/>
        <v>0.35373870172555466</v>
      </c>
      <c r="T24" s="154">
        <f t="shared" si="6"/>
        <v>0.39087591240875913</v>
      </c>
      <c r="U24" s="154">
        <f t="shared" si="6"/>
        <v>0.46553966189856955</v>
      </c>
      <c r="V24" s="154">
        <f t="shared" si="6"/>
        <v>0.44932810750279956</v>
      </c>
      <c r="W24" s="264">
        <f>MIN(O24:V24)</f>
        <v>0.29261622607110299</v>
      </c>
      <c r="X24" s="265">
        <f>MAX(O24:V24)</f>
        <v>0.46553966189856955</v>
      </c>
      <c r="Y24" s="130"/>
      <c r="Z24" s="6"/>
      <c r="AA24" s="105"/>
      <c r="AB24" s="5"/>
      <c r="AC24" s="6"/>
      <c r="AD24" s="7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5.0999999999999996" customHeight="1">
      <c r="A25" s="467"/>
      <c r="B25" s="468"/>
      <c r="C25" s="468"/>
      <c r="D25" s="468"/>
      <c r="E25" s="468"/>
      <c r="F25" s="468"/>
      <c r="G25" s="468"/>
      <c r="H25" s="468"/>
      <c r="I25" s="468"/>
      <c r="J25" s="469"/>
      <c r="K25" s="6"/>
      <c r="L25" s="6"/>
      <c r="M25" s="6"/>
      <c r="N25" s="131" t="s">
        <v>25</v>
      </c>
      <c r="O25" s="155">
        <f>P25</f>
        <v>48.289233576642339</v>
      </c>
      <c r="P25" s="156">
        <f t="shared" ref="P25:V25" si="8">IF(ISNUMBER(365/(P4*4/((O12+P12)/2))),365/(P4*4/((O12+P12)/2)),0)</f>
        <v>48.289233576642339</v>
      </c>
      <c r="Q25" s="156">
        <f t="shared" si="8"/>
        <v>48.142241379310349</v>
      </c>
      <c r="R25" s="156">
        <f t="shared" si="8"/>
        <v>55.161817102137768</v>
      </c>
      <c r="S25" s="156">
        <f t="shared" si="8"/>
        <v>45.625</v>
      </c>
      <c r="T25" s="156">
        <f t="shared" si="8"/>
        <v>48.901933701657455</v>
      </c>
      <c r="U25" s="156">
        <f t="shared" si="8"/>
        <v>45.887589928057558</v>
      </c>
      <c r="V25" s="156">
        <f t="shared" si="8"/>
        <v>49.981155778894475</v>
      </c>
      <c r="W25" s="254">
        <f>MIN(O25:V27)</f>
        <v>45.625</v>
      </c>
      <c r="X25" s="257">
        <f>MAX(O25:V27)</f>
        <v>102.95427553444181</v>
      </c>
      <c r="Y25" s="130"/>
      <c r="Z25" s="6"/>
      <c r="AA25" s="105"/>
      <c r="AB25" s="5"/>
      <c r="AC25" s="6"/>
      <c r="AD25" s="7"/>
      <c r="AE25" s="1"/>
      <c r="AF25" s="1"/>
      <c r="AG25" s="1"/>
      <c r="AH25" s="1"/>
      <c r="AI25" s="1"/>
      <c r="AJ25" s="1"/>
      <c r="AK25" s="1"/>
      <c r="AL25" s="1"/>
      <c r="AM25" s="1"/>
    </row>
    <row r="26" spans="1:39" ht="24" customHeight="1">
      <c r="A26" s="102"/>
      <c r="B26" s="109" t="s">
        <v>1852</v>
      </c>
      <c r="C26" s="103"/>
      <c r="D26" s="146"/>
      <c r="E26" s="103"/>
      <c r="F26" s="458" t="s">
        <v>2545</v>
      </c>
      <c r="G26" s="458"/>
      <c r="H26" s="458"/>
      <c r="I26" s="458"/>
      <c r="J26" s="104"/>
      <c r="K26" s="6"/>
      <c r="L26" s="6"/>
      <c r="M26" s="6"/>
      <c r="N26" s="131" t="s">
        <v>26</v>
      </c>
      <c r="O26" s="157">
        <f>P26</f>
        <v>79.14182692307692</v>
      </c>
      <c r="P26" s="158">
        <f t="shared" ref="P26:V27" si="9">IF(ISNUMBER(365/(P3*4/((O10+P10)/2))),365/(P3*4/((O10+P10)/2)),0)</f>
        <v>79.14182692307692</v>
      </c>
      <c r="Q26" s="158">
        <f t="shared" si="9"/>
        <v>68.206292229729726</v>
      </c>
      <c r="R26" s="158">
        <f t="shared" si="9"/>
        <v>71.268838652482273</v>
      </c>
      <c r="S26" s="158">
        <f t="shared" si="9"/>
        <v>65.625</v>
      </c>
      <c r="T26" s="158">
        <f t="shared" si="9"/>
        <v>77.230795610425233</v>
      </c>
      <c r="U26" s="158">
        <f t="shared" si="9"/>
        <v>64.635416666666657</v>
      </c>
      <c r="V26" s="158">
        <f t="shared" si="9"/>
        <v>59.391785150078988</v>
      </c>
      <c r="W26" s="254"/>
      <c r="X26" s="257"/>
      <c r="Y26" s="130"/>
      <c r="Z26" s="6"/>
      <c r="AA26" s="105"/>
      <c r="AB26" s="5"/>
      <c r="AC26" s="6"/>
      <c r="AD26" s="7"/>
      <c r="AE26" s="1"/>
      <c r="AF26" s="1"/>
      <c r="AG26" s="1"/>
      <c r="AH26" s="1"/>
      <c r="AI26" s="1"/>
      <c r="AJ26" s="1"/>
      <c r="AK26" s="1"/>
      <c r="AL26" s="1"/>
      <c r="AM26" s="1"/>
    </row>
    <row r="27" spans="1:39">
      <c r="A27" s="2"/>
      <c r="B27" s="3"/>
      <c r="C27" s="3"/>
      <c r="D27" s="6"/>
      <c r="E27" s="3"/>
      <c r="F27" s="3"/>
      <c r="G27" s="3"/>
      <c r="H27" s="3"/>
      <c r="I27" s="3"/>
      <c r="J27" s="4"/>
      <c r="K27" s="6"/>
      <c r="L27" s="6"/>
      <c r="M27" s="6"/>
      <c r="N27" s="131" t="s">
        <v>27</v>
      </c>
      <c r="O27" s="155">
        <f>P27</f>
        <v>82.147201946472023</v>
      </c>
      <c r="P27" s="156">
        <f t="shared" si="9"/>
        <v>82.147201946472023</v>
      </c>
      <c r="Q27" s="156">
        <f t="shared" si="9"/>
        <v>83.908045977011497</v>
      </c>
      <c r="R27" s="156">
        <f t="shared" si="9"/>
        <v>102.95427553444181</v>
      </c>
      <c r="S27" s="156">
        <f t="shared" si="9"/>
        <v>89.706296992481199</v>
      </c>
      <c r="T27" s="156">
        <f t="shared" si="9"/>
        <v>93.854742173112342</v>
      </c>
      <c r="U27" s="156">
        <f t="shared" si="9"/>
        <v>82.453237410071949</v>
      </c>
      <c r="V27" s="156">
        <f t="shared" si="9"/>
        <v>81.2766959798995</v>
      </c>
      <c r="W27" s="254"/>
      <c r="X27" s="257"/>
      <c r="Y27" s="130"/>
      <c r="Z27" s="6"/>
      <c r="AA27" s="105"/>
      <c r="AB27" s="5"/>
      <c r="AC27" s="6"/>
      <c r="AD27" s="7"/>
      <c r="AE27" s="1"/>
      <c r="AF27" s="1"/>
      <c r="AG27" s="1"/>
      <c r="AH27" s="1"/>
      <c r="AI27" s="1"/>
      <c r="AJ27" s="1"/>
      <c r="AK27" s="1"/>
      <c r="AL27" s="1"/>
      <c r="AM27" s="1"/>
    </row>
    <row r="28" spans="1:39">
      <c r="A28" s="2"/>
      <c r="B28" s="135"/>
      <c r="C28" s="3"/>
      <c r="D28" s="6"/>
      <c r="E28" s="3"/>
      <c r="F28" s="457"/>
      <c r="G28" s="457"/>
      <c r="H28" s="457"/>
      <c r="I28" s="457"/>
      <c r="J28" s="4"/>
      <c r="K28" s="6"/>
      <c r="L28" s="6"/>
      <c r="M28" s="6"/>
      <c r="N28" s="354" t="s">
        <v>28</v>
      </c>
      <c r="O28" s="159">
        <f>O26+O27</f>
        <v>161.28902886954893</v>
      </c>
      <c r="P28" s="160">
        <f t="shared" ref="P28:V28" si="10">P26+P27</f>
        <v>161.28902886954893</v>
      </c>
      <c r="Q28" s="160">
        <f t="shared" si="10"/>
        <v>152.11433820674122</v>
      </c>
      <c r="R28" s="160">
        <f t="shared" ref="R28" si="11">R26+R27</f>
        <v>174.22311418692408</v>
      </c>
      <c r="S28" s="160">
        <f t="shared" si="10"/>
        <v>155.33129699248121</v>
      </c>
      <c r="T28" s="160">
        <f t="shared" si="10"/>
        <v>171.08553778353757</v>
      </c>
      <c r="U28" s="160">
        <f t="shared" si="10"/>
        <v>147.08865407673861</v>
      </c>
      <c r="V28" s="160">
        <f t="shared" si="10"/>
        <v>140.66848112997849</v>
      </c>
      <c r="W28" s="255">
        <f>MIN(O28:V28)</f>
        <v>140.66848112997849</v>
      </c>
      <c r="X28" s="265"/>
      <c r="Y28" s="130"/>
      <c r="Z28" s="6"/>
      <c r="AA28" s="105"/>
      <c r="AB28" s="5"/>
      <c r="AC28" s="6"/>
      <c r="AD28" s="7"/>
      <c r="AE28" s="1"/>
      <c r="AF28" s="1"/>
      <c r="AG28" s="1"/>
      <c r="AH28" s="1"/>
      <c r="AI28" s="1"/>
      <c r="AJ28" s="1"/>
      <c r="AK28" s="1"/>
      <c r="AL28" s="1"/>
      <c r="AM28" s="1"/>
    </row>
    <row r="29" spans="1:39">
      <c r="A29" s="2"/>
      <c r="B29" s="3"/>
      <c r="C29" s="3"/>
      <c r="D29" s="6"/>
      <c r="E29" s="3"/>
      <c r="F29" s="3"/>
      <c r="G29" s="3"/>
      <c r="H29" s="3"/>
      <c r="I29" s="3"/>
      <c r="J29" s="4"/>
      <c r="K29" s="6"/>
      <c r="L29" s="6"/>
      <c r="M29" s="6"/>
      <c r="N29" s="131" t="s">
        <v>29</v>
      </c>
      <c r="O29" s="147">
        <f>O18+O19</f>
        <v>38</v>
      </c>
      <c r="P29" s="148">
        <f t="shared" ref="P29:V29" si="12">P18+P19</f>
        <v>39</v>
      </c>
      <c r="Q29" s="148">
        <f t="shared" si="12"/>
        <v>39</v>
      </c>
      <c r="R29" s="148">
        <f t="shared" ref="R29" si="13">R18+R19</f>
        <v>37</v>
      </c>
      <c r="S29" s="148">
        <f t="shared" si="12"/>
        <v>36</v>
      </c>
      <c r="T29" s="148">
        <f t="shared" si="12"/>
        <v>36</v>
      </c>
      <c r="U29" s="148">
        <f t="shared" si="12"/>
        <v>41</v>
      </c>
      <c r="V29" s="148">
        <f t="shared" si="12"/>
        <v>53</v>
      </c>
      <c r="W29" s="148"/>
      <c r="X29" s="149"/>
      <c r="Y29" s="130"/>
      <c r="Z29" s="6"/>
      <c r="AA29" s="105"/>
      <c r="AB29" s="5"/>
      <c r="AC29" s="6"/>
      <c r="AD29" s="7"/>
      <c r="AE29" s="1"/>
      <c r="AF29" s="1"/>
      <c r="AG29" s="1"/>
      <c r="AH29" s="1"/>
      <c r="AI29" s="1"/>
      <c r="AJ29" s="1"/>
      <c r="AK29" s="1"/>
      <c r="AL29" s="1"/>
      <c r="AM29" s="1"/>
    </row>
    <row r="30" spans="1:39">
      <c r="A30" s="2"/>
      <c r="B30" s="135"/>
      <c r="C30" s="3"/>
      <c r="D30" s="6"/>
      <c r="E30" s="3"/>
      <c r="F30" s="457"/>
      <c r="G30" s="457"/>
      <c r="H30" s="457"/>
      <c r="I30" s="457"/>
      <c r="J30" s="4"/>
      <c r="K30" s="6"/>
      <c r="L30" s="6"/>
      <c r="M30" s="6"/>
      <c r="N30" s="131" t="s">
        <v>30</v>
      </c>
      <c r="O30" s="153">
        <f>P30</f>
        <v>8.0246913580246909E-2</v>
      </c>
      <c r="P30" s="154">
        <f t="shared" ref="P30:V30" si="14">P29/(IF(P3-O3&gt;0,P3,O4)-P16)</f>
        <v>8.0246913580246909E-2</v>
      </c>
      <c r="Q30" s="154">
        <f t="shared" si="14"/>
        <v>6.655290102389079E-2</v>
      </c>
      <c r="R30" s="154">
        <f t="shared" si="14"/>
        <v>9.2731829573934832E-2</v>
      </c>
      <c r="S30" s="154">
        <f t="shared" si="14"/>
        <v>5.2098408104196817E-2</v>
      </c>
      <c r="T30" s="154">
        <f t="shared" si="14"/>
        <v>0.1005586592178771</v>
      </c>
      <c r="U30" s="154">
        <f t="shared" si="14"/>
        <v>6.2121212121212119E-2</v>
      </c>
      <c r="V30" s="154">
        <f t="shared" si="14"/>
        <v>5.7050592034445638E-2</v>
      </c>
      <c r="W30" s="148"/>
      <c r="X30" s="149"/>
      <c r="Y30" s="130"/>
      <c r="Z30" s="6"/>
      <c r="AA30" s="105"/>
      <c r="AB30" s="5"/>
      <c r="AC30" s="6"/>
      <c r="AD30" s="7"/>
      <c r="AE30" s="1"/>
      <c r="AF30" s="1"/>
      <c r="AG30" s="1"/>
      <c r="AH30" s="1"/>
      <c r="AI30" s="1"/>
      <c r="AJ30" s="1"/>
      <c r="AK30" s="1"/>
      <c r="AL30" s="1"/>
      <c r="AM30" s="1"/>
    </row>
    <row r="31" spans="1:39">
      <c r="A31" s="2"/>
      <c r="B31" s="3"/>
      <c r="C31" s="3"/>
      <c r="D31" s="6"/>
      <c r="E31" s="3"/>
      <c r="F31" s="3"/>
      <c r="G31" s="3"/>
      <c r="H31" s="3"/>
      <c r="I31" s="3"/>
      <c r="J31" s="4"/>
      <c r="K31" s="6"/>
      <c r="L31" s="6"/>
      <c r="M31" s="6"/>
      <c r="N31" s="132" t="s">
        <v>218</v>
      </c>
      <c r="O31" s="161">
        <f t="shared" ref="O31:V31" si="15">O29/O4</f>
        <v>7.7393075356415472E-2</v>
      </c>
      <c r="P31" s="162">
        <f t="shared" si="15"/>
        <v>9.4890510948905105E-2</v>
      </c>
      <c r="Q31" s="162">
        <f t="shared" si="15"/>
        <v>8.9655172413793102E-2</v>
      </c>
      <c r="R31" s="162">
        <f t="shared" ref="R31" si="16">R29/R4</f>
        <v>8.7885985748218529E-2</v>
      </c>
      <c r="S31" s="162">
        <f>S29/S4</f>
        <v>6.7669172932330823E-2</v>
      </c>
      <c r="T31" s="162">
        <f t="shared" si="15"/>
        <v>6.6298342541436461E-2</v>
      </c>
      <c r="U31" s="162">
        <f t="shared" si="15"/>
        <v>5.8992805755395686E-2</v>
      </c>
      <c r="V31" s="162">
        <f t="shared" si="15"/>
        <v>6.6582914572864318E-2</v>
      </c>
      <c r="W31" s="470">
        <f>AVERAGE(O32:V32)</f>
        <v>1.3528051464817272</v>
      </c>
      <c r="X31" s="471"/>
      <c r="Y31" s="130"/>
      <c r="Z31" s="6"/>
      <c r="AA31" s="105"/>
      <c r="AB31" s="5"/>
      <c r="AC31" s="6"/>
      <c r="AD31" s="7"/>
      <c r="AE31" s="1"/>
      <c r="AF31" s="1"/>
      <c r="AG31" s="1"/>
      <c r="AH31" s="1"/>
      <c r="AI31" s="1"/>
      <c r="AJ31" s="1"/>
      <c r="AK31" s="1"/>
      <c r="AL31" s="1"/>
      <c r="AM31" s="1"/>
    </row>
    <row r="32" spans="1:39">
      <c r="A32" s="2"/>
      <c r="B32" s="135"/>
      <c r="C32" s="3"/>
      <c r="D32" s="6"/>
      <c r="E32" s="3"/>
      <c r="F32" s="457"/>
      <c r="G32" s="457"/>
      <c r="H32" s="457"/>
      <c r="I32" s="457"/>
      <c r="J32" s="4"/>
      <c r="K32" s="6"/>
      <c r="L32" s="6"/>
      <c r="M32" s="6"/>
      <c r="N32" s="472" t="s">
        <v>31</v>
      </c>
      <c r="O32" s="163">
        <f t="shared" ref="O32:V32" si="17">IF(O8&gt;0,IF(O15&gt;O8,IF(ISNUMBER(O15/O8),O15/O8,0),0),0)</f>
        <v>4.1785714285714288</v>
      </c>
      <c r="P32" s="164">
        <f t="shared" si="17"/>
        <v>2.0638297872340425</v>
      </c>
      <c r="Q32" s="164">
        <f t="shared" si="17"/>
        <v>1.3943661971830985</v>
      </c>
      <c r="R32" s="164">
        <f t="shared" ref="R32" si="18">IF(R8&gt;0,IF(R15&gt;R8,IF(ISNUMBER(R15/R8),R15/R8,0),0),0)</f>
        <v>0</v>
      </c>
      <c r="S32" s="164">
        <f t="shared" si="17"/>
        <v>0</v>
      </c>
      <c r="T32" s="164">
        <f t="shared" si="17"/>
        <v>1.3723404255319149</v>
      </c>
      <c r="U32" s="164">
        <f t="shared" si="17"/>
        <v>1.8133333333333332</v>
      </c>
      <c r="V32" s="164">
        <f t="shared" si="17"/>
        <v>0</v>
      </c>
      <c r="W32" s="470"/>
      <c r="X32" s="471"/>
      <c r="Y32" s="130"/>
      <c r="Z32" s="6"/>
      <c r="AA32" s="105"/>
      <c r="AB32" s="5"/>
      <c r="AC32" s="6"/>
      <c r="AD32" s="7"/>
      <c r="AE32" s="1"/>
      <c r="AF32" s="1"/>
      <c r="AG32" s="1"/>
      <c r="AH32" s="1"/>
      <c r="AI32" s="1"/>
      <c r="AJ32" s="1"/>
      <c r="AK32" s="1"/>
      <c r="AL32" s="1"/>
      <c r="AM32" s="1"/>
    </row>
    <row r="33" spans="1:39">
      <c r="A33" s="2"/>
      <c r="B33" s="3"/>
      <c r="C33" s="3"/>
      <c r="D33" s="6"/>
      <c r="E33" s="3"/>
      <c r="F33" s="3"/>
      <c r="G33" s="3"/>
      <c r="H33" s="3"/>
      <c r="I33" s="3"/>
      <c r="J33" s="4"/>
      <c r="K33" s="6"/>
      <c r="L33" s="6"/>
      <c r="M33" s="6"/>
      <c r="N33" s="472"/>
      <c r="O33" s="163">
        <f>$W$31</f>
        <v>1.3528051464817272</v>
      </c>
      <c r="P33" s="164">
        <f t="shared" ref="P33:V33" si="19">$W$31</f>
        <v>1.3528051464817272</v>
      </c>
      <c r="Q33" s="164">
        <f t="shared" si="19"/>
        <v>1.3528051464817272</v>
      </c>
      <c r="R33" s="164">
        <f t="shared" si="19"/>
        <v>1.3528051464817272</v>
      </c>
      <c r="S33" s="164">
        <f t="shared" si="19"/>
        <v>1.3528051464817272</v>
      </c>
      <c r="T33" s="164">
        <f t="shared" si="19"/>
        <v>1.3528051464817272</v>
      </c>
      <c r="U33" s="164">
        <f t="shared" si="19"/>
        <v>1.3528051464817272</v>
      </c>
      <c r="V33" s="164">
        <f t="shared" si="19"/>
        <v>1.3528051464817272</v>
      </c>
      <c r="W33" s="264"/>
      <c r="X33" s="265"/>
      <c r="Y33" s="130"/>
      <c r="Z33" s="6"/>
      <c r="AA33" s="105"/>
      <c r="AB33" s="5"/>
      <c r="AC33" s="6"/>
      <c r="AD33" s="7"/>
      <c r="AE33" s="1"/>
      <c r="AF33" s="1"/>
      <c r="AG33" s="1"/>
      <c r="AH33" s="1"/>
      <c r="AI33" s="1"/>
      <c r="AJ33" s="1"/>
      <c r="AK33" s="1"/>
      <c r="AL33" s="1"/>
      <c r="AM33" s="1"/>
    </row>
    <row r="34" spans="1:39">
      <c r="A34" s="2"/>
      <c r="B34" s="135"/>
      <c r="C34" s="3"/>
      <c r="D34" s="6"/>
      <c r="E34" s="3"/>
      <c r="F34" s="457"/>
      <c r="G34" s="457"/>
      <c r="H34" s="457"/>
      <c r="I34" s="457"/>
      <c r="J34" s="4"/>
      <c r="K34" s="6"/>
      <c r="L34" s="6"/>
      <c r="M34" s="6"/>
      <c r="N34" s="132" t="s">
        <v>32</v>
      </c>
      <c r="O34" s="165">
        <f t="shared" ref="O34:V34" si="20">IF(O6&gt;0,IF((O7-O6)&gt;0,O5,0),MAX(O5,O7))</f>
        <v>43</v>
      </c>
      <c r="P34" s="166">
        <f t="shared" si="20"/>
        <v>49</v>
      </c>
      <c r="Q34" s="166">
        <f t="shared" si="20"/>
        <v>90</v>
      </c>
      <c r="R34" s="166">
        <f t="shared" ref="R34" si="21">IF(R6&gt;0,IF((R7-R6)&gt;0,R5,0),MAX(R5,R7))</f>
        <v>69</v>
      </c>
      <c r="S34" s="166">
        <f t="shared" si="20"/>
        <v>125</v>
      </c>
      <c r="T34" s="166">
        <f t="shared" si="20"/>
        <v>112</v>
      </c>
      <c r="U34" s="166">
        <f t="shared" si="20"/>
        <v>72</v>
      </c>
      <c r="V34" s="166">
        <f t="shared" si="20"/>
        <v>338</v>
      </c>
      <c r="W34" s="264"/>
      <c r="X34" s="265"/>
      <c r="Y34" s="130"/>
      <c r="Z34" s="6"/>
      <c r="AA34" s="105"/>
      <c r="AB34" s="5"/>
      <c r="AC34" s="6"/>
      <c r="AD34" s="7"/>
      <c r="AE34" s="1"/>
      <c r="AF34" s="1"/>
      <c r="AG34" s="1"/>
      <c r="AH34" s="1"/>
      <c r="AI34" s="1"/>
      <c r="AJ34" s="1"/>
      <c r="AK34" s="1"/>
      <c r="AL34" s="1"/>
      <c r="AM34" s="1"/>
    </row>
    <row r="35" spans="1:39">
      <c r="A35" s="2"/>
      <c r="B35" s="3"/>
      <c r="C35" s="3"/>
      <c r="D35" s="6"/>
      <c r="E35" s="3"/>
      <c r="F35" s="3"/>
      <c r="G35" s="3"/>
      <c r="H35" s="3"/>
      <c r="I35" s="3"/>
      <c r="J35" s="4"/>
      <c r="K35" s="6"/>
      <c r="L35" s="6"/>
      <c r="M35" s="6"/>
      <c r="N35" s="132" t="s">
        <v>33</v>
      </c>
      <c r="O35" s="153">
        <f t="shared" ref="O35:U35" si="22">O34/O7</f>
        <v>1.1025641025641026</v>
      </c>
      <c r="P35" s="154">
        <f t="shared" si="22"/>
        <v>0.875</v>
      </c>
      <c r="Q35" s="154">
        <f t="shared" si="22"/>
        <v>1.0465116279069768</v>
      </c>
      <c r="R35" s="154">
        <f t="shared" ref="R35" si="23">R34/R7</f>
        <v>0.88461538461538458</v>
      </c>
      <c r="S35" s="154">
        <f t="shared" si="22"/>
        <v>0.96899224806201545</v>
      </c>
      <c r="T35" s="154">
        <f t="shared" si="22"/>
        <v>1.0181818181818181</v>
      </c>
      <c r="U35" s="154">
        <f t="shared" si="22"/>
        <v>0.91139240506329111</v>
      </c>
      <c r="V35" s="154">
        <f>IF(ISNUMBER(V6),V34/V7,1)</f>
        <v>0.96571428571428575</v>
      </c>
      <c r="W35" s="148"/>
      <c r="X35" s="149"/>
      <c r="Y35" s="130"/>
      <c r="Z35" s="6"/>
      <c r="AA35" s="105"/>
      <c r="AB35" s="5"/>
      <c r="AC35" s="6"/>
      <c r="AD35" s="7"/>
      <c r="AE35" s="1"/>
      <c r="AF35" s="1"/>
      <c r="AG35" s="1"/>
      <c r="AH35" s="1"/>
      <c r="AI35" s="1"/>
      <c r="AJ35" s="1"/>
      <c r="AK35" s="1"/>
      <c r="AL35" s="1"/>
      <c r="AM35" s="1"/>
    </row>
    <row r="36" spans="1:39" ht="21" customHeight="1" thickBot="1">
      <c r="A36" s="8"/>
      <c r="B36" s="9"/>
      <c r="C36" s="9"/>
      <c r="D36" s="100"/>
      <c r="E36" s="9"/>
      <c r="F36" s="9"/>
      <c r="G36" s="9"/>
      <c r="H36" s="9"/>
      <c r="I36" s="9"/>
      <c r="J36" s="10"/>
      <c r="K36" s="100"/>
      <c r="L36" s="100"/>
      <c r="M36" s="100"/>
      <c r="N36" s="281" t="s">
        <v>34</v>
      </c>
      <c r="O36" s="275"/>
      <c r="P36" s="268">
        <f>Q36</f>
        <v>7.7836411609498682E-2</v>
      </c>
      <c r="Q36" s="268">
        <f>(Q8+P8)*2/(O20+Q20)</f>
        <v>7.7836411609498682E-2</v>
      </c>
      <c r="R36" s="268">
        <f>(R8+Q8)*2/(P20+R20)</f>
        <v>8.6321802602348466E-2</v>
      </c>
      <c r="S36" s="268">
        <f>(S8+R8+Q8+P8)/(O20+S20)</f>
        <v>9.4278283485045508E-2</v>
      </c>
      <c r="T36" s="268">
        <f>(T8+S8+R8+Q8)/(P20+T20)</f>
        <v>0.10462589257994412</v>
      </c>
      <c r="U36" s="268">
        <f>(U8+T8+S8+R8)/(Q20+U20)</f>
        <v>0.10746927198235108</v>
      </c>
      <c r="V36" s="268">
        <f>(V8+U8+T8+S8)/(R20+V20)</f>
        <v>0.15960729312762972</v>
      </c>
      <c r="W36" s="258"/>
      <c r="X36" s="259"/>
      <c r="Y36" s="130"/>
      <c r="Z36" s="6"/>
      <c r="AA36" s="105"/>
      <c r="AB36" s="99"/>
      <c r="AC36" s="100"/>
      <c r="AD36" s="101"/>
      <c r="AE36" s="1"/>
      <c r="AF36" s="1"/>
      <c r="AG36" s="1"/>
      <c r="AH36" s="1"/>
      <c r="AI36" s="1"/>
      <c r="AJ36" s="1"/>
      <c r="AK36" s="1"/>
      <c r="AL36" s="1"/>
      <c r="AM36" s="1"/>
    </row>
    <row r="37" spans="1:39" s="1" customFormat="1">
      <c r="A37" s="6"/>
      <c r="B37" s="6"/>
      <c r="C37" s="6"/>
      <c r="D37" s="6"/>
      <c r="E37" s="6"/>
      <c r="F37" s="6"/>
      <c r="G37" s="6"/>
      <c r="H37" s="6"/>
      <c r="I37" s="6"/>
      <c r="J37" s="282"/>
      <c r="K37" s="282"/>
      <c r="L37" s="282"/>
      <c r="M37" s="282"/>
      <c r="N37" s="283" t="s">
        <v>44</v>
      </c>
      <c r="O37" s="274">
        <f>O15-O16</f>
        <v>65</v>
      </c>
      <c r="P37" s="274">
        <f>P15-P16</f>
        <v>92</v>
      </c>
      <c r="Q37" s="274">
        <f t="shared" ref="Q37:V37" si="24">Q15-Q16</f>
        <v>93</v>
      </c>
      <c r="R37" s="274">
        <f t="shared" ref="R37" si="25">R15-R16</f>
        <v>15</v>
      </c>
      <c r="S37" s="274">
        <f t="shared" si="24"/>
        <v>-19</v>
      </c>
      <c r="T37" s="274">
        <f t="shared" si="24"/>
        <v>-45</v>
      </c>
      <c r="U37" s="274">
        <f t="shared" si="24"/>
        <v>-164</v>
      </c>
      <c r="V37" s="274">
        <f t="shared" si="24"/>
        <v>-80</v>
      </c>
      <c r="W37" s="151"/>
      <c r="X37" s="151"/>
      <c r="Y37" s="151"/>
      <c r="Z37" s="282"/>
      <c r="AA37" s="284"/>
      <c r="AB37" s="282"/>
      <c r="AC37" s="6"/>
      <c r="AD37" s="6"/>
      <c r="AE37" s="6"/>
      <c r="AF37" s="6"/>
    </row>
    <row r="38" spans="1:39" s="1" customFormat="1">
      <c r="J38" s="285"/>
      <c r="K38" s="285"/>
      <c r="L38" s="285"/>
      <c r="M38" s="285"/>
      <c r="N38" s="286" t="s">
        <v>2550</v>
      </c>
      <c r="O38" s="269">
        <f>O9*O35</f>
        <v>0.30871794871794878</v>
      </c>
      <c r="P38" s="269">
        <f t="shared" ref="P38:V38" si="26">P9*P35</f>
        <v>0.41125</v>
      </c>
      <c r="Q38" s="269">
        <f t="shared" si="26"/>
        <v>0.74302325581395356</v>
      </c>
      <c r="R38" s="269">
        <f t="shared" ref="R38" si="27">R9*R35</f>
        <v>0.57499999999999996</v>
      </c>
      <c r="S38" s="269">
        <f t="shared" si="26"/>
        <v>1.0465116279069768</v>
      </c>
      <c r="T38" s="269">
        <f t="shared" si="26"/>
        <v>1.0079999999999998</v>
      </c>
      <c r="U38" s="269">
        <f t="shared" si="26"/>
        <v>0.70177215189873421</v>
      </c>
      <c r="V38" s="269">
        <f t="shared" si="26"/>
        <v>2.8971428571428572</v>
      </c>
      <c r="W38" s="282">
        <f>AD6</f>
        <v>3.27</v>
      </c>
      <c r="X38" s="282"/>
      <c r="Y38" s="285"/>
      <c r="Z38" s="285"/>
      <c r="AA38" s="284"/>
      <c r="AB38" s="285"/>
    </row>
    <row r="39" spans="1:39" s="1" customFormat="1">
      <c r="J39" s="285"/>
      <c r="K39" s="285"/>
      <c r="L39" s="285"/>
      <c r="M39" s="285"/>
      <c r="N39" s="287" t="s">
        <v>2546</v>
      </c>
      <c r="O39" s="269">
        <f>O9*(1-O35)</f>
        <v>-2.8717948717948742E-2</v>
      </c>
      <c r="P39" s="269">
        <f t="shared" ref="P39:V39" si="28">P9*(1-P35)</f>
        <v>5.8749999999999997E-2</v>
      </c>
      <c r="Q39" s="269">
        <f t="shared" si="28"/>
        <v>-3.3023255813953545E-2</v>
      </c>
      <c r="R39" s="269">
        <f t="shared" ref="R39" si="29">R9*(1-R35)</f>
        <v>7.5000000000000025E-2</v>
      </c>
      <c r="S39" s="269">
        <f t="shared" si="28"/>
        <v>3.3488372093023321E-2</v>
      </c>
      <c r="T39" s="269">
        <f t="shared" si="28"/>
        <v>-1.7999999999999895E-2</v>
      </c>
      <c r="U39" s="269">
        <f t="shared" si="28"/>
        <v>6.8227848101265851E-2</v>
      </c>
      <c r="V39" s="269">
        <f t="shared" si="28"/>
        <v>0.10285714285714276</v>
      </c>
      <c r="W39" s="288">
        <f>AVERAGE(R39:V39)</f>
        <v>5.2314672610286418E-2</v>
      </c>
      <c r="X39" s="282"/>
      <c r="Y39" s="285"/>
      <c r="Z39" s="285"/>
      <c r="AA39" s="284"/>
      <c r="AB39" s="285"/>
    </row>
    <row r="40" spans="1:39" s="1" customFormat="1" ht="25.5">
      <c r="C40" s="111"/>
      <c r="D40" s="11"/>
      <c r="E40" s="11"/>
      <c r="F40" s="11"/>
      <c r="G40" s="11"/>
      <c r="H40" s="11"/>
      <c r="I40" s="11"/>
      <c r="J40" s="289"/>
      <c r="K40" s="285"/>
      <c r="L40" s="285"/>
      <c r="M40" s="285"/>
      <c r="N40" s="287"/>
      <c r="O40" s="270"/>
      <c r="P40" s="270"/>
      <c r="Q40" s="270"/>
      <c r="R40" s="270"/>
      <c r="S40" s="270"/>
      <c r="T40" s="270"/>
      <c r="U40" s="270"/>
      <c r="V40" s="270"/>
      <c r="W40" s="282"/>
      <c r="X40" s="285"/>
      <c r="Y40" s="285"/>
      <c r="Z40" s="285"/>
      <c r="AA40" s="284"/>
      <c r="AB40" s="285"/>
    </row>
    <row r="41" spans="1:39" s="1" customFormat="1">
      <c r="C41" s="11"/>
      <c r="D41" s="11"/>
      <c r="E41" s="11"/>
      <c r="F41" s="11"/>
      <c r="G41" s="11"/>
      <c r="H41" s="11"/>
      <c r="I41" s="11"/>
      <c r="J41" s="289"/>
      <c r="K41" s="285"/>
      <c r="L41" s="285"/>
      <c r="M41" s="285"/>
      <c r="N41" s="287"/>
      <c r="O41" s="270"/>
      <c r="P41" s="270"/>
      <c r="Q41" s="270"/>
      <c r="R41" s="270"/>
      <c r="S41" s="270"/>
      <c r="T41" s="270"/>
      <c r="U41" s="270"/>
      <c r="V41" s="270"/>
      <c r="W41" s="285"/>
      <c r="X41" s="285"/>
      <c r="Y41" s="285"/>
      <c r="Z41" s="285"/>
      <c r="AA41" s="284"/>
      <c r="AB41" s="285"/>
    </row>
    <row r="42" spans="1:39" s="1" customFormat="1">
      <c r="C42" s="11"/>
      <c r="D42" s="11"/>
      <c r="E42" s="11"/>
      <c r="F42" s="11"/>
      <c r="G42" s="11"/>
      <c r="H42" s="11"/>
      <c r="I42" s="11"/>
      <c r="J42" s="289"/>
      <c r="K42" s="285"/>
      <c r="L42" s="285"/>
      <c r="M42" s="285"/>
      <c r="N42" s="287"/>
      <c r="O42" s="271"/>
      <c r="P42" s="271"/>
      <c r="Q42" s="271"/>
      <c r="R42" s="271"/>
      <c r="S42" s="271"/>
      <c r="T42" s="271"/>
      <c r="U42" s="271"/>
      <c r="V42" s="271"/>
      <c r="W42" s="285"/>
      <c r="X42" s="285"/>
      <c r="Y42" s="285"/>
      <c r="Z42" s="285"/>
      <c r="AA42" s="284"/>
      <c r="AB42" s="285"/>
    </row>
    <row r="43" spans="1:39">
      <c r="J43" s="285"/>
      <c r="K43" s="285"/>
      <c r="L43" s="285"/>
      <c r="M43" s="285"/>
      <c r="N43" s="287"/>
      <c r="O43" s="272"/>
      <c r="P43" s="272"/>
      <c r="Q43" s="272"/>
      <c r="R43" s="272"/>
      <c r="S43" s="272"/>
      <c r="T43" s="272"/>
      <c r="U43" s="272"/>
      <c r="V43" s="272"/>
      <c r="W43" s="285"/>
      <c r="X43" s="285"/>
      <c r="Y43" s="285"/>
      <c r="Z43" s="285"/>
      <c r="AA43" s="284"/>
      <c r="AB43" s="285"/>
      <c r="AC43" s="1"/>
      <c r="AD43" s="1"/>
      <c r="AE43" s="1"/>
      <c r="AF43" s="1"/>
      <c r="AG43" s="1"/>
      <c r="AH43" s="1"/>
      <c r="AI43" s="1"/>
    </row>
    <row r="44" spans="1:39">
      <c r="J44" s="285"/>
      <c r="K44" s="285"/>
      <c r="L44" s="285"/>
      <c r="M44" s="285"/>
      <c r="N44" s="287"/>
      <c r="O44" s="270"/>
      <c r="P44" s="270"/>
      <c r="Q44" s="270"/>
      <c r="R44" s="270"/>
      <c r="S44" s="270"/>
      <c r="T44" s="270"/>
      <c r="U44" s="270"/>
      <c r="V44" s="270"/>
      <c r="W44" s="285"/>
      <c r="X44" s="285"/>
      <c r="Y44" s="285"/>
      <c r="Z44" s="285"/>
      <c r="AA44" s="284"/>
      <c r="AB44" s="285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spans="1:39">
      <c r="J45" s="285"/>
      <c r="K45" s="285"/>
      <c r="L45" s="285"/>
      <c r="M45" s="285"/>
      <c r="N45" s="287"/>
      <c r="O45" s="270"/>
      <c r="P45" s="270"/>
      <c r="Q45" s="270"/>
      <c r="R45" s="270"/>
      <c r="S45" s="270"/>
      <c r="T45" s="270"/>
      <c r="U45" s="270"/>
      <c r="V45" s="270"/>
      <c r="W45" s="285"/>
      <c r="X45" s="285"/>
      <c r="Y45" s="285"/>
      <c r="Z45" s="285"/>
      <c r="AA45" s="284"/>
      <c r="AB45" s="285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spans="1:39">
      <c r="C46" s="11"/>
      <c r="D46" s="11"/>
      <c r="E46" s="11"/>
      <c r="F46" s="11"/>
      <c r="G46" s="11"/>
      <c r="H46" s="11"/>
      <c r="I46" s="11"/>
      <c r="J46" s="289"/>
      <c r="K46" s="285"/>
      <c r="L46" s="285"/>
      <c r="M46" s="285"/>
      <c r="N46" s="287"/>
      <c r="O46" s="272"/>
      <c r="P46" s="272"/>
      <c r="Q46" s="272"/>
      <c r="R46" s="272"/>
      <c r="S46" s="272"/>
      <c r="T46" s="272"/>
      <c r="U46" s="272"/>
      <c r="V46" s="272"/>
      <c r="W46" s="285"/>
      <c r="X46" s="285"/>
      <c r="Y46" s="285"/>
      <c r="Z46" s="285"/>
      <c r="AA46" s="284"/>
      <c r="AB46" s="285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spans="1:39">
      <c r="C47" s="11"/>
      <c r="D47" s="11"/>
      <c r="E47" s="11"/>
      <c r="F47" s="11"/>
      <c r="G47" s="11"/>
      <c r="H47" s="11"/>
      <c r="I47" s="11"/>
      <c r="J47" s="11"/>
      <c r="N47" s="287"/>
      <c r="O47" s="270"/>
      <c r="P47" s="270"/>
      <c r="Q47" s="270"/>
      <c r="R47" s="270"/>
      <c r="S47" s="270"/>
      <c r="T47" s="270"/>
      <c r="U47" s="270"/>
      <c r="V47" s="270"/>
      <c r="W47" s="1"/>
      <c r="X47" s="1"/>
      <c r="Y47" s="1"/>
      <c r="Z47" s="1"/>
      <c r="AA47" s="105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spans="1:39">
      <c r="C48" s="11"/>
      <c r="D48" s="11"/>
      <c r="E48" s="11"/>
      <c r="F48" s="11"/>
      <c r="G48" s="11"/>
      <c r="H48" s="11"/>
      <c r="I48" s="11"/>
      <c r="J48" s="11"/>
      <c r="N48" s="280"/>
      <c r="O48" s="269"/>
      <c r="P48" s="269"/>
      <c r="Q48" s="269"/>
      <c r="R48" s="269"/>
      <c r="S48" s="356"/>
      <c r="T48" s="356"/>
      <c r="U48" s="356"/>
      <c r="V48" s="356"/>
      <c r="W48" s="1"/>
      <c r="X48" s="1"/>
      <c r="Y48" s="1"/>
      <c r="Z48" s="1"/>
      <c r="AA48" s="105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spans="2:39">
      <c r="N49" s="280"/>
      <c r="O49" s="272"/>
      <c r="P49" s="272"/>
      <c r="Q49" s="272"/>
      <c r="R49" s="272"/>
      <c r="S49" s="272"/>
      <c r="T49" s="272"/>
      <c r="U49" s="272"/>
      <c r="V49" s="272"/>
      <c r="W49" s="1"/>
      <c r="X49" s="1"/>
      <c r="Y49" s="1"/>
      <c r="Z49" s="1"/>
      <c r="AA49" s="105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spans="2:39" ht="17.25" customHeight="1">
      <c r="C50" s="11"/>
      <c r="D50" s="11"/>
      <c r="E50" s="11"/>
      <c r="F50" s="11"/>
      <c r="G50" s="11"/>
      <c r="H50" s="11"/>
      <c r="I50" s="11"/>
      <c r="J50" s="11"/>
      <c r="N50" s="1"/>
      <c r="O50" s="273"/>
      <c r="P50" s="273"/>
      <c r="Q50" s="273"/>
      <c r="R50" s="273"/>
      <c r="S50" s="273"/>
      <c r="T50" s="273"/>
      <c r="U50" s="273"/>
      <c r="V50" s="273"/>
      <c r="W50" s="1"/>
      <c r="X50" s="1"/>
      <c r="Y50" s="1"/>
      <c r="Z50" s="1"/>
      <c r="AA50" s="105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spans="2:39" ht="17.25" customHeight="1" thickBot="1">
      <c r="C51" s="11"/>
      <c r="D51" s="11"/>
      <c r="E51" s="11"/>
      <c r="F51" s="11"/>
      <c r="G51" s="11"/>
      <c r="H51" s="11"/>
      <c r="I51" s="11"/>
      <c r="J51" s="11"/>
      <c r="N51" s="1"/>
      <c r="O51" s="273"/>
      <c r="P51" s="273"/>
      <c r="Q51" s="273"/>
      <c r="R51" s="273"/>
      <c r="S51" s="273"/>
      <c r="T51" s="273"/>
      <c r="U51" s="273"/>
      <c r="V51" s="273"/>
      <c r="W51" s="1"/>
      <c r="X51" s="1"/>
      <c r="Y51" s="1"/>
      <c r="Z51" s="1"/>
      <c r="AA51" s="105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spans="2:39" ht="17.25" customHeight="1">
      <c r="C52" s="11"/>
      <c r="D52" s="11"/>
      <c r="E52" s="11"/>
      <c r="F52" s="11"/>
      <c r="G52" s="11"/>
      <c r="H52" s="11"/>
      <c r="I52" s="11"/>
      <c r="J52" s="11"/>
      <c r="N52" s="440" t="s">
        <v>3172</v>
      </c>
      <c r="O52" s="465" t="s">
        <v>3174</v>
      </c>
      <c r="P52" s="465" t="s">
        <v>3175</v>
      </c>
      <c r="Q52" s="465" t="s">
        <v>3176</v>
      </c>
      <c r="R52" s="465" t="s">
        <v>3177</v>
      </c>
      <c r="S52" s="465" t="s">
        <v>3178</v>
      </c>
      <c r="T52" s="465" t="s">
        <v>3179</v>
      </c>
      <c r="U52" s="465" t="s">
        <v>3180</v>
      </c>
      <c r="V52" s="465" t="s">
        <v>3181</v>
      </c>
      <c r="W52" s="465" t="s">
        <v>3182</v>
      </c>
      <c r="X52" s="465" t="s">
        <v>3183</v>
      </c>
      <c r="Y52" s="465" t="s">
        <v>3184</v>
      </c>
      <c r="Z52" s="1"/>
      <c r="AA52" s="105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spans="2:39" ht="17.25" customHeight="1" thickBot="1">
      <c r="B53" s="1" t="s">
        <v>4062</v>
      </c>
      <c r="C53" s="11"/>
      <c r="D53" s="11"/>
      <c r="E53" s="11"/>
      <c r="F53" s="11"/>
      <c r="G53" s="11"/>
      <c r="H53" s="11"/>
      <c r="I53" s="11"/>
      <c r="J53" s="11"/>
      <c r="N53" s="441" t="s">
        <v>3173</v>
      </c>
      <c r="O53" s="466"/>
      <c r="P53" s="466"/>
      <c r="Q53" s="466"/>
      <c r="R53" s="466"/>
      <c r="S53" s="466"/>
      <c r="T53" s="466"/>
      <c r="U53" s="466"/>
      <c r="V53" s="466"/>
      <c r="W53" s="466"/>
      <c r="X53" s="466"/>
      <c r="Y53" s="466"/>
      <c r="Z53" s="1"/>
      <c r="AA53" s="105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spans="2:39" ht="17.25" customHeight="1">
      <c r="B54" s="1" t="s">
        <v>45</v>
      </c>
      <c r="C54" s="11"/>
      <c r="D54" s="11"/>
      <c r="E54" s="11"/>
      <c r="F54" s="11"/>
      <c r="G54" s="11"/>
      <c r="H54" s="11"/>
      <c r="I54" s="11"/>
      <c r="J54" s="11"/>
      <c r="N54" s="236" t="s">
        <v>4057</v>
      </c>
      <c r="O54" s="486">
        <v>0.60416666666666663</v>
      </c>
      <c r="P54" s="483">
        <v>101</v>
      </c>
      <c r="Q54" s="477">
        <v>101</v>
      </c>
      <c r="R54" s="477">
        <v>101.5</v>
      </c>
      <c r="S54" s="528" t="s">
        <v>4058</v>
      </c>
      <c r="T54" s="480">
        <v>5618</v>
      </c>
      <c r="U54" s="477">
        <v>97.6</v>
      </c>
      <c r="V54" s="477">
        <v>97.6</v>
      </c>
      <c r="W54" s="477">
        <v>101</v>
      </c>
      <c r="X54" s="477">
        <v>96.7</v>
      </c>
      <c r="Y54" s="106" t="s">
        <v>3186</v>
      </c>
      <c r="Z54" s="1"/>
      <c r="AA54" s="105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spans="2:39" ht="17.25" customHeight="1">
      <c r="B55" s="1" t="s">
        <v>46</v>
      </c>
      <c r="C55" s="11" t="s">
        <v>1888</v>
      </c>
      <c r="D55" s="11" t="s">
        <v>220</v>
      </c>
      <c r="E55" s="11" t="s">
        <v>47</v>
      </c>
      <c r="F55" s="11" t="s">
        <v>48</v>
      </c>
      <c r="G55" s="11" t="s">
        <v>49</v>
      </c>
      <c r="H55" s="11" t="s">
        <v>50</v>
      </c>
      <c r="I55" s="11" t="s">
        <v>51</v>
      </c>
      <c r="J55" s="11" t="s">
        <v>52</v>
      </c>
      <c r="N55" s="237" t="s">
        <v>3185</v>
      </c>
      <c r="O55" s="487"/>
      <c r="P55" s="484"/>
      <c r="Q55" s="478"/>
      <c r="R55" s="478"/>
      <c r="S55" s="529"/>
      <c r="T55" s="481"/>
      <c r="U55" s="478"/>
      <c r="V55" s="478"/>
      <c r="W55" s="478"/>
      <c r="X55" s="478"/>
      <c r="Y55" s="107" t="s">
        <v>3187</v>
      </c>
      <c r="Z55" s="1"/>
      <c r="AA55" s="105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spans="2:39" ht="17.25" customHeight="1">
      <c r="B56" s="1" t="s">
        <v>8</v>
      </c>
      <c r="C56" s="11">
        <v>1266</v>
      </c>
      <c r="D56" s="11">
        <v>960</v>
      </c>
      <c r="E56" s="11">
        <v>729</v>
      </c>
      <c r="F56" s="11">
        <v>730</v>
      </c>
      <c r="G56" s="11">
        <v>564</v>
      </c>
      <c r="H56" s="11">
        <v>592</v>
      </c>
      <c r="I56" s="11">
        <v>520</v>
      </c>
      <c r="J56" s="11">
        <v>597</v>
      </c>
      <c r="N56" s="260"/>
      <c r="O56" s="487"/>
      <c r="P56" s="484"/>
      <c r="Q56" s="478"/>
      <c r="R56" s="478"/>
      <c r="S56" s="529"/>
      <c r="T56" s="481"/>
      <c r="U56" s="478"/>
      <c r="V56" s="478"/>
      <c r="W56" s="478"/>
      <c r="X56" s="478"/>
      <c r="Y56" s="107" t="s">
        <v>3188</v>
      </c>
      <c r="Z56" s="1"/>
      <c r="AA56" s="105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spans="2:39" ht="17.25" customHeight="1" thickBot="1">
      <c r="B57" s="1" t="s">
        <v>9</v>
      </c>
      <c r="C57" s="11">
        <v>796</v>
      </c>
      <c r="D57" s="11">
        <v>695</v>
      </c>
      <c r="E57" s="11">
        <v>543</v>
      </c>
      <c r="F57" s="11">
        <v>532</v>
      </c>
      <c r="G57" s="11">
        <v>421</v>
      </c>
      <c r="H57" s="11">
        <v>435</v>
      </c>
      <c r="I57" s="11">
        <v>411</v>
      </c>
      <c r="J57" s="11">
        <v>491</v>
      </c>
      <c r="N57" s="238"/>
      <c r="O57" s="488"/>
      <c r="P57" s="485"/>
      <c r="Q57" s="479"/>
      <c r="R57" s="479"/>
      <c r="S57" s="530"/>
      <c r="T57" s="482"/>
      <c r="U57" s="479"/>
      <c r="V57" s="479"/>
      <c r="W57" s="479"/>
      <c r="X57" s="479"/>
      <c r="Y57" s="108" t="s">
        <v>3189</v>
      </c>
      <c r="Z57" s="1"/>
      <c r="AA57" s="105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spans="2:39" ht="17.25" customHeight="1" thickBot="1">
      <c r="B58" s="1" t="s">
        <v>53</v>
      </c>
      <c r="C58" s="11">
        <v>471</v>
      </c>
      <c r="D58" s="11">
        <v>266</v>
      </c>
      <c r="E58" s="11">
        <v>186</v>
      </c>
      <c r="F58" s="11">
        <v>198</v>
      </c>
      <c r="G58" s="11">
        <v>143</v>
      </c>
      <c r="H58" s="11">
        <v>157</v>
      </c>
      <c r="I58" s="11">
        <v>109</v>
      </c>
      <c r="J58" s="11">
        <v>106</v>
      </c>
      <c r="N58" s="250" t="s">
        <v>3190</v>
      </c>
      <c r="O58" s="474" t="s">
        <v>3191</v>
      </c>
      <c r="P58" s="475"/>
      <c r="Q58" s="475"/>
      <c r="R58" s="475"/>
      <c r="S58" s="475"/>
      <c r="T58" s="475"/>
      <c r="U58" s="475"/>
      <c r="V58" s="475"/>
      <c r="W58" s="475"/>
      <c r="X58" s="475"/>
      <c r="Y58" s="476"/>
    </row>
    <row r="59" spans="2:39" ht="17.25" customHeight="1">
      <c r="B59" s="1" t="s">
        <v>54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</row>
    <row r="60" spans="2:39" ht="17.25" customHeight="1">
      <c r="B60" s="1" t="s">
        <v>55</v>
      </c>
      <c r="C60" s="11">
        <v>471</v>
      </c>
      <c r="D60" s="11">
        <v>266</v>
      </c>
      <c r="E60" s="11">
        <v>186</v>
      </c>
      <c r="F60" s="11">
        <v>198</v>
      </c>
      <c r="G60" s="11">
        <v>143</v>
      </c>
      <c r="H60" s="11">
        <v>157</v>
      </c>
      <c r="I60" s="11">
        <v>109</v>
      </c>
      <c r="J60" s="11">
        <v>106</v>
      </c>
    </row>
    <row r="61" spans="2:39" ht="17.25" customHeight="1">
      <c r="B61" s="1" t="s">
        <v>56</v>
      </c>
      <c r="C61" s="11">
        <v>133</v>
      </c>
      <c r="D61" s="11">
        <v>194</v>
      </c>
      <c r="E61" s="11">
        <v>75</v>
      </c>
      <c r="F61" s="11">
        <v>73</v>
      </c>
      <c r="G61" s="11">
        <v>74</v>
      </c>
      <c r="H61" s="11">
        <v>68</v>
      </c>
      <c r="I61" s="11">
        <v>60</v>
      </c>
      <c r="J61" s="11">
        <v>63</v>
      </c>
    </row>
    <row r="62" spans="2:39" ht="17.25" customHeight="1">
      <c r="B62" s="1" t="s">
        <v>57</v>
      </c>
      <c r="C62" s="11">
        <v>16</v>
      </c>
      <c r="D62" s="11">
        <v>14</v>
      </c>
      <c r="E62" s="11">
        <v>8</v>
      </c>
      <c r="F62" s="11">
        <v>9</v>
      </c>
      <c r="G62" s="11">
        <v>9</v>
      </c>
      <c r="H62" s="11">
        <v>10</v>
      </c>
      <c r="I62" s="11">
        <v>8</v>
      </c>
      <c r="J62" s="11">
        <v>9</v>
      </c>
    </row>
    <row r="63" spans="2:39" ht="17.25" customHeight="1">
      <c r="B63" s="1" t="s">
        <v>58</v>
      </c>
      <c r="C63" s="11">
        <v>61</v>
      </c>
      <c r="D63" s="11">
        <v>145</v>
      </c>
      <c r="E63" s="11">
        <v>41</v>
      </c>
      <c r="F63" s="11">
        <v>35</v>
      </c>
      <c r="G63" s="11">
        <v>38</v>
      </c>
      <c r="H63" s="11">
        <v>30</v>
      </c>
      <c r="I63" s="11">
        <v>27</v>
      </c>
      <c r="J63" s="11">
        <v>29</v>
      </c>
    </row>
    <row r="64" spans="2:39" ht="17.25" customHeight="1">
      <c r="B64" s="1" t="s">
        <v>59</v>
      </c>
      <c r="C64" s="11">
        <v>56</v>
      </c>
      <c r="D64" s="11">
        <v>35</v>
      </c>
      <c r="E64" s="11">
        <v>26</v>
      </c>
      <c r="F64" s="11">
        <v>29</v>
      </c>
      <c r="G64" s="11">
        <v>27</v>
      </c>
      <c r="H64" s="11">
        <v>28</v>
      </c>
      <c r="I64" s="11">
        <v>24</v>
      </c>
      <c r="J64" s="11">
        <v>25</v>
      </c>
    </row>
    <row r="65" spans="2:29" ht="17.25" customHeight="1">
      <c r="B65" s="1" t="s">
        <v>60</v>
      </c>
      <c r="C65" s="11">
        <v>338</v>
      </c>
      <c r="D65" s="11">
        <v>72</v>
      </c>
      <c r="E65" s="11">
        <v>112</v>
      </c>
      <c r="F65" s="11">
        <v>125</v>
      </c>
      <c r="G65" s="11">
        <v>69</v>
      </c>
      <c r="H65" s="11">
        <v>90</v>
      </c>
      <c r="I65" s="11">
        <v>49</v>
      </c>
      <c r="J65" s="11">
        <v>43</v>
      </c>
    </row>
    <row r="66" spans="2:29" ht="17.25" customHeight="1">
      <c r="B66" s="1" t="s">
        <v>61</v>
      </c>
      <c r="C66" s="11">
        <v>0</v>
      </c>
      <c r="D66" s="11">
        <v>0</v>
      </c>
      <c r="E66" s="11">
        <v>0</v>
      </c>
      <c r="F66" s="11">
        <v>0</v>
      </c>
      <c r="G66" s="11">
        <v>0</v>
      </c>
      <c r="H66" s="11">
        <v>1</v>
      </c>
      <c r="I66" s="11">
        <v>0</v>
      </c>
      <c r="J66" s="11">
        <v>0</v>
      </c>
      <c r="O66" t="s">
        <v>4059</v>
      </c>
    </row>
    <row r="67" spans="2:29" ht="17.25" customHeight="1">
      <c r="B67" s="1" t="s">
        <v>62</v>
      </c>
      <c r="C67" s="11">
        <v>0</v>
      </c>
      <c r="D67" s="11">
        <v>4</v>
      </c>
      <c r="E67" s="11">
        <v>0</v>
      </c>
      <c r="F67" s="11">
        <v>0</v>
      </c>
      <c r="G67" s="11">
        <v>0</v>
      </c>
      <c r="H67" s="11">
        <v>0</v>
      </c>
      <c r="I67" s="11">
        <v>0</v>
      </c>
      <c r="J67" s="11">
        <v>0</v>
      </c>
    </row>
    <row r="68" spans="2:29" ht="17.25" customHeight="1">
      <c r="B68" s="1" t="s">
        <v>63</v>
      </c>
      <c r="C68" s="11">
        <v>0</v>
      </c>
      <c r="D68" s="11">
        <v>0</v>
      </c>
      <c r="E68" s="11">
        <v>0</v>
      </c>
      <c r="F68" s="11">
        <v>0</v>
      </c>
      <c r="G68" s="11">
        <v>0</v>
      </c>
      <c r="H68" s="11">
        <v>0</v>
      </c>
      <c r="I68" s="11">
        <v>0</v>
      </c>
      <c r="J68" s="11">
        <v>0</v>
      </c>
      <c r="O68" t="s">
        <v>4060</v>
      </c>
    </row>
    <row r="69" spans="2:29" ht="17.25" customHeight="1">
      <c r="B69" s="1" t="s">
        <v>64</v>
      </c>
      <c r="C69" s="11">
        <v>0</v>
      </c>
      <c r="D69" s="11">
        <v>0</v>
      </c>
      <c r="E69" s="11">
        <v>0</v>
      </c>
      <c r="F69" s="11">
        <v>0</v>
      </c>
      <c r="G69" s="11">
        <v>0</v>
      </c>
      <c r="H69" s="11">
        <v>2</v>
      </c>
      <c r="I69" s="11">
        <v>0</v>
      </c>
      <c r="J69" s="11">
        <v>0</v>
      </c>
      <c r="AC69" s="72"/>
    </row>
    <row r="70" spans="2:29" ht="17.25" customHeight="1">
      <c r="B70" s="1" t="s">
        <v>65</v>
      </c>
      <c r="C70" s="11">
        <v>0</v>
      </c>
      <c r="D70" s="11">
        <v>0</v>
      </c>
      <c r="E70" s="11">
        <v>0</v>
      </c>
      <c r="F70" s="11">
        <v>0</v>
      </c>
      <c r="G70" s="11">
        <v>0</v>
      </c>
      <c r="H70" s="11">
        <v>0</v>
      </c>
      <c r="I70" s="11">
        <v>0</v>
      </c>
      <c r="J70" s="11">
        <v>0</v>
      </c>
      <c r="O70" t="s">
        <v>4061</v>
      </c>
      <c r="AC70" s="72"/>
    </row>
    <row r="71" spans="2:29">
      <c r="B71" s="1" t="s">
        <v>66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1">
        <v>0</v>
      </c>
      <c r="O71" t="s">
        <v>3264</v>
      </c>
    </row>
    <row r="72" spans="2:29">
      <c r="B72" s="1" t="s">
        <v>67</v>
      </c>
      <c r="C72" s="11">
        <v>0</v>
      </c>
      <c r="D72" s="11">
        <v>0</v>
      </c>
      <c r="E72" s="11">
        <v>0</v>
      </c>
      <c r="F72" s="11">
        <v>0</v>
      </c>
      <c r="G72" s="11">
        <v>0</v>
      </c>
      <c r="H72" s="11">
        <v>0</v>
      </c>
      <c r="I72" s="1">
        <v>0</v>
      </c>
      <c r="J72" s="11">
        <v>0</v>
      </c>
      <c r="O72" t="s">
        <v>3265</v>
      </c>
      <c r="P72" t="s">
        <v>3266</v>
      </c>
      <c r="Q72" t="s">
        <v>3267</v>
      </c>
      <c r="R72" t="s">
        <v>3268</v>
      </c>
      <c r="S72" t="s">
        <v>3269</v>
      </c>
      <c r="T72" t="s">
        <v>3270</v>
      </c>
      <c r="U72" t="s">
        <v>3269</v>
      </c>
    </row>
    <row r="73" spans="2:29">
      <c r="B73" s="1" t="s">
        <v>68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1">
        <v>0</v>
      </c>
      <c r="O73" t="s">
        <v>3514</v>
      </c>
      <c r="P73" s="40">
        <v>425702</v>
      </c>
      <c r="Q73" s="126">
        <v>-0.19120000000000001</v>
      </c>
      <c r="R73" s="40">
        <v>209861</v>
      </c>
      <c r="S73" s="126">
        <v>1.0285</v>
      </c>
      <c r="T73" s="40">
        <v>952024</v>
      </c>
      <c r="U73" s="126">
        <v>1.0177</v>
      </c>
    </row>
    <row r="74" spans="2:29">
      <c r="B74" s="1" t="s">
        <v>69</v>
      </c>
      <c r="C74" s="11">
        <v>0</v>
      </c>
      <c r="D74" s="11">
        <v>0</v>
      </c>
      <c r="E74" s="11">
        <v>0</v>
      </c>
      <c r="F74" s="11">
        <v>0</v>
      </c>
      <c r="G74" s="11">
        <v>0</v>
      </c>
      <c r="H74" s="1">
        <v>0</v>
      </c>
      <c r="I74" s="11">
        <v>0</v>
      </c>
      <c r="J74" s="1">
        <v>0</v>
      </c>
      <c r="O74" t="s">
        <v>3271</v>
      </c>
      <c r="P74" s="40">
        <v>526321</v>
      </c>
      <c r="Q74" s="126">
        <v>0.1013</v>
      </c>
      <c r="R74" s="40">
        <v>261967</v>
      </c>
      <c r="S74" s="126">
        <v>1.0091000000000001</v>
      </c>
      <c r="T74" s="40">
        <v>526321</v>
      </c>
      <c r="U74" s="126">
        <v>1.0091000000000001</v>
      </c>
    </row>
    <row r="75" spans="2:29">
      <c r="B75" s="1" t="s">
        <v>70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O75" t="s">
        <v>3272</v>
      </c>
      <c r="P75" s="40">
        <v>477892</v>
      </c>
      <c r="Q75" s="126">
        <v>-0.1353</v>
      </c>
      <c r="R75" s="40">
        <v>265932</v>
      </c>
      <c r="S75" s="126">
        <v>0.79700000000000004</v>
      </c>
      <c r="T75" s="40">
        <v>4531541</v>
      </c>
      <c r="U75" s="126">
        <v>0.88380000000000003</v>
      </c>
    </row>
    <row r="76" spans="2:29">
      <c r="B76" s="1" t="s">
        <v>71</v>
      </c>
      <c r="C76" s="11">
        <v>10</v>
      </c>
      <c r="D76" s="11">
        <v>0</v>
      </c>
      <c r="E76" s="11">
        <v>0</v>
      </c>
      <c r="F76" s="11">
        <v>13</v>
      </c>
      <c r="G76" s="11">
        <v>7</v>
      </c>
      <c r="H76" s="1">
        <v>-6</v>
      </c>
      <c r="I76" s="11">
        <v>6</v>
      </c>
      <c r="J76" s="11">
        <v>4</v>
      </c>
      <c r="O76" t="s">
        <v>3273</v>
      </c>
      <c r="P76" s="40">
        <v>552641</v>
      </c>
      <c r="Q76" s="126">
        <v>1.32E-2</v>
      </c>
      <c r="R76" s="40">
        <v>243208</v>
      </c>
      <c r="S76" s="126">
        <v>1.2723</v>
      </c>
      <c r="T76" s="40">
        <v>4053648</v>
      </c>
      <c r="U76" s="126">
        <v>0.89449999999999996</v>
      </c>
    </row>
    <row r="77" spans="2:29">
      <c r="B77" s="1" t="s">
        <v>72</v>
      </c>
      <c r="C77" s="11">
        <v>3</v>
      </c>
      <c r="D77" s="11">
        <v>4</v>
      </c>
      <c r="E77" s="11">
        <v>3</v>
      </c>
      <c r="F77" s="11">
        <v>5</v>
      </c>
      <c r="G77" s="11">
        <v>3</v>
      </c>
      <c r="H77" s="11">
        <v>3</v>
      </c>
      <c r="I77" s="11">
        <v>5</v>
      </c>
      <c r="J77" s="11">
        <v>9</v>
      </c>
      <c r="O77" t="s">
        <v>3274</v>
      </c>
      <c r="P77" s="40">
        <v>545445</v>
      </c>
      <c r="Q77" s="126">
        <v>0.21479999999999999</v>
      </c>
      <c r="R77" s="40">
        <v>220971</v>
      </c>
      <c r="S77" s="126">
        <v>1.4683999999999999</v>
      </c>
      <c r="T77" s="40">
        <v>3501007</v>
      </c>
      <c r="U77" s="126">
        <v>0.84609999999999996</v>
      </c>
    </row>
    <row r="78" spans="2:29">
      <c r="B78" s="1" t="s">
        <v>73</v>
      </c>
      <c r="C78" s="11">
        <v>13</v>
      </c>
      <c r="D78" s="11">
        <v>9</v>
      </c>
      <c r="E78" s="11">
        <v>3</v>
      </c>
      <c r="F78" s="11">
        <v>19</v>
      </c>
      <c r="G78" s="11">
        <v>10</v>
      </c>
      <c r="H78" s="11">
        <v>-1</v>
      </c>
      <c r="I78" s="11">
        <v>11</v>
      </c>
      <c r="J78" s="11">
        <v>14</v>
      </c>
      <c r="O78" t="s">
        <v>3275</v>
      </c>
      <c r="P78" s="40">
        <v>449009</v>
      </c>
      <c r="Q78" s="126">
        <v>2.3699999999999999E-2</v>
      </c>
      <c r="R78" s="40">
        <v>223670</v>
      </c>
      <c r="S78" s="126">
        <v>1.0075000000000001</v>
      </c>
      <c r="T78" s="40">
        <v>2955563</v>
      </c>
      <c r="U78" s="126">
        <v>0.76400000000000001</v>
      </c>
    </row>
    <row r="79" spans="2:29">
      <c r="B79" s="1" t="s">
        <v>74</v>
      </c>
      <c r="C79" s="11">
        <v>2</v>
      </c>
      <c r="D79" s="11">
        <v>2</v>
      </c>
      <c r="E79" s="11">
        <v>2</v>
      </c>
      <c r="F79" s="11">
        <v>2</v>
      </c>
      <c r="G79" s="11">
        <v>2</v>
      </c>
      <c r="H79" s="11">
        <v>2</v>
      </c>
      <c r="I79" s="11">
        <v>4</v>
      </c>
      <c r="J79" s="11">
        <v>3</v>
      </c>
      <c r="O79" t="s">
        <v>3276</v>
      </c>
      <c r="P79" s="40">
        <v>438626</v>
      </c>
      <c r="Q79" s="126">
        <v>0.1585</v>
      </c>
      <c r="R79" s="40">
        <v>183187</v>
      </c>
      <c r="S79" s="126">
        <v>1.3944000000000001</v>
      </c>
      <c r="T79" s="40">
        <v>2506554</v>
      </c>
      <c r="U79" s="126">
        <v>0.72650000000000003</v>
      </c>
    </row>
    <row r="80" spans="2:29">
      <c r="B80" s="1" t="s">
        <v>75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O80" t="s">
        <v>3277</v>
      </c>
      <c r="P80" s="40">
        <v>378613</v>
      </c>
      <c r="Q80" s="126">
        <v>8.6400000000000005E-2</v>
      </c>
      <c r="R80" s="40">
        <v>156860</v>
      </c>
      <c r="S80" s="126">
        <v>1.4137</v>
      </c>
      <c r="T80" s="40">
        <v>2067928</v>
      </c>
      <c r="U80" s="126">
        <v>0.63009999999999999</v>
      </c>
    </row>
    <row r="81" spans="2:29">
      <c r="B81" s="1" t="s">
        <v>76</v>
      </c>
      <c r="C81" s="1">
        <v>0</v>
      </c>
      <c r="D81" s="1">
        <v>0</v>
      </c>
      <c r="E81" s="11">
        <v>0</v>
      </c>
      <c r="F81" s="11">
        <v>0</v>
      </c>
      <c r="G81" s="11">
        <v>0</v>
      </c>
      <c r="H81" s="11">
        <v>0</v>
      </c>
      <c r="I81" s="1">
        <v>0</v>
      </c>
      <c r="J81" s="11">
        <v>0</v>
      </c>
      <c r="O81" t="s">
        <v>3278</v>
      </c>
      <c r="P81" s="40">
        <v>348509</v>
      </c>
      <c r="Q81" s="126">
        <v>7.9899999999999999E-2</v>
      </c>
      <c r="R81" s="40">
        <v>186110</v>
      </c>
      <c r="S81" s="126">
        <v>0.87260000000000004</v>
      </c>
      <c r="T81" s="40">
        <v>1689314</v>
      </c>
      <c r="U81" s="126">
        <v>0.51949999999999996</v>
      </c>
      <c r="AC81" s="126"/>
    </row>
    <row r="82" spans="2:29">
      <c r="B82" s="1" t="s">
        <v>77</v>
      </c>
      <c r="C82" s="11">
        <v>0</v>
      </c>
      <c r="D82" s="11">
        <v>0</v>
      </c>
      <c r="E82" s="11">
        <v>0</v>
      </c>
      <c r="F82" s="11">
        <v>0</v>
      </c>
      <c r="G82" s="11">
        <v>0</v>
      </c>
      <c r="H82" s="11">
        <v>0</v>
      </c>
      <c r="I82" s="11">
        <v>0</v>
      </c>
      <c r="J82" s="11">
        <v>0</v>
      </c>
      <c r="O82" t="s">
        <v>3279</v>
      </c>
      <c r="P82" s="40">
        <v>322729</v>
      </c>
      <c r="Q82" s="126">
        <v>0.1166</v>
      </c>
      <c r="R82" s="40">
        <v>196599</v>
      </c>
      <c r="S82" s="126">
        <v>0.64159999999999995</v>
      </c>
      <c r="T82" s="40">
        <v>1340805</v>
      </c>
      <c r="U82" s="126">
        <v>0.44850000000000001</v>
      </c>
      <c r="AC82" s="126"/>
    </row>
    <row r="83" spans="2:29">
      <c r="B83" s="1" t="s">
        <v>78</v>
      </c>
      <c r="C83" s="11">
        <v>0</v>
      </c>
      <c r="D83" s="11">
        <v>0</v>
      </c>
      <c r="E83" s="11">
        <v>0</v>
      </c>
      <c r="F83" s="11">
        <v>0</v>
      </c>
      <c r="G83" s="11">
        <v>0</v>
      </c>
      <c r="H83" s="11">
        <v>0</v>
      </c>
      <c r="I83" s="11">
        <v>0</v>
      </c>
      <c r="J83" s="11">
        <v>0</v>
      </c>
      <c r="O83" t="s">
        <v>3280</v>
      </c>
      <c r="P83" s="40">
        <v>289026</v>
      </c>
      <c r="Q83" s="126">
        <v>0.1236</v>
      </c>
      <c r="R83" s="40">
        <v>209486</v>
      </c>
      <c r="S83" s="126">
        <v>0.37969999999999998</v>
      </c>
      <c r="T83" s="40">
        <v>1018076</v>
      </c>
      <c r="U83" s="126">
        <v>0.39639999999999997</v>
      </c>
      <c r="AC83" s="126"/>
    </row>
    <row r="84" spans="2:29">
      <c r="B84" s="1" t="s">
        <v>79</v>
      </c>
      <c r="C84" s="11">
        <v>0</v>
      </c>
      <c r="D84" s="11">
        <v>0</v>
      </c>
      <c r="E84" s="11">
        <v>0</v>
      </c>
      <c r="F84" s="11">
        <v>0</v>
      </c>
      <c r="G84" s="11">
        <v>0</v>
      </c>
      <c r="H84" s="11">
        <v>0</v>
      </c>
      <c r="I84" s="11">
        <v>0</v>
      </c>
      <c r="J84" s="11">
        <v>0</v>
      </c>
      <c r="O84" t="s">
        <v>3281</v>
      </c>
      <c r="P84" s="40">
        <v>257222</v>
      </c>
      <c r="Q84" s="126">
        <v>0.22570000000000001</v>
      </c>
      <c r="R84" s="40">
        <v>177921</v>
      </c>
      <c r="S84" s="126">
        <v>0.44569999999999999</v>
      </c>
      <c r="T84" s="40">
        <v>729050</v>
      </c>
      <c r="U84" s="126">
        <v>0.4032</v>
      </c>
      <c r="AC84" s="126"/>
    </row>
    <row r="85" spans="2:29">
      <c r="B85" s="1" t="s">
        <v>80</v>
      </c>
      <c r="C85" s="11">
        <v>0</v>
      </c>
      <c r="D85" s="11">
        <v>0</v>
      </c>
      <c r="E85" s="11">
        <v>0</v>
      </c>
      <c r="F85" s="11">
        <v>0</v>
      </c>
      <c r="G85" s="11">
        <v>0</v>
      </c>
      <c r="H85" s="11">
        <v>0</v>
      </c>
      <c r="I85" s="11">
        <v>0</v>
      </c>
      <c r="J85" s="11">
        <v>0</v>
      </c>
      <c r="O85" t="s">
        <v>3282</v>
      </c>
      <c r="P85" s="40">
        <v>209861</v>
      </c>
      <c r="Q85" s="126">
        <v>-0.19889999999999999</v>
      </c>
      <c r="R85" s="40">
        <v>171551</v>
      </c>
      <c r="S85" s="126">
        <v>0.2233</v>
      </c>
      <c r="T85" s="40">
        <v>471828</v>
      </c>
      <c r="U85" s="126">
        <v>0.38100000000000001</v>
      </c>
      <c r="AC85" s="126"/>
    </row>
    <row r="86" spans="2:29">
      <c r="B86" s="1" t="s">
        <v>81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O86" t="s">
        <v>3283</v>
      </c>
      <c r="P86" s="40">
        <v>261967</v>
      </c>
      <c r="Q86" s="126">
        <v>-1.49E-2</v>
      </c>
      <c r="R86" s="40">
        <v>170099</v>
      </c>
      <c r="S86" s="126">
        <v>0.54010000000000002</v>
      </c>
      <c r="T86" s="40">
        <v>261967</v>
      </c>
      <c r="U86" s="126">
        <v>0.54010000000000002</v>
      </c>
    </row>
    <row r="87" spans="2:29">
      <c r="B87" s="1" t="s">
        <v>82</v>
      </c>
      <c r="C87" s="11">
        <v>0</v>
      </c>
      <c r="D87" s="11">
        <v>0</v>
      </c>
      <c r="E87" s="1">
        <v>0</v>
      </c>
      <c r="F87" s="11">
        <v>0</v>
      </c>
      <c r="G87" s="11">
        <v>0</v>
      </c>
      <c r="H87" s="1">
        <v>0</v>
      </c>
      <c r="I87" s="11">
        <v>0</v>
      </c>
      <c r="J87" s="1">
        <v>0</v>
      </c>
      <c r="O87" t="s">
        <v>3284</v>
      </c>
      <c r="P87" s="40">
        <v>265932</v>
      </c>
      <c r="Q87" s="126">
        <v>9.3399999999999997E-2</v>
      </c>
      <c r="R87" s="40">
        <v>185486</v>
      </c>
      <c r="S87" s="126">
        <v>0.43369999999999997</v>
      </c>
      <c r="T87" s="40">
        <v>2405595</v>
      </c>
      <c r="U87" s="126">
        <v>0.1946</v>
      </c>
    </row>
    <row r="88" spans="2:29">
      <c r="B88" s="1" t="s">
        <v>83</v>
      </c>
      <c r="C88" s="11">
        <v>0</v>
      </c>
      <c r="D88" s="11">
        <v>0</v>
      </c>
      <c r="E88" s="11">
        <v>0</v>
      </c>
      <c r="F88" s="11">
        <v>11</v>
      </c>
      <c r="G88" s="11">
        <v>0</v>
      </c>
      <c r="H88" s="11">
        <v>0</v>
      </c>
      <c r="I88" s="1">
        <v>0</v>
      </c>
      <c r="J88" s="11">
        <v>10</v>
      </c>
      <c r="O88" t="s">
        <v>3285</v>
      </c>
      <c r="P88" s="40">
        <v>243208</v>
      </c>
      <c r="Q88" s="126">
        <v>0.10059999999999999</v>
      </c>
      <c r="R88" s="40">
        <v>226558</v>
      </c>
      <c r="S88" s="126">
        <v>7.3499999999999996E-2</v>
      </c>
      <c r="T88" s="40">
        <v>2139663</v>
      </c>
      <c r="U88" s="126">
        <v>0.17030000000000001</v>
      </c>
    </row>
    <row r="89" spans="2:29">
      <c r="B89" s="1" t="s">
        <v>84</v>
      </c>
      <c r="C89" s="11">
        <v>-2</v>
      </c>
      <c r="D89" s="11">
        <v>0</v>
      </c>
      <c r="E89" s="11">
        <v>2</v>
      </c>
      <c r="F89" s="11">
        <v>0</v>
      </c>
      <c r="G89" s="11">
        <v>0</v>
      </c>
      <c r="H89" s="11">
        <v>0</v>
      </c>
      <c r="I89" s="11">
        <v>0</v>
      </c>
      <c r="J89" s="11">
        <v>0</v>
      </c>
      <c r="O89" t="s">
        <v>3286</v>
      </c>
      <c r="P89" s="40">
        <v>220971</v>
      </c>
      <c r="Q89" s="126">
        <v>-1.21E-2</v>
      </c>
      <c r="R89" s="40">
        <v>184958</v>
      </c>
      <c r="S89" s="126">
        <v>0.19470000000000001</v>
      </c>
      <c r="T89" s="40">
        <v>1896455</v>
      </c>
      <c r="U89" s="126">
        <v>0.184</v>
      </c>
    </row>
    <row r="90" spans="2:29">
      <c r="B90" s="1" t="s">
        <v>85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O90" t="s">
        <v>3287</v>
      </c>
      <c r="P90" s="40">
        <v>223670</v>
      </c>
      <c r="Q90" s="126">
        <v>0.221</v>
      </c>
      <c r="R90" s="40">
        <v>162662</v>
      </c>
      <c r="S90" s="126">
        <v>0.37509999999999999</v>
      </c>
      <c r="T90" s="40">
        <v>1675484</v>
      </c>
      <c r="U90" s="126">
        <v>0.18260000000000001</v>
      </c>
    </row>
    <row r="91" spans="2:29">
      <c r="B91" s="1" t="s">
        <v>86</v>
      </c>
      <c r="C91" s="11">
        <v>1</v>
      </c>
      <c r="D91" s="11">
        <v>1</v>
      </c>
      <c r="E91" s="11">
        <v>1</v>
      </c>
      <c r="F91" s="11">
        <v>3</v>
      </c>
      <c r="G91" s="11">
        <v>1</v>
      </c>
      <c r="H91" s="11">
        <v>1</v>
      </c>
      <c r="I91" s="11">
        <v>1</v>
      </c>
      <c r="J91" s="11">
        <v>4</v>
      </c>
      <c r="O91" t="s">
        <v>3288</v>
      </c>
      <c r="P91" s="40">
        <v>183187</v>
      </c>
      <c r="Q91" s="126">
        <v>0.1678</v>
      </c>
      <c r="R91" s="40">
        <v>148698</v>
      </c>
      <c r="S91" s="126">
        <v>0.2319</v>
      </c>
      <c r="T91" s="40">
        <v>1451814</v>
      </c>
      <c r="U91" s="126">
        <v>0.15759999999999999</v>
      </c>
    </row>
    <row r="92" spans="2:29">
      <c r="B92" s="1" t="s">
        <v>87</v>
      </c>
      <c r="C92" s="11">
        <v>1</v>
      </c>
      <c r="D92" s="11">
        <v>2</v>
      </c>
      <c r="E92" s="11">
        <v>5</v>
      </c>
      <c r="F92" s="11">
        <v>15</v>
      </c>
      <c r="G92" s="11">
        <v>2</v>
      </c>
      <c r="H92" s="11">
        <v>3</v>
      </c>
      <c r="I92" s="11">
        <v>4</v>
      </c>
      <c r="J92" s="11">
        <v>18</v>
      </c>
      <c r="O92" t="s">
        <v>3289</v>
      </c>
      <c r="P92" s="40">
        <v>156860</v>
      </c>
      <c r="Q92" s="126">
        <v>-0.15720000000000001</v>
      </c>
      <c r="R92" s="40">
        <v>169298</v>
      </c>
      <c r="S92" s="126">
        <v>-7.3499999999999996E-2</v>
      </c>
      <c r="T92" s="40">
        <v>1268627</v>
      </c>
      <c r="U92" s="126">
        <v>0.1477</v>
      </c>
    </row>
    <row r="93" spans="2:29">
      <c r="B93" s="1" t="s">
        <v>88</v>
      </c>
      <c r="C93" s="11">
        <v>350</v>
      </c>
      <c r="D93" s="11">
        <v>79</v>
      </c>
      <c r="E93" s="11">
        <v>110</v>
      </c>
      <c r="F93" s="11">
        <v>129</v>
      </c>
      <c r="G93" s="11">
        <v>78</v>
      </c>
      <c r="H93" s="11">
        <v>86</v>
      </c>
      <c r="I93" s="11">
        <v>56</v>
      </c>
      <c r="J93" s="11">
        <v>39</v>
      </c>
      <c r="O93" t="s">
        <v>3290</v>
      </c>
      <c r="P93" s="40">
        <v>186110</v>
      </c>
      <c r="Q93" s="126">
        <v>-5.3400000000000003E-2</v>
      </c>
      <c r="R93" s="40">
        <v>143176</v>
      </c>
      <c r="S93" s="126">
        <v>0.2999</v>
      </c>
      <c r="T93" s="40">
        <v>1111766</v>
      </c>
      <c r="U93" s="126">
        <v>0.18759999999999999</v>
      </c>
    </row>
    <row r="94" spans="2:29">
      <c r="B94" s="1" t="s">
        <v>89</v>
      </c>
      <c r="C94" s="11">
        <v>57</v>
      </c>
      <c r="D94" s="11">
        <v>3</v>
      </c>
      <c r="E94" s="11">
        <v>16</v>
      </c>
      <c r="F94" s="11">
        <v>22</v>
      </c>
      <c r="G94" s="11">
        <v>13</v>
      </c>
      <c r="H94" s="11">
        <v>15</v>
      </c>
      <c r="I94" s="11">
        <v>10</v>
      </c>
      <c r="J94" s="11">
        <v>11</v>
      </c>
      <c r="O94" t="s">
        <v>3291</v>
      </c>
      <c r="P94" s="40">
        <v>196599</v>
      </c>
      <c r="Q94" s="126">
        <v>-6.1499999999999999E-2</v>
      </c>
      <c r="R94" s="40">
        <v>150986</v>
      </c>
      <c r="S94" s="126">
        <v>0.30209999999999998</v>
      </c>
      <c r="T94" s="40">
        <v>925656</v>
      </c>
      <c r="U94" s="126">
        <v>0.16739999999999999</v>
      </c>
    </row>
    <row r="95" spans="2:29">
      <c r="B95" s="1" t="s">
        <v>90</v>
      </c>
      <c r="C95" s="11">
        <v>293</v>
      </c>
      <c r="D95" s="11">
        <v>75</v>
      </c>
      <c r="E95" s="11">
        <v>94</v>
      </c>
      <c r="F95" s="11">
        <v>107</v>
      </c>
      <c r="G95" s="11">
        <v>65</v>
      </c>
      <c r="H95" s="11">
        <v>71</v>
      </c>
      <c r="I95" s="11">
        <v>47</v>
      </c>
      <c r="J95" s="11">
        <v>28</v>
      </c>
      <c r="O95" t="s">
        <v>3292</v>
      </c>
      <c r="P95" s="40">
        <v>209486</v>
      </c>
      <c r="Q95" s="126">
        <v>0.1774</v>
      </c>
      <c r="R95" s="40">
        <v>192211</v>
      </c>
      <c r="S95" s="126">
        <v>8.9899999999999994E-2</v>
      </c>
      <c r="T95" s="40">
        <v>729057</v>
      </c>
      <c r="U95" s="126">
        <v>0.13569999999999999</v>
      </c>
    </row>
    <row r="96" spans="2:29">
      <c r="B96" s="1" t="s">
        <v>91</v>
      </c>
      <c r="C96" s="11">
        <v>0</v>
      </c>
      <c r="D96" s="11">
        <v>0</v>
      </c>
      <c r="E96" s="11">
        <v>0</v>
      </c>
      <c r="F96" s="11">
        <v>0</v>
      </c>
      <c r="G96" s="11">
        <v>0</v>
      </c>
      <c r="H96" s="11">
        <v>0</v>
      </c>
      <c r="I96" s="11">
        <v>0</v>
      </c>
      <c r="J96" s="11">
        <v>0</v>
      </c>
      <c r="O96" t="s">
        <v>3293</v>
      </c>
      <c r="P96" s="40">
        <v>177921</v>
      </c>
      <c r="Q96" s="126">
        <v>3.7100000000000001E-2</v>
      </c>
      <c r="R96" s="40">
        <v>194546</v>
      </c>
      <c r="S96" s="126">
        <v>-8.5500000000000007E-2</v>
      </c>
      <c r="T96" s="40">
        <v>519571</v>
      </c>
      <c r="U96" s="126">
        <v>0.15529999999999999</v>
      </c>
    </row>
    <row r="97" spans="2:21">
      <c r="B97" s="1" t="s">
        <v>92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O97" t="s">
        <v>3294</v>
      </c>
      <c r="P97" s="40">
        <v>171551</v>
      </c>
      <c r="Q97" s="126">
        <v>8.5000000000000006E-3</v>
      </c>
      <c r="R97" s="40">
        <v>139918</v>
      </c>
      <c r="S97" s="126">
        <v>0.2261</v>
      </c>
      <c r="T97" s="40">
        <v>341650</v>
      </c>
      <c r="U97" s="126">
        <v>0.33879999999999999</v>
      </c>
    </row>
    <row r="98" spans="2:21">
      <c r="B98" s="1" t="s">
        <v>93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O98" t="s">
        <v>3295</v>
      </c>
      <c r="P98" s="40">
        <v>170099</v>
      </c>
      <c r="Q98" s="126">
        <v>-8.3000000000000004E-2</v>
      </c>
      <c r="R98" s="40">
        <v>115272</v>
      </c>
      <c r="S98" s="126">
        <v>0.47560000000000002</v>
      </c>
      <c r="T98" s="40">
        <v>170099</v>
      </c>
      <c r="U98" s="126">
        <v>0.47560000000000002</v>
      </c>
    </row>
    <row r="99" spans="2:21">
      <c r="B99" s="1" t="s">
        <v>94</v>
      </c>
      <c r="C99" s="11">
        <v>293</v>
      </c>
      <c r="D99" s="11">
        <v>75</v>
      </c>
      <c r="E99" s="11">
        <v>94</v>
      </c>
      <c r="F99" s="11">
        <v>107</v>
      </c>
      <c r="G99" s="11">
        <v>65</v>
      </c>
      <c r="H99" s="11">
        <v>71</v>
      </c>
      <c r="I99" s="11">
        <v>47</v>
      </c>
      <c r="J99" s="11">
        <v>28</v>
      </c>
      <c r="O99" t="s">
        <v>3296</v>
      </c>
      <c r="P99" s="40">
        <v>185486</v>
      </c>
      <c r="Q99" s="126">
        <v>-0.18129999999999999</v>
      </c>
      <c r="R99" s="40">
        <v>168840</v>
      </c>
      <c r="S99" s="126">
        <v>9.8599999999999993E-2</v>
      </c>
      <c r="T99" s="40">
        <v>2013769</v>
      </c>
      <c r="U99" s="126">
        <v>-7.7799999999999994E-2</v>
      </c>
    </row>
    <row r="100" spans="2:21">
      <c r="B100" s="1" t="s">
        <v>95</v>
      </c>
      <c r="C100" s="1" t="s">
        <v>96</v>
      </c>
      <c r="D100" s="1" t="s">
        <v>96</v>
      </c>
      <c r="E100" s="1" t="s">
        <v>96</v>
      </c>
      <c r="F100" s="1" t="s">
        <v>96</v>
      </c>
      <c r="G100" s="1" t="s">
        <v>96</v>
      </c>
      <c r="H100" s="1" t="s">
        <v>96</v>
      </c>
      <c r="I100" s="1" t="s">
        <v>96</v>
      </c>
      <c r="J100" s="1" t="s">
        <v>96</v>
      </c>
      <c r="O100" t="s">
        <v>3297</v>
      </c>
      <c r="P100" s="40">
        <v>226558</v>
      </c>
      <c r="Q100" s="126">
        <v>0.22489999999999999</v>
      </c>
      <c r="R100" s="40">
        <v>219154</v>
      </c>
      <c r="S100" s="126">
        <v>3.3799999999999997E-2</v>
      </c>
      <c r="T100" s="40">
        <v>1828283</v>
      </c>
      <c r="U100" s="126">
        <v>-9.2600000000000002E-2</v>
      </c>
    </row>
    <row r="101" spans="2:21">
      <c r="B101" s="1" t="s">
        <v>97</v>
      </c>
      <c r="C101" s="11">
        <v>0</v>
      </c>
      <c r="D101" s="11">
        <v>0</v>
      </c>
      <c r="E101" s="11">
        <v>0</v>
      </c>
      <c r="F101" s="11">
        <v>0</v>
      </c>
      <c r="G101" s="11">
        <v>0</v>
      </c>
      <c r="H101" s="11">
        <v>0</v>
      </c>
      <c r="I101" s="11">
        <v>0</v>
      </c>
      <c r="J101" s="11">
        <v>0</v>
      </c>
      <c r="O101" t="s">
        <v>3298</v>
      </c>
      <c r="P101" s="40">
        <v>184958</v>
      </c>
      <c r="Q101" s="126">
        <v>0.1371</v>
      </c>
      <c r="R101" s="40">
        <v>201015</v>
      </c>
      <c r="S101" s="126">
        <v>-7.9899999999999999E-2</v>
      </c>
      <c r="T101" s="40">
        <v>1601725</v>
      </c>
      <c r="U101" s="126">
        <v>-0.1081</v>
      </c>
    </row>
    <row r="102" spans="2:21">
      <c r="B102" s="1" t="s">
        <v>98</v>
      </c>
      <c r="C102" s="11">
        <v>0</v>
      </c>
      <c r="D102" s="11">
        <v>0</v>
      </c>
      <c r="E102" s="11">
        <v>0</v>
      </c>
      <c r="F102" s="11">
        <v>0</v>
      </c>
      <c r="G102" s="11">
        <v>0</v>
      </c>
      <c r="H102" s="11">
        <v>0</v>
      </c>
      <c r="I102" s="11">
        <v>0</v>
      </c>
      <c r="J102" s="11">
        <v>0</v>
      </c>
      <c r="O102" t="s">
        <v>3299</v>
      </c>
      <c r="P102" s="40">
        <v>162662</v>
      </c>
      <c r="Q102" s="126">
        <v>9.3899999999999997E-2</v>
      </c>
      <c r="R102" s="40">
        <v>211682</v>
      </c>
      <c r="S102" s="126">
        <v>-0.2316</v>
      </c>
      <c r="T102" s="40">
        <v>1416767</v>
      </c>
      <c r="U102" s="126">
        <v>-0.1116</v>
      </c>
    </row>
    <row r="103" spans="2:21">
      <c r="B103" s="1" t="s">
        <v>11</v>
      </c>
      <c r="C103" s="11">
        <v>293</v>
      </c>
      <c r="D103" s="11">
        <v>75</v>
      </c>
      <c r="E103" s="11">
        <v>94</v>
      </c>
      <c r="F103" s="11">
        <v>107</v>
      </c>
      <c r="G103" s="11">
        <v>65</v>
      </c>
      <c r="H103" s="11">
        <v>71</v>
      </c>
      <c r="I103" s="11">
        <v>47</v>
      </c>
      <c r="J103" s="11">
        <v>28</v>
      </c>
      <c r="O103" t="s">
        <v>3300</v>
      </c>
      <c r="P103" s="40">
        <v>148698</v>
      </c>
      <c r="Q103" s="126">
        <v>-0.1217</v>
      </c>
      <c r="R103" s="40">
        <v>205089</v>
      </c>
      <c r="S103" s="126">
        <v>-0.27500000000000002</v>
      </c>
      <c r="T103" s="40">
        <v>1254105</v>
      </c>
      <c r="U103" s="126">
        <v>-9.3299999999999994E-2</v>
      </c>
    </row>
    <row r="104" spans="2:21">
      <c r="B104" s="1" t="s">
        <v>12</v>
      </c>
      <c r="C104" s="1">
        <v>3</v>
      </c>
      <c r="D104" s="1">
        <v>0.77</v>
      </c>
      <c r="E104" s="1">
        <v>0.99</v>
      </c>
      <c r="F104" s="1">
        <v>1.08</v>
      </c>
      <c r="G104" s="1">
        <v>0.65</v>
      </c>
      <c r="H104" s="1">
        <v>0.71</v>
      </c>
      <c r="I104" s="1">
        <v>0.47</v>
      </c>
      <c r="J104" s="1">
        <v>0.28000000000000003</v>
      </c>
      <c r="O104" t="s">
        <v>3301</v>
      </c>
      <c r="P104" s="40">
        <v>169298</v>
      </c>
      <c r="Q104" s="126">
        <v>0.18240000000000001</v>
      </c>
      <c r="R104" s="40">
        <v>186745</v>
      </c>
      <c r="S104" s="126">
        <v>-9.3399999999999997E-2</v>
      </c>
      <c r="T104" s="40">
        <v>1105407</v>
      </c>
      <c r="U104" s="126">
        <v>-6.1600000000000002E-2</v>
      </c>
    </row>
    <row r="105" spans="2:21">
      <c r="B105" s="1" t="s">
        <v>99</v>
      </c>
      <c r="C105" s="1">
        <v>2.92</v>
      </c>
      <c r="D105" s="290">
        <v>0.76</v>
      </c>
      <c r="E105" s="1">
        <v>0.97</v>
      </c>
      <c r="F105" s="1" t="s">
        <v>96</v>
      </c>
      <c r="G105" s="1">
        <v>0.64</v>
      </c>
      <c r="H105" s="1">
        <v>0.7</v>
      </c>
      <c r="I105" s="1">
        <v>0.46</v>
      </c>
      <c r="J105" s="1" t="s">
        <v>96</v>
      </c>
      <c r="O105" t="s">
        <v>3302</v>
      </c>
      <c r="P105" s="40">
        <v>143176</v>
      </c>
      <c r="Q105" s="126">
        <v>-5.1700000000000003E-2</v>
      </c>
      <c r="R105" s="40">
        <v>164575</v>
      </c>
      <c r="S105" s="126">
        <v>-0.13</v>
      </c>
      <c r="T105" s="40">
        <v>936109</v>
      </c>
      <c r="U105" s="126">
        <v>-5.5599999999999997E-2</v>
      </c>
    </row>
    <row r="106" spans="2:21">
      <c r="B106" s="1" t="s">
        <v>100</v>
      </c>
      <c r="C106" s="11">
        <v>977</v>
      </c>
      <c r="D106" s="11">
        <v>974</v>
      </c>
      <c r="E106" s="11">
        <v>953</v>
      </c>
      <c r="F106" s="11">
        <v>989</v>
      </c>
      <c r="G106" s="11">
        <v>998</v>
      </c>
      <c r="H106" s="11">
        <v>998</v>
      </c>
      <c r="I106" s="11">
        <v>998</v>
      </c>
      <c r="J106" s="11">
        <v>985</v>
      </c>
      <c r="O106" t="s">
        <v>3303</v>
      </c>
      <c r="P106" s="40">
        <v>150986</v>
      </c>
      <c r="Q106" s="126">
        <v>-0.2145</v>
      </c>
      <c r="R106" s="40">
        <v>159297</v>
      </c>
      <c r="S106" s="126">
        <v>-5.2200000000000003E-2</v>
      </c>
      <c r="T106" s="40">
        <v>792933</v>
      </c>
      <c r="U106" s="126">
        <v>-4.0800000000000003E-2</v>
      </c>
    </row>
    <row r="107" spans="2:21">
      <c r="B107" s="1" t="s">
        <v>101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O107" t="s">
        <v>3304</v>
      </c>
      <c r="P107" s="40">
        <v>192211</v>
      </c>
      <c r="Q107" s="126">
        <v>-1.2E-2</v>
      </c>
      <c r="R107" s="40">
        <v>174794</v>
      </c>
      <c r="S107" s="126">
        <v>9.9599999999999994E-2</v>
      </c>
      <c r="T107" s="40">
        <v>641947</v>
      </c>
      <c r="U107" s="126">
        <v>-3.8100000000000002E-2</v>
      </c>
    </row>
    <row r="108" spans="2:21">
      <c r="B108" s="1" t="s">
        <v>102</v>
      </c>
      <c r="C108" s="1" t="s">
        <v>96</v>
      </c>
      <c r="D108" s="1" t="s">
        <v>96</v>
      </c>
      <c r="E108" s="1" t="s">
        <v>96</v>
      </c>
      <c r="F108" s="1">
        <v>0</v>
      </c>
      <c r="G108" s="1" t="s">
        <v>96</v>
      </c>
      <c r="H108" s="1" t="s">
        <v>96</v>
      </c>
      <c r="I108" s="1" t="s">
        <v>96</v>
      </c>
      <c r="J108" s="1">
        <v>0</v>
      </c>
      <c r="O108" t="s">
        <v>3305</v>
      </c>
      <c r="P108" s="40">
        <v>194546</v>
      </c>
      <c r="Q108" s="126">
        <v>0.39040000000000002</v>
      </c>
      <c r="R108" s="40">
        <v>173867</v>
      </c>
      <c r="S108" s="126">
        <v>0.11890000000000001</v>
      </c>
      <c r="T108" s="40">
        <v>449735</v>
      </c>
      <c r="U108" s="126">
        <v>-8.6999999999999994E-2</v>
      </c>
    </row>
    <row r="109" spans="2:21">
      <c r="B109" s="1" t="s">
        <v>103</v>
      </c>
      <c r="C109" s="1">
        <v>3</v>
      </c>
      <c r="D109" s="1">
        <v>3</v>
      </c>
      <c r="E109" s="1">
        <v>5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O109" t="s">
        <v>3306</v>
      </c>
      <c r="P109" s="40">
        <v>139918</v>
      </c>
      <c r="Q109" s="126">
        <v>0.21379999999999999</v>
      </c>
      <c r="R109" s="40">
        <v>158663</v>
      </c>
      <c r="S109" s="126">
        <v>-0.1181</v>
      </c>
      <c r="T109" s="40">
        <v>255189</v>
      </c>
      <c r="U109" s="126">
        <v>-0.1993</v>
      </c>
    </row>
    <row r="110" spans="2:21">
      <c r="B110" s="1" t="s">
        <v>104</v>
      </c>
      <c r="C110" s="1">
        <v>0</v>
      </c>
      <c r="D110" s="1">
        <v>0</v>
      </c>
      <c r="E110" s="1">
        <v>0</v>
      </c>
      <c r="F110" s="1">
        <v>5</v>
      </c>
      <c r="G110" s="1">
        <v>0</v>
      </c>
      <c r="H110" s="1">
        <v>0</v>
      </c>
      <c r="I110" s="1">
        <v>0</v>
      </c>
      <c r="J110" s="1">
        <v>0</v>
      </c>
      <c r="O110" t="s">
        <v>3307</v>
      </c>
      <c r="P110" s="40">
        <v>115272</v>
      </c>
      <c r="Q110" s="126">
        <v>-0.31730000000000003</v>
      </c>
      <c r="T110" s="40">
        <v>115272</v>
      </c>
    </row>
    <row r="111" spans="2:21">
      <c r="B111" s="1" t="s">
        <v>105</v>
      </c>
      <c r="C111" s="11">
        <v>352</v>
      </c>
      <c r="D111" s="11">
        <v>80</v>
      </c>
      <c r="E111" s="11">
        <v>112</v>
      </c>
      <c r="F111" s="11">
        <v>131</v>
      </c>
      <c r="G111" s="11">
        <v>79</v>
      </c>
      <c r="H111" s="11">
        <v>88</v>
      </c>
      <c r="I111" s="11">
        <v>60</v>
      </c>
      <c r="J111" s="11">
        <v>42</v>
      </c>
      <c r="O111" t="s">
        <v>3308</v>
      </c>
      <c r="P111" s="40">
        <v>168840</v>
      </c>
      <c r="Q111" s="126">
        <v>-0.2296</v>
      </c>
      <c r="T111" s="40">
        <v>2183775</v>
      </c>
    </row>
    <row r="112" spans="2:21">
      <c r="B112" s="1" t="s">
        <v>106</v>
      </c>
      <c r="C112" s="11">
        <v>406</v>
      </c>
      <c r="D112" s="11">
        <v>121</v>
      </c>
      <c r="E112" s="11">
        <v>148</v>
      </c>
      <c r="F112" s="11">
        <v>167</v>
      </c>
      <c r="G112" s="11">
        <v>117</v>
      </c>
      <c r="H112" s="11">
        <v>127</v>
      </c>
      <c r="I112" s="11">
        <v>100</v>
      </c>
      <c r="J112" s="11">
        <v>80</v>
      </c>
      <c r="O112" t="s">
        <v>3309</v>
      </c>
      <c r="P112" s="40">
        <v>219154</v>
      </c>
      <c r="Q112" s="126">
        <v>9.0200000000000002E-2</v>
      </c>
      <c r="T112" s="40">
        <v>2014935</v>
      </c>
    </row>
    <row r="113" spans="2:46">
      <c r="B113" s="1" t="s">
        <v>107</v>
      </c>
      <c r="C113" s="11">
        <v>293</v>
      </c>
      <c r="D113" s="11">
        <v>75</v>
      </c>
      <c r="E113" s="11">
        <v>94</v>
      </c>
      <c r="F113" s="11">
        <v>118</v>
      </c>
      <c r="G113" s="11">
        <v>65</v>
      </c>
      <c r="H113" s="11">
        <v>69</v>
      </c>
      <c r="I113" s="11">
        <v>46</v>
      </c>
      <c r="J113" s="11">
        <v>38</v>
      </c>
      <c r="O113" t="s">
        <v>3310</v>
      </c>
      <c r="P113" s="40">
        <v>201015</v>
      </c>
      <c r="Q113" s="126">
        <v>-5.04E-2</v>
      </c>
      <c r="T113" s="40">
        <v>1795781</v>
      </c>
    </row>
    <row r="114" spans="2:46">
      <c r="B114" s="1" t="s">
        <v>108</v>
      </c>
      <c r="O114" t="s">
        <v>3311</v>
      </c>
      <c r="P114" s="40">
        <v>211682</v>
      </c>
      <c r="Q114" s="126">
        <v>3.2099999999999997E-2</v>
      </c>
      <c r="T114" s="40">
        <v>1594766</v>
      </c>
    </row>
    <row r="115" spans="2:46">
      <c r="B115" s="1" t="s">
        <v>109</v>
      </c>
      <c r="O115" t="s">
        <v>3312</v>
      </c>
      <c r="P115" s="40">
        <v>205089</v>
      </c>
      <c r="Q115" s="126">
        <v>9.8199999999999996E-2</v>
      </c>
      <c r="T115" s="40">
        <v>1383084</v>
      </c>
    </row>
    <row r="116" spans="2:46">
      <c r="O116" t="s">
        <v>3313</v>
      </c>
      <c r="P116" s="40">
        <v>186745</v>
      </c>
      <c r="Q116" s="126">
        <v>0.13469999999999999</v>
      </c>
      <c r="T116" s="40">
        <v>1177995</v>
      </c>
    </row>
    <row r="117" spans="2:46">
      <c r="O117" t="s">
        <v>3314</v>
      </c>
      <c r="P117" s="40">
        <v>164575</v>
      </c>
      <c r="Q117" s="126">
        <v>3.3099999999999997E-2</v>
      </c>
      <c r="T117" s="40">
        <v>991250</v>
      </c>
    </row>
    <row r="118" spans="2:46">
      <c r="O118" t="s">
        <v>3315</v>
      </c>
      <c r="P118" s="40">
        <v>159297</v>
      </c>
      <c r="Q118" s="126">
        <v>-8.8700000000000001E-2</v>
      </c>
      <c r="T118" s="40">
        <v>826675</v>
      </c>
    </row>
    <row r="119" spans="2:46">
      <c r="O119" t="s">
        <v>3316</v>
      </c>
      <c r="P119" s="40">
        <v>174794</v>
      </c>
      <c r="Q119" s="126">
        <v>5.3E-3</v>
      </c>
      <c r="T119" s="40">
        <v>667379</v>
      </c>
    </row>
    <row r="120" spans="2:46">
      <c r="O120" t="s">
        <v>3317</v>
      </c>
      <c r="P120" s="40">
        <v>173867</v>
      </c>
      <c r="Q120" s="126">
        <v>9.5799999999999996E-2</v>
      </c>
      <c r="T120" s="40">
        <v>492584</v>
      </c>
    </row>
    <row r="121" spans="2:46">
      <c r="O121" t="s">
        <v>3318</v>
      </c>
    </row>
    <row r="122" spans="2:46">
      <c r="B122" s="1" t="s">
        <v>4056</v>
      </c>
    </row>
    <row r="123" spans="2:46">
      <c r="B123" s="1" t="s">
        <v>45</v>
      </c>
    </row>
    <row r="124" spans="2:46">
      <c r="B124" s="1" t="s">
        <v>46</v>
      </c>
      <c r="C124" s="1" t="s">
        <v>1888</v>
      </c>
      <c r="D124" s="1" t="s">
        <v>220</v>
      </c>
      <c r="E124" s="1" t="s">
        <v>47</v>
      </c>
      <c r="F124" s="1" t="s">
        <v>48</v>
      </c>
      <c r="G124" s="1" t="s">
        <v>49</v>
      </c>
      <c r="H124" s="1" t="s">
        <v>50</v>
      </c>
      <c r="I124" s="1" t="s">
        <v>51</v>
      </c>
      <c r="J124" s="1" t="s">
        <v>52</v>
      </c>
    </row>
    <row r="125" spans="2:46">
      <c r="B125" s="1" t="s">
        <v>149</v>
      </c>
      <c r="C125" s="11">
        <v>278</v>
      </c>
      <c r="D125" s="11">
        <v>308</v>
      </c>
      <c r="E125" s="11">
        <v>398</v>
      </c>
      <c r="F125" s="11">
        <v>354</v>
      </c>
      <c r="G125" s="11">
        <v>401</v>
      </c>
      <c r="H125" s="11">
        <v>414</v>
      </c>
      <c r="I125" s="11">
        <v>417</v>
      </c>
      <c r="J125" s="11">
        <v>325</v>
      </c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</row>
    <row r="126" spans="2:46">
      <c r="B126" s="1" t="s">
        <v>150</v>
      </c>
      <c r="C126" s="11">
        <v>0</v>
      </c>
      <c r="D126" s="11">
        <v>0</v>
      </c>
      <c r="E126" s="11">
        <v>75</v>
      </c>
      <c r="F126" s="11">
        <v>75</v>
      </c>
      <c r="G126" s="11">
        <v>75</v>
      </c>
      <c r="H126" s="11">
        <v>75</v>
      </c>
      <c r="I126" s="11">
        <v>75</v>
      </c>
      <c r="J126" s="11">
        <v>75</v>
      </c>
      <c r="P126" s="190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</row>
    <row r="127" spans="2:46">
      <c r="B127" s="1" t="s">
        <v>187</v>
      </c>
      <c r="C127" s="11">
        <v>906</v>
      </c>
      <c r="D127" s="11">
        <v>742</v>
      </c>
      <c r="E127" s="11">
        <v>618</v>
      </c>
      <c r="F127" s="11">
        <v>616</v>
      </c>
      <c r="G127" s="11">
        <v>434</v>
      </c>
      <c r="H127" s="11">
        <v>447</v>
      </c>
      <c r="I127" s="11">
        <v>438</v>
      </c>
      <c r="J127" s="11">
        <v>464</v>
      </c>
      <c r="P127" s="190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</row>
    <row r="128" spans="2:46">
      <c r="B128" s="1" t="s">
        <v>151</v>
      </c>
      <c r="C128" s="1">
        <v>38</v>
      </c>
      <c r="D128" s="11">
        <v>10</v>
      </c>
      <c r="E128" s="11">
        <v>20</v>
      </c>
      <c r="F128" s="11">
        <v>6</v>
      </c>
      <c r="G128" s="11">
        <v>12</v>
      </c>
      <c r="H128" s="11">
        <v>6</v>
      </c>
      <c r="I128" s="11">
        <v>16</v>
      </c>
      <c r="J128" s="11">
        <v>9</v>
      </c>
      <c r="P128" s="190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</row>
    <row r="129" spans="2:46">
      <c r="B129" s="1" t="s">
        <v>188</v>
      </c>
      <c r="C129" s="1">
        <v>0</v>
      </c>
      <c r="D129" s="1">
        <v>0</v>
      </c>
      <c r="E129" s="11">
        <v>0</v>
      </c>
      <c r="F129" s="11">
        <v>0</v>
      </c>
      <c r="G129" s="1">
        <v>0</v>
      </c>
      <c r="H129" s="1">
        <v>0</v>
      </c>
      <c r="I129" s="11">
        <v>0</v>
      </c>
      <c r="J129" s="1">
        <v>0</v>
      </c>
      <c r="P129" s="190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</row>
    <row r="130" spans="2:46">
      <c r="B130" s="1" t="s">
        <v>13</v>
      </c>
      <c r="C130" s="11">
        <v>748</v>
      </c>
      <c r="D130" s="11">
        <v>670</v>
      </c>
      <c r="E130" s="11">
        <v>586</v>
      </c>
      <c r="F130" s="11">
        <v>531</v>
      </c>
      <c r="G130" s="11">
        <v>515</v>
      </c>
      <c r="H130" s="11">
        <v>435</v>
      </c>
      <c r="I130" s="11">
        <v>365</v>
      </c>
      <c r="J130" s="11">
        <v>375</v>
      </c>
      <c r="P130" s="190"/>
      <c r="AB130" s="26"/>
      <c r="AC130" s="357"/>
      <c r="AD130" s="26"/>
      <c r="AE130" s="26"/>
      <c r="AF130" s="26"/>
      <c r="AG130" s="357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</row>
    <row r="131" spans="2:46">
      <c r="B131" s="1" t="s">
        <v>189</v>
      </c>
      <c r="C131" s="1" t="s">
        <v>96</v>
      </c>
      <c r="D131" s="1" t="s">
        <v>96</v>
      </c>
      <c r="E131" s="1" t="s">
        <v>96</v>
      </c>
      <c r="F131" s="1" t="s">
        <v>96</v>
      </c>
      <c r="G131" s="1" t="s">
        <v>96</v>
      </c>
      <c r="H131" s="1" t="s">
        <v>96</v>
      </c>
      <c r="I131" s="1" t="s">
        <v>96</v>
      </c>
      <c r="J131" s="1" t="s">
        <v>96</v>
      </c>
      <c r="P131" s="190"/>
      <c r="AB131" s="26"/>
      <c r="AC131" s="357"/>
      <c r="AD131" s="26"/>
      <c r="AE131" s="26"/>
      <c r="AF131" s="26"/>
      <c r="AG131" s="357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</row>
    <row r="132" spans="2:46">
      <c r="B132" s="1" t="s">
        <v>152</v>
      </c>
      <c r="C132" s="11">
        <v>25</v>
      </c>
      <c r="D132" s="11">
        <v>36</v>
      </c>
      <c r="E132" s="11">
        <v>21</v>
      </c>
      <c r="F132" s="11">
        <v>21</v>
      </c>
      <c r="G132" s="11">
        <v>21</v>
      </c>
      <c r="H132" s="11">
        <v>18</v>
      </c>
      <c r="I132" s="11">
        <v>16</v>
      </c>
      <c r="J132" s="11">
        <v>19</v>
      </c>
      <c r="P132" s="190"/>
      <c r="AB132" s="26"/>
      <c r="AC132" s="357"/>
      <c r="AD132" s="26"/>
      <c r="AE132" s="26"/>
      <c r="AF132" s="26"/>
      <c r="AG132" s="357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</row>
    <row r="133" spans="2:46">
      <c r="B133" s="1" t="s">
        <v>153</v>
      </c>
      <c r="C133" s="11">
        <v>0</v>
      </c>
      <c r="D133" s="11">
        <v>0</v>
      </c>
      <c r="E133" s="11">
        <v>0</v>
      </c>
      <c r="F133" s="11">
        <v>0</v>
      </c>
      <c r="G133" s="11">
        <v>0</v>
      </c>
      <c r="H133" s="11">
        <v>0</v>
      </c>
      <c r="I133" s="11">
        <v>0</v>
      </c>
      <c r="J133" s="11">
        <v>0</v>
      </c>
      <c r="P133" s="190"/>
      <c r="AB133" s="26"/>
      <c r="AC133" s="357"/>
      <c r="AD133" s="26"/>
      <c r="AE133" s="26"/>
      <c r="AF133" s="26"/>
      <c r="AG133" s="357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</row>
    <row r="134" spans="2:46">
      <c r="B134" s="1" t="s">
        <v>154</v>
      </c>
      <c r="C134" s="11">
        <v>1996</v>
      </c>
      <c r="D134" s="11">
        <v>1767</v>
      </c>
      <c r="E134" s="11">
        <v>1719</v>
      </c>
      <c r="F134" s="11">
        <v>1604</v>
      </c>
      <c r="G134" s="11">
        <v>1459</v>
      </c>
      <c r="H134" s="11">
        <v>1395</v>
      </c>
      <c r="I134" s="11">
        <v>1327</v>
      </c>
      <c r="J134" s="11">
        <v>1267</v>
      </c>
      <c r="P134" s="190"/>
      <c r="AB134" s="26"/>
      <c r="AC134" s="357"/>
      <c r="AD134" s="26"/>
      <c r="AE134" s="26"/>
      <c r="AF134" s="26"/>
      <c r="AG134" s="357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</row>
    <row r="135" spans="2:46">
      <c r="B135" s="1" t="s">
        <v>155</v>
      </c>
      <c r="C135" s="11">
        <v>50</v>
      </c>
      <c r="D135" s="11">
        <v>50</v>
      </c>
      <c r="E135" s="11">
        <v>50</v>
      </c>
      <c r="F135" s="11">
        <v>50</v>
      </c>
      <c r="G135" s="11">
        <v>50</v>
      </c>
      <c r="H135" s="11">
        <v>50</v>
      </c>
      <c r="I135" s="11">
        <v>50</v>
      </c>
      <c r="J135" s="11">
        <v>50</v>
      </c>
      <c r="P135" s="190"/>
      <c r="AB135" s="26"/>
      <c r="AC135" s="357"/>
      <c r="AD135" s="26"/>
      <c r="AE135" s="26"/>
      <c r="AF135" s="26"/>
      <c r="AG135" s="357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</row>
    <row r="136" spans="2:46">
      <c r="B136" s="1" t="s">
        <v>156</v>
      </c>
      <c r="C136" s="11">
        <v>0</v>
      </c>
      <c r="D136" s="11">
        <v>0</v>
      </c>
      <c r="E136" s="11">
        <v>0</v>
      </c>
      <c r="F136" s="11">
        <v>0</v>
      </c>
      <c r="G136" s="11">
        <v>0</v>
      </c>
      <c r="H136" s="11">
        <v>0</v>
      </c>
      <c r="I136" s="11">
        <v>0</v>
      </c>
      <c r="J136" s="11">
        <v>0</v>
      </c>
      <c r="P136" s="190"/>
      <c r="AB136" s="26"/>
      <c r="AC136" s="357"/>
      <c r="AD136" s="26"/>
      <c r="AE136" s="26"/>
      <c r="AF136" s="26"/>
      <c r="AG136" s="357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</row>
    <row r="137" spans="2:46">
      <c r="B137" s="1" t="s">
        <v>157</v>
      </c>
      <c r="C137" s="11">
        <v>624</v>
      </c>
      <c r="D137" s="11">
        <v>615</v>
      </c>
      <c r="E137" s="11">
        <v>574</v>
      </c>
      <c r="F137" s="11">
        <v>552</v>
      </c>
      <c r="G137" s="11">
        <v>550</v>
      </c>
      <c r="H137" s="11">
        <v>546</v>
      </c>
      <c r="I137" s="11">
        <v>546</v>
      </c>
      <c r="J137" s="11">
        <v>545</v>
      </c>
      <c r="P137" s="190"/>
      <c r="AB137" s="26"/>
      <c r="AC137" s="357"/>
      <c r="AD137" s="26"/>
      <c r="AE137" s="26"/>
      <c r="AF137" s="26"/>
      <c r="AG137" s="357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</row>
    <row r="138" spans="2:46">
      <c r="B138" s="1" t="s">
        <v>158</v>
      </c>
      <c r="C138" s="11">
        <v>1743</v>
      </c>
      <c r="D138" s="11">
        <v>1399</v>
      </c>
      <c r="E138" s="11">
        <v>1235</v>
      </c>
      <c r="F138" s="11">
        <v>1165</v>
      </c>
      <c r="G138" s="11">
        <v>1149</v>
      </c>
      <c r="H138" s="11">
        <v>1130</v>
      </c>
      <c r="I138" s="11">
        <v>1137</v>
      </c>
      <c r="J138" s="11">
        <v>1130</v>
      </c>
      <c r="P138" s="190"/>
      <c r="AB138" s="26"/>
      <c r="AC138" s="357"/>
      <c r="AD138" s="26"/>
      <c r="AE138" s="26"/>
      <c r="AF138" s="26"/>
      <c r="AG138" s="357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</row>
    <row r="139" spans="2:46">
      <c r="B139" s="1" t="s">
        <v>159</v>
      </c>
      <c r="C139" s="11">
        <v>197</v>
      </c>
      <c r="D139" s="11">
        <v>233</v>
      </c>
      <c r="E139" s="11">
        <v>92</v>
      </c>
      <c r="F139" s="11">
        <v>56</v>
      </c>
      <c r="G139" s="11">
        <v>49</v>
      </c>
      <c r="H139" s="11">
        <v>42</v>
      </c>
      <c r="I139" s="11">
        <v>42</v>
      </c>
      <c r="J139" s="11">
        <v>44</v>
      </c>
      <c r="P139" s="190"/>
      <c r="AB139" s="26"/>
      <c r="AC139" s="357"/>
      <c r="AD139" s="26"/>
      <c r="AE139" s="26"/>
      <c r="AF139" s="26"/>
      <c r="AG139" s="357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</row>
    <row r="140" spans="2:46">
      <c r="B140" s="1" t="s">
        <v>160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P140" s="190"/>
      <c r="AB140" s="26"/>
      <c r="AC140" s="357"/>
      <c r="AD140" s="26"/>
      <c r="AE140" s="26"/>
      <c r="AF140" s="26"/>
      <c r="AG140" s="357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</row>
    <row r="141" spans="2:46">
      <c r="B141" s="1" t="s">
        <v>161</v>
      </c>
      <c r="C141" s="11">
        <v>-1161</v>
      </c>
      <c r="D141" s="11">
        <v>-1106</v>
      </c>
      <c r="E141" s="11">
        <v>-1068</v>
      </c>
      <c r="F141" s="11">
        <v>-1037</v>
      </c>
      <c r="G141" s="11">
        <v>-1015</v>
      </c>
      <c r="H141" s="11">
        <v>-979</v>
      </c>
      <c r="I141" s="11">
        <v>-951</v>
      </c>
      <c r="J141" s="11">
        <v>-913</v>
      </c>
      <c r="P141" s="190"/>
      <c r="AB141" s="26"/>
      <c r="AC141" s="357"/>
      <c r="AD141" s="26"/>
      <c r="AE141" s="26"/>
      <c r="AF141" s="26"/>
      <c r="AG141" s="357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</row>
    <row r="142" spans="2:46">
      <c r="B142" s="1" t="s">
        <v>162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P142" s="190"/>
      <c r="AB142" s="26"/>
      <c r="AC142" s="357"/>
      <c r="AD142" s="26"/>
      <c r="AE142" s="26"/>
      <c r="AF142" s="26"/>
      <c r="AG142" s="357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</row>
    <row r="143" spans="2:46">
      <c r="B143" s="1" t="s">
        <v>163</v>
      </c>
      <c r="C143" s="11">
        <v>0</v>
      </c>
      <c r="D143" s="11">
        <v>0</v>
      </c>
      <c r="E143" s="11">
        <v>0</v>
      </c>
      <c r="F143" s="11">
        <v>0</v>
      </c>
      <c r="G143" s="11">
        <v>0</v>
      </c>
      <c r="H143" s="11">
        <v>0</v>
      </c>
      <c r="I143" s="11">
        <v>0</v>
      </c>
      <c r="J143" s="11">
        <v>0</v>
      </c>
      <c r="P143" s="190"/>
      <c r="AB143" s="26"/>
      <c r="AC143" s="357"/>
      <c r="AD143" s="26"/>
      <c r="AE143" s="26"/>
      <c r="AF143" s="26"/>
      <c r="AG143" s="357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</row>
    <row r="144" spans="2:46">
      <c r="B144" s="1" t="s">
        <v>164</v>
      </c>
      <c r="C144" s="11">
        <v>1402</v>
      </c>
      <c r="D144" s="11">
        <v>1141</v>
      </c>
      <c r="E144" s="11">
        <v>833</v>
      </c>
      <c r="F144" s="11">
        <v>736</v>
      </c>
      <c r="G144" s="11">
        <v>733</v>
      </c>
      <c r="H144" s="11">
        <v>738</v>
      </c>
      <c r="I144" s="11">
        <v>774</v>
      </c>
      <c r="J144" s="11">
        <v>805</v>
      </c>
      <c r="P144" s="190"/>
      <c r="AB144" s="26"/>
      <c r="AC144" s="357"/>
      <c r="AD144" s="26"/>
      <c r="AE144" s="26"/>
      <c r="AF144" s="26"/>
      <c r="AG144" s="357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</row>
    <row r="145" spans="2:46">
      <c r="B145" s="1" t="s">
        <v>165</v>
      </c>
      <c r="C145" s="11">
        <v>13</v>
      </c>
      <c r="D145" s="11">
        <v>9</v>
      </c>
      <c r="E145" s="11">
        <v>8</v>
      </c>
      <c r="F145" s="11">
        <v>6</v>
      </c>
      <c r="G145" s="11">
        <v>7</v>
      </c>
      <c r="H145" s="11">
        <v>9</v>
      </c>
      <c r="I145" s="11">
        <v>8</v>
      </c>
      <c r="J145" s="11">
        <v>6</v>
      </c>
      <c r="P145" s="190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</row>
    <row r="146" spans="2:46">
      <c r="B146" s="1" t="s">
        <v>166</v>
      </c>
      <c r="C146" s="11">
        <v>1</v>
      </c>
      <c r="D146" s="11">
        <v>1</v>
      </c>
      <c r="E146" s="11">
        <v>1</v>
      </c>
      <c r="F146" s="11">
        <v>0</v>
      </c>
      <c r="G146" s="11">
        <v>1</v>
      </c>
      <c r="H146" s="11">
        <v>1</v>
      </c>
      <c r="I146" s="11">
        <v>1</v>
      </c>
      <c r="J146" s="11">
        <v>1</v>
      </c>
      <c r="P146" s="190"/>
    </row>
    <row r="147" spans="2:46">
      <c r="B147" s="1" t="s">
        <v>167</v>
      </c>
      <c r="C147" s="11">
        <v>92</v>
      </c>
      <c r="D147" s="11">
        <v>92</v>
      </c>
      <c r="E147" s="11">
        <v>111</v>
      </c>
      <c r="F147" s="11">
        <v>21</v>
      </c>
      <c r="G147" s="11">
        <v>17</v>
      </c>
      <c r="H147" s="11">
        <v>12</v>
      </c>
      <c r="I147" s="11">
        <v>7</v>
      </c>
      <c r="J147" s="11">
        <v>9</v>
      </c>
      <c r="P147" s="190"/>
    </row>
    <row r="148" spans="2:46">
      <c r="B148" s="1" t="s">
        <v>168</v>
      </c>
      <c r="C148" s="11">
        <v>124</v>
      </c>
      <c r="D148" s="11">
        <v>119</v>
      </c>
      <c r="E148" s="11">
        <v>137</v>
      </c>
      <c r="F148" s="11">
        <v>44</v>
      </c>
      <c r="G148" s="11">
        <v>53</v>
      </c>
      <c r="H148" s="11">
        <v>49</v>
      </c>
      <c r="I148" s="11">
        <v>43</v>
      </c>
      <c r="J148" s="11">
        <v>44</v>
      </c>
      <c r="P148" s="190"/>
    </row>
    <row r="149" spans="2:46">
      <c r="B149" s="1" t="s">
        <v>16</v>
      </c>
      <c r="C149" s="11">
        <v>3572</v>
      </c>
      <c r="D149" s="11">
        <v>3076</v>
      </c>
      <c r="E149" s="11">
        <v>2740</v>
      </c>
      <c r="F149" s="11">
        <v>2434</v>
      </c>
      <c r="G149" s="11">
        <v>2295</v>
      </c>
      <c r="H149" s="11">
        <v>2232</v>
      </c>
      <c r="I149" s="11">
        <v>2194</v>
      </c>
      <c r="J149" s="11">
        <v>2167</v>
      </c>
      <c r="P149" s="190"/>
    </row>
    <row r="150" spans="2:46">
      <c r="B150" s="1" t="s">
        <v>190</v>
      </c>
      <c r="C150" s="11">
        <v>641</v>
      </c>
      <c r="D150" s="11">
        <v>368</v>
      </c>
      <c r="E150" s="11">
        <v>356</v>
      </c>
      <c r="F150" s="11">
        <v>295</v>
      </c>
      <c r="G150" s="11">
        <v>212</v>
      </c>
      <c r="H150" s="11">
        <v>142</v>
      </c>
      <c r="I150" s="11">
        <v>234</v>
      </c>
      <c r="J150" s="11">
        <v>242</v>
      </c>
      <c r="P150" s="190"/>
    </row>
    <row r="151" spans="2:46">
      <c r="B151" s="1" t="s">
        <v>191</v>
      </c>
      <c r="C151" s="11">
        <v>0</v>
      </c>
      <c r="D151" s="11">
        <v>0</v>
      </c>
      <c r="E151" s="11">
        <v>0</v>
      </c>
      <c r="F151" s="11">
        <v>0</v>
      </c>
      <c r="G151" s="11">
        <v>0</v>
      </c>
      <c r="H151" s="11">
        <v>0</v>
      </c>
      <c r="I151" s="11">
        <v>0</v>
      </c>
      <c r="J151" s="11">
        <v>0</v>
      </c>
      <c r="P151" s="190"/>
    </row>
    <row r="152" spans="2:46">
      <c r="B152" s="1" t="s">
        <v>14</v>
      </c>
      <c r="C152" s="11">
        <v>477</v>
      </c>
      <c r="D152" s="11">
        <v>395</v>
      </c>
      <c r="E152" s="11">
        <v>304</v>
      </c>
      <c r="F152" s="11">
        <v>278</v>
      </c>
      <c r="G152" s="11">
        <v>254</v>
      </c>
      <c r="H152" s="11">
        <v>255</v>
      </c>
      <c r="I152" s="11">
        <v>204</v>
      </c>
      <c r="J152" s="11">
        <v>231</v>
      </c>
      <c r="P152" s="190"/>
    </row>
    <row r="153" spans="2:46">
      <c r="B153" s="1" t="s">
        <v>169</v>
      </c>
      <c r="C153" s="11">
        <v>211</v>
      </c>
      <c r="D153" s="11">
        <v>181</v>
      </c>
      <c r="E153" s="11">
        <v>170</v>
      </c>
      <c r="F153" s="11">
        <v>141</v>
      </c>
      <c r="G153" s="11">
        <v>132</v>
      </c>
      <c r="H153" s="11">
        <v>116</v>
      </c>
      <c r="I153" s="11">
        <v>98</v>
      </c>
      <c r="J153" s="11">
        <v>97</v>
      </c>
      <c r="P153" s="190"/>
    </row>
    <row r="154" spans="2:46">
      <c r="B154" s="1" t="s">
        <v>170</v>
      </c>
      <c r="C154" s="11">
        <v>0</v>
      </c>
      <c r="D154" s="11">
        <v>0</v>
      </c>
      <c r="E154" s="11">
        <v>0</v>
      </c>
      <c r="F154" s="11">
        <v>0</v>
      </c>
      <c r="G154" s="11">
        <v>0</v>
      </c>
      <c r="H154" s="11">
        <v>0</v>
      </c>
      <c r="I154" s="11">
        <v>0</v>
      </c>
      <c r="J154" s="11">
        <v>0</v>
      </c>
      <c r="P154" s="190"/>
    </row>
    <row r="155" spans="2:46">
      <c r="B155" s="1" t="s">
        <v>171</v>
      </c>
      <c r="C155" s="11">
        <v>44</v>
      </c>
      <c r="D155" s="11">
        <v>334</v>
      </c>
      <c r="E155" s="11">
        <v>68</v>
      </c>
      <c r="F155" s="11">
        <v>18</v>
      </c>
      <c r="G155" s="11">
        <v>13</v>
      </c>
      <c r="H155" s="11">
        <v>102</v>
      </c>
      <c r="I155" s="11">
        <v>12</v>
      </c>
      <c r="J155" s="11">
        <v>18</v>
      </c>
      <c r="P155" s="190"/>
    </row>
    <row r="156" spans="2:46">
      <c r="B156" s="1" t="s">
        <v>172</v>
      </c>
      <c r="C156" s="11">
        <v>67</v>
      </c>
      <c r="D156" s="11">
        <v>32</v>
      </c>
      <c r="E156" s="11">
        <v>59</v>
      </c>
      <c r="F156" s="11">
        <v>41</v>
      </c>
      <c r="G156" s="11">
        <v>21</v>
      </c>
      <c r="H156" s="11">
        <v>26</v>
      </c>
      <c r="I156" s="11">
        <v>29</v>
      </c>
      <c r="J156" s="11">
        <v>19</v>
      </c>
      <c r="P156" s="190"/>
    </row>
    <row r="157" spans="2:46">
      <c r="B157" s="1" t="s">
        <v>173</v>
      </c>
      <c r="C157" s="11">
        <v>20</v>
      </c>
      <c r="D157" s="11">
        <v>12</v>
      </c>
      <c r="E157" s="11">
        <v>13</v>
      </c>
      <c r="F157" s="11">
        <v>13</v>
      </c>
      <c r="G157" s="11">
        <v>10</v>
      </c>
      <c r="H157" s="11">
        <v>10</v>
      </c>
      <c r="I157" s="11">
        <v>9</v>
      </c>
      <c r="J157" s="11">
        <v>13</v>
      </c>
      <c r="P157" s="190"/>
    </row>
    <row r="158" spans="2:46">
      <c r="B158" s="1" t="s">
        <v>174</v>
      </c>
      <c r="C158" s="11">
        <v>5</v>
      </c>
      <c r="D158" s="11">
        <v>3</v>
      </c>
      <c r="E158" s="11">
        <v>5</v>
      </c>
      <c r="F158" s="11">
        <v>5</v>
      </c>
      <c r="G158" s="11">
        <v>8</v>
      </c>
      <c r="H158" s="11">
        <v>5</v>
      </c>
      <c r="I158" s="11">
        <v>4</v>
      </c>
      <c r="J158" s="11">
        <v>6</v>
      </c>
      <c r="P158" s="190"/>
    </row>
    <row r="159" spans="2:46">
      <c r="B159" s="1" t="s">
        <v>175</v>
      </c>
      <c r="C159" s="11">
        <v>1464</v>
      </c>
      <c r="D159" s="11">
        <v>1326</v>
      </c>
      <c r="E159" s="11">
        <v>975</v>
      </c>
      <c r="F159" s="11">
        <v>791</v>
      </c>
      <c r="G159" s="11">
        <v>650</v>
      </c>
      <c r="H159" s="11">
        <v>655</v>
      </c>
      <c r="I159" s="11">
        <v>590</v>
      </c>
      <c r="J159" s="11">
        <v>625</v>
      </c>
      <c r="P159" s="190"/>
    </row>
    <row r="160" spans="2:46">
      <c r="B160" s="1" t="s">
        <v>176</v>
      </c>
      <c r="C160" s="11">
        <v>126</v>
      </c>
      <c r="D160" s="11">
        <v>89</v>
      </c>
      <c r="E160" s="11">
        <v>77</v>
      </c>
      <c r="F160" s="11">
        <v>50</v>
      </c>
      <c r="G160" s="11">
        <v>25</v>
      </c>
      <c r="H160" s="11">
        <v>28</v>
      </c>
      <c r="I160" s="11">
        <v>30</v>
      </c>
      <c r="J160" s="11">
        <v>19</v>
      </c>
      <c r="P160" s="190"/>
    </row>
    <row r="161" spans="2:16">
      <c r="B161" s="1" t="s">
        <v>177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P161" s="190"/>
    </row>
    <row r="162" spans="2:16">
      <c r="B162" s="1" t="s">
        <v>178</v>
      </c>
      <c r="C162" s="11">
        <v>0</v>
      </c>
      <c r="D162" s="11">
        <v>0</v>
      </c>
      <c r="E162" s="11">
        <v>0</v>
      </c>
      <c r="F162" s="1">
        <v>16</v>
      </c>
      <c r="G162" s="11">
        <v>0</v>
      </c>
      <c r="H162" s="1">
        <v>0</v>
      </c>
      <c r="I162" s="1">
        <v>0</v>
      </c>
      <c r="J162" s="1">
        <v>17</v>
      </c>
      <c r="P162" s="190"/>
    </row>
    <row r="163" spans="2:16">
      <c r="B163" s="1" t="s">
        <v>179</v>
      </c>
      <c r="C163" s="11">
        <v>0</v>
      </c>
      <c r="D163" s="11">
        <v>0</v>
      </c>
      <c r="E163" s="11">
        <v>0</v>
      </c>
      <c r="F163" s="11">
        <v>2</v>
      </c>
      <c r="G163" s="11">
        <v>1</v>
      </c>
      <c r="H163" s="11">
        <v>0</v>
      </c>
      <c r="I163" s="11">
        <v>2</v>
      </c>
      <c r="J163" s="11">
        <v>0</v>
      </c>
      <c r="P163" s="190"/>
    </row>
    <row r="164" spans="2:16">
      <c r="B164" s="1" t="s">
        <v>180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P164" s="190"/>
    </row>
    <row r="165" spans="2:16">
      <c r="B165" s="1" t="s">
        <v>181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P165" s="190"/>
    </row>
    <row r="166" spans="2:16">
      <c r="B166" s="1" t="s">
        <v>182</v>
      </c>
      <c r="C166" s="11">
        <v>15</v>
      </c>
      <c r="D166" s="11">
        <v>18</v>
      </c>
      <c r="E166" s="11">
        <v>18</v>
      </c>
      <c r="F166" s="11">
        <v>2</v>
      </c>
      <c r="G166" s="11">
        <v>19</v>
      </c>
      <c r="H166" s="11">
        <v>20</v>
      </c>
      <c r="I166" s="11">
        <v>20</v>
      </c>
      <c r="J166" s="11">
        <v>2</v>
      </c>
      <c r="P166" s="190"/>
    </row>
    <row r="167" spans="2:16">
      <c r="B167" s="1" t="s">
        <v>183</v>
      </c>
      <c r="C167" s="11">
        <v>15</v>
      </c>
      <c r="D167" s="11">
        <v>18</v>
      </c>
      <c r="E167" s="11">
        <v>18</v>
      </c>
      <c r="F167" s="11">
        <v>20</v>
      </c>
      <c r="G167" s="11">
        <v>20</v>
      </c>
      <c r="H167" s="11">
        <v>20</v>
      </c>
      <c r="I167" s="11">
        <v>21</v>
      </c>
      <c r="J167" s="11">
        <v>20</v>
      </c>
      <c r="P167" s="190"/>
    </row>
    <row r="168" spans="2:16">
      <c r="B168" s="1" t="s">
        <v>15</v>
      </c>
      <c r="C168" s="11">
        <v>1605</v>
      </c>
      <c r="D168" s="11">
        <v>1432</v>
      </c>
      <c r="E168" s="11">
        <v>1071</v>
      </c>
      <c r="F168" s="11">
        <v>861</v>
      </c>
      <c r="G168" s="11">
        <v>696</v>
      </c>
      <c r="H168" s="11">
        <v>703</v>
      </c>
      <c r="I168" s="11">
        <v>642</v>
      </c>
      <c r="J168" s="11">
        <v>663</v>
      </c>
      <c r="P168" s="190"/>
    </row>
    <row r="169" spans="2:16">
      <c r="B169" s="1" t="s">
        <v>184</v>
      </c>
      <c r="C169" s="11">
        <v>1966</v>
      </c>
      <c r="D169" s="11">
        <v>1644</v>
      </c>
      <c r="E169" s="11">
        <v>1669</v>
      </c>
      <c r="F169" s="11">
        <v>1573</v>
      </c>
      <c r="G169" s="11">
        <v>1599</v>
      </c>
      <c r="H169" s="11">
        <v>1529</v>
      </c>
      <c r="I169" s="11">
        <v>1552</v>
      </c>
      <c r="J169" s="11">
        <v>1503</v>
      </c>
      <c r="P169" s="190"/>
    </row>
    <row r="170" spans="2:16">
      <c r="B170" s="1" t="s">
        <v>192</v>
      </c>
      <c r="C170" s="11">
        <v>1038</v>
      </c>
      <c r="D170" s="11">
        <v>1039</v>
      </c>
      <c r="E170" s="11">
        <v>1010</v>
      </c>
      <c r="F170" s="11">
        <v>1010</v>
      </c>
      <c r="G170" s="11">
        <v>1011</v>
      </c>
      <c r="H170" s="11">
        <v>1011</v>
      </c>
      <c r="I170" s="11">
        <v>1012</v>
      </c>
      <c r="J170" s="11">
        <v>1012</v>
      </c>
      <c r="P170" s="190"/>
    </row>
    <row r="171" spans="2:16">
      <c r="B171" s="1" t="s">
        <v>193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P171" s="190"/>
    </row>
    <row r="172" spans="2:16">
      <c r="B172" s="1" t="s">
        <v>194</v>
      </c>
      <c r="C172" s="11">
        <v>275</v>
      </c>
      <c r="D172" s="11">
        <v>277</v>
      </c>
      <c r="E172" s="11">
        <v>70</v>
      </c>
      <c r="F172" s="11">
        <v>70</v>
      </c>
      <c r="G172" s="11">
        <v>72</v>
      </c>
      <c r="H172" s="11">
        <v>72</v>
      </c>
      <c r="I172" s="11">
        <v>71</v>
      </c>
      <c r="J172" s="11">
        <v>71</v>
      </c>
      <c r="P172" s="190"/>
    </row>
    <row r="173" spans="2:16">
      <c r="B173" s="1" t="s">
        <v>195</v>
      </c>
      <c r="C173" s="11">
        <v>105</v>
      </c>
      <c r="D173" s="11">
        <v>105</v>
      </c>
      <c r="E173" s="11">
        <v>76</v>
      </c>
      <c r="F173" s="11">
        <v>76</v>
      </c>
      <c r="G173" s="11">
        <v>76</v>
      </c>
      <c r="H173" s="11">
        <v>76</v>
      </c>
      <c r="I173" s="11">
        <v>66</v>
      </c>
      <c r="J173" s="11">
        <v>66</v>
      </c>
      <c r="P173" s="190"/>
    </row>
    <row r="174" spans="2:16">
      <c r="B174" s="1" t="s">
        <v>196</v>
      </c>
      <c r="C174" s="11">
        <v>0</v>
      </c>
      <c r="D174" s="11">
        <v>0</v>
      </c>
      <c r="E174" s="11">
        <v>0</v>
      </c>
      <c r="F174" s="11">
        <v>0</v>
      </c>
      <c r="G174" s="11">
        <v>0</v>
      </c>
      <c r="H174" s="11">
        <v>0</v>
      </c>
      <c r="I174" s="11">
        <v>9</v>
      </c>
      <c r="J174" s="11">
        <v>9</v>
      </c>
      <c r="P174" s="190"/>
    </row>
    <row r="175" spans="2:16">
      <c r="B175" s="1" t="s">
        <v>197</v>
      </c>
      <c r="C175" s="11">
        <v>730</v>
      </c>
      <c r="D175" s="11">
        <v>436</v>
      </c>
      <c r="E175" s="11">
        <v>649</v>
      </c>
      <c r="F175" s="11">
        <v>555</v>
      </c>
      <c r="G175" s="11">
        <v>447</v>
      </c>
      <c r="H175" s="11">
        <v>382</v>
      </c>
      <c r="I175" s="11">
        <v>407</v>
      </c>
      <c r="J175" s="11">
        <v>361</v>
      </c>
      <c r="P175" s="190"/>
    </row>
    <row r="176" spans="2:16">
      <c r="B176" s="1" t="s">
        <v>198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P176" s="190"/>
    </row>
    <row r="177" spans="2:16">
      <c r="B177" s="1" t="s">
        <v>185</v>
      </c>
      <c r="C177" s="11">
        <v>0</v>
      </c>
      <c r="D177" s="11">
        <v>0</v>
      </c>
      <c r="E177" s="11">
        <v>0</v>
      </c>
      <c r="F177" s="11">
        <v>0</v>
      </c>
      <c r="G177" s="11">
        <v>0</v>
      </c>
      <c r="H177" s="11">
        <v>0</v>
      </c>
      <c r="I177" s="11">
        <v>0</v>
      </c>
      <c r="J177" s="11">
        <v>0</v>
      </c>
      <c r="P177" s="190"/>
    </row>
    <row r="178" spans="2:16">
      <c r="B178" s="1" t="s">
        <v>186</v>
      </c>
      <c r="C178" s="11">
        <v>3572</v>
      </c>
      <c r="D178" s="11">
        <v>3076</v>
      </c>
      <c r="E178" s="11">
        <v>2740</v>
      </c>
      <c r="F178" s="11">
        <v>2434</v>
      </c>
      <c r="G178" s="11">
        <v>2295</v>
      </c>
      <c r="H178" s="11">
        <v>2232</v>
      </c>
      <c r="I178" s="11">
        <v>2194</v>
      </c>
      <c r="J178" s="11">
        <v>2167</v>
      </c>
      <c r="P178" s="190"/>
    </row>
    <row r="179" spans="2:16">
      <c r="B179" s="1" t="s">
        <v>108</v>
      </c>
      <c r="P179" s="190"/>
    </row>
    <row r="180" spans="2:16">
      <c r="B180" s="1" t="s">
        <v>109</v>
      </c>
      <c r="P180" s="190"/>
    </row>
    <row r="181" spans="2:16">
      <c r="P181" s="190"/>
    </row>
    <row r="182" spans="2:16">
      <c r="P182" s="190"/>
    </row>
    <row r="183" spans="2:16">
      <c r="P183" s="190"/>
    </row>
    <row r="184" spans="2:16">
      <c r="P184" s="190"/>
    </row>
    <row r="221" spans="2:10">
      <c r="B221" s="1" t="s">
        <v>4062</v>
      </c>
    </row>
    <row r="222" spans="2:10">
      <c r="B222" s="1" t="s">
        <v>45</v>
      </c>
    </row>
    <row r="223" spans="2:10">
      <c r="B223" s="1" t="s">
        <v>46</v>
      </c>
      <c r="C223" s="1" t="s">
        <v>1888</v>
      </c>
      <c r="D223" s="1" t="s">
        <v>220</v>
      </c>
      <c r="E223" s="1" t="s">
        <v>47</v>
      </c>
      <c r="F223" s="1" t="s">
        <v>48</v>
      </c>
      <c r="G223" s="1" t="s">
        <v>49</v>
      </c>
      <c r="H223" s="1" t="s">
        <v>50</v>
      </c>
      <c r="I223" s="1" t="s">
        <v>51</v>
      </c>
      <c r="J223" s="1" t="s">
        <v>52</v>
      </c>
    </row>
    <row r="224" spans="2:10">
      <c r="B224" s="1" t="s">
        <v>110</v>
      </c>
      <c r="C224" s="11">
        <v>293</v>
      </c>
      <c r="D224" s="11">
        <v>75</v>
      </c>
      <c r="E224" s="11">
        <v>94</v>
      </c>
      <c r="F224" s="11">
        <v>107</v>
      </c>
      <c r="G224" s="11">
        <v>65</v>
      </c>
      <c r="H224" s="11">
        <v>71</v>
      </c>
      <c r="I224" s="11">
        <v>47</v>
      </c>
      <c r="J224" s="11">
        <v>28</v>
      </c>
    </row>
    <row r="225" spans="2:10">
      <c r="B225" s="1" t="s">
        <v>111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</row>
    <row r="226" spans="2:10">
      <c r="B226" s="1" t="s">
        <v>112</v>
      </c>
      <c r="C226" s="11">
        <v>53</v>
      </c>
      <c r="D226" s="11">
        <v>41</v>
      </c>
      <c r="E226" s="11">
        <v>36</v>
      </c>
      <c r="F226" s="11">
        <v>36</v>
      </c>
      <c r="G226" s="11">
        <v>37</v>
      </c>
      <c r="H226" s="11">
        <v>39</v>
      </c>
      <c r="I226" s="11">
        <v>39</v>
      </c>
      <c r="J226" s="11">
        <v>38</v>
      </c>
    </row>
    <row r="227" spans="2:10">
      <c r="B227" s="1" t="s">
        <v>113</v>
      </c>
      <c r="C227" s="1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</row>
    <row r="228" spans="2:10">
      <c r="B228" s="1" t="s">
        <v>114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</row>
    <row r="229" spans="2:10">
      <c r="B229" s="1" t="s">
        <v>115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</row>
    <row r="230" spans="2:10">
      <c r="B230" s="1" t="s">
        <v>116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</row>
    <row r="231" spans="2:10">
      <c r="B231" s="1" t="s">
        <v>117</v>
      </c>
      <c r="C231" s="1" t="s">
        <v>96</v>
      </c>
      <c r="D231" s="1" t="s">
        <v>96</v>
      </c>
      <c r="E231" s="1" t="s">
        <v>96</v>
      </c>
      <c r="F231" s="1" t="s">
        <v>96</v>
      </c>
      <c r="G231" s="1" t="s">
        <v>96</v>
      </c>
      <c r="H231" s="1" t="s">
        <v>96</v>
      </c>
      <c r="I231" s="1" t="s">
        <v>96</v>
      </c>
      <c r="J231" s="1" t="s">
        <v>96</v>
      </c>
    </row>
    <row r="232" spans="2:10">
      <c r="B232" s="1" t="s">
        <v>118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-2</v>
      </c>
      <c r="I232" s="1">
        <v>0</v>
      </c>
      <c r="J232" s="1">
        <v>0</v>
      </c>
    </row>
    <row r="233" spans="2:10">
      <c r="B233" s="1" t="s">
        <v>119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1">
        <v>0</v>
      </c>
    </row>
    <row r="234" spans="2:10">
      <c r="B234" s="1" t="s">
        <v>120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</row>
    <row r="235" spans="2:10">
      <c r="B235" s="1" t="s">
        <v>121</v>
      </c>
      <c r="C235" s="11">
        <v>-164</v>
      </c>
      <c r="D235" s="11">
        <v>-124</v>
      </c>
      <c r="E235" s="11">
        <v>-2</v>
      </c>
      <c r="F235" s="11">
        <v>-182</v>
      </c>
      <c r="G235" s="11">
        <v>13</v>
      </c>
      <c r="H235" s="11">
        <v>-9</v>
      </c>
      <c r="I235" s="11">
        <v>26</v>
      </c>
      <c r="J235" s="11">
        <v>-102</v>
      </c>
    </row>
    <row r="236" spans="2:10">
      <c r="B236" s="1" t="s">
        <v>122</v>
      </c>
      <c r="C236" s="11">
        <v>-77</v>
      </c>
      <c r="D236" s="11">
        <v>-84</v>
      </c>
      <c r="E236" s="11">
        <v>-55</v>
      </c>
      <c r="F236" s="11">
        <v>-16</v>
      </c>
      <c r="G236" s="11">
        <v>-81</v>
      </c>
      <c r="H236" s="11">
        <v>-70</v>
      </c>
      <c r="I236" s="11">
        <v>10</v>
      </c>
      <c r="J236" s="11">
        <v>36</v>
      </c>
    </row>
    <row r="237" spans="2:10">
      <c r="B237" s="1" t="s">
        <v>123</v>
      </c>
      <c r="C237" s="11">
        <v>82</v>
      </c>
      <c r="D237" s="11">
        <v>92</v>
      </c>
      <c r="E237" s="11">
        <v>25</v>
      </c>
      <c r="F237" s="11">
        <v>24</v>
      </c>
      <c r="G237" s="11">
        <v>-1</v>
      </c>
      <c r="H237" s="11">
        <v>51</v>
      </c>
      <c r="I237" s="11">
        <v>-26</v>
      </c>
      <c r="J237" s="11">
        <v>105</v>
      </c>
    </row>
    <row r="238" spans="2:10">
      <c r="B238" s="1" t="s">
        <v>124</v>
      </c>
      <c r="C238" s="11">
        <v>45</v>
      </c>
      <c r="D238" s="11">
        <v>-33</v>
      </c>
      <c r="E238" s="11">
        <v>29</v>
      </c>
      <c r="F238" s="11">
        <v>39</v>
      </c>
      <c r="G238" s="11">
        <v>14</v>
      </c>
      <c r="H238" s="11">
        <v>16</v>
      </c>
      <c r="I238" s="11">
        <v>-3</v>
      </c>
      <c r="J238" s="11">
        <v>-9</v>
      </c>
    </row>
    <row r="239" spans="2:10">
      <c r="B239" s="1" t="s">
        <v>17</v>
      </c>
      <c r="C239" s="11">
        <v>257</v>
      </c>
      <c r="D239" s="11">
        <v>136</v>
      </c>
      <c r="E239" s="11">
        <v>129</v>
      </c>
      <c r="F239" s="11">
        <v>20</v>
      </c>
      <c r="G239" s="11">
        <v>51</v>
      </c>
      <c r="H239" s="11">
        <v>99</v>
      </c>
      <c r="I239" s="11">
        <v>97</v>
      </c>
      <c r="J239" s="11">
        <v>117</v>
      </c>
    </row>
    <row r="240" spans="2:10">
      <c r="B240" s="1" t="s">
        <v>125</v>
      </c>
      <c r="C240" s="11">
        <v>0</v>
      </c>
      <c r="D240" s="11">
        <v>0</v>
      </c>
      <c r="E240" s="11">
        <v>0</v>
      </c>
      <c r="F240" s="11">
        <v>0</v>
      </c>
      <c r="G240" s="11">
        <v>0</v>
      </c>
      <c r="H240" s="11">
        <v>0</v>
      </c>
      <c r="I240" s="1">
        <v>0</v>
      </c>
      <c r="J240" s="11">
        <v>0</v>
      </c>
    </row>
    <row r="241" spans="2:10">
      <c r="B241" s="1" t="s">
        <v>126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1">
        <v>0</v>
      </c>
    </row>
    <row r="242" spans="2:10">
      <c r="B242" s="1" t="s">
        <v>19</v>
      </c>
      <c r="C242" s="11">
        <v>0</v>
      </c>
      <c r="D242" s="1">
        <v>0</v>
      </c>
      <c r="E242" s="1">
        <v>0</v>
      </c>
      <c r="F242" s="11">
        <v>0</v>
      </c>
      <c r="G242" s="1">
        <v>0</v>
      </c>
      <c r="H242" s="1">
        <v>0</v>
      </c>
      <c r="I242" s="1">
        <v>0</v>
      </c>
      <c r="J242" s="1">
        <v>0</v>
      </c>
    </row>
    <row r="243" spans="2:10">
      <c r="B243" s="1" t="s">
        <v>127</v>
      </c>
      <c r="C243" s="1">
        <v>0</v>
      </c>
      <c r="D243" s="11">
        <v>0</v>
      </c>
      <c r="E243" s="1">
        <v>1</v>
      </c>
      <c r="F243" s="11">
        <v>0</v>
      </c>
      <c r="G243" s="1">
        <v>0</v>
      </c>
      <c r="H243" s="1">
        <v>2</v>
      </c>
      <c r="I243" s="1">
        <v>0</v>
      </c>
      <c r="J243" s="1">
        <v>28</v>
      </c>
    </row>
    <row r="244" spans="2:10">
      <c r="B244" s="1" t="s">
        <v>18</v>
      </c>
      <c r="C244" s="11">
        <v>-337</v>
      </c>
      <c r="D244" s="11">
        <v>-300</v>
      </c>
      <c r="E244" s="11">
        <v>-174</v>
      </c>
      <c r="F244" s="11">
        <v>-39</v>
      </c>
      <c r="G244" s="11">
        <v>-36</v>
      </c>
      <c r="H244" s="11">
        <v>-6</v>
      </c>
      <c r="I244" s="11">
        <v>-5</v>
      </c>
      <c r="J244" s="11">
        <v>-52</v>
      </c>
    </row>
    <row r="245" spans="2:10">
      <c r="B245" s="1" t="s">
        <v>128</v>
      </c>
      <c r="C245" s="11">
        <v>-7</v>
      </c>
      <c r="D245" s="11">
        <v>-14</v>
      </c>
      <c r="E245" s="11">
        <v>-1</v>
      </c>
      <c r="F245" s="11">
        <v>-2</v>
      </c>
      <c r="G245" s="11">
        <v>0</v>
      </c>
      <c r="H245" s="11">
        <v>0</v>
      </c>
      <c r="I245" s="11">
        <v>0</v>
      </c>
      <c r="J245" s="11">
        <v>0</v>
      </c>
    </row>
    <row r="246" spans="2:10">
      <c r="B246" s="1" t="s">
        <v>129</v>
      </c>
      <c r="C246" s="11">
        <v>-344</v>
      </c>
      <c r="D246" s="11">
        <v>-315</v>
      </c>
      <c r="E246" s="11">
        <v>-174</v>
      </c>
      <c r="F246" s="11">
        <v>-41</v>
      </c>
      <c r="G246" s="11">
        <v>-36</v>
      </c>
      <c r="H246" s="11">
        <v>-3</v>
      </c>
      <c r="I246" s="11">
        <v>-5</v>
      </c>
      <c r="J246" s="11">
        <v>-24</v>
      </c>
    </row>
    <row r="247" spans="2:10">
      <c r="B247" s="1" t="s">
        <v>130</v>
      </c>
      <c r="C247" s="11">
        <v>0</v>
      </c>
      <c r="D247" s="11">
        <v>0</v>
      </c>
      <c r="E247" s="1">
        <v>0</v>
      </c>
      <c r="F247" s="11">
        <v>0</v>
      </c>
      <c r="G247" s="1">
        <v>0</v>
      </c>
      <c r="H247" s="1">
        <v>0</v>
      </c>
      <c r="I247" s="1">
        <v>0</v>
      </c>
      <c r="J247" s="11">
        <v>0</v>
      </c>
    </row>
    <row r="248" spans="2:10">
      <c r="B248" s="1" t="s">
        <v>131</v>
      </c>
      <c r="C248" s="11">
        <v>-259</v>
      </c>
      <c r="D248" s="11">
        <v>0</v>
      </c>
      <c r="E248" s="1">
        <v>0</v>
      </c>
      <c r="F248" s="1">
        <v>0</v>
      </c>
      <c r="G248" s="11">
        <v>-96</v>
      </c>
      <c r="H248" s="11">
        <v>0</v>
      </c>
      <c r="I248" s="1">
        <v>0</v>
      </c>
      <c r="J248" s="1">
        <v>0</v>
      </c>
    </row>
    <row r="249" spans="2:10">
      <c r="B249" s="1" t="s">
        <v>132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</row>
    <row r="250" spans="2:10">
      <c r="B250" s="1" t="s">
        <v>133</v>
      </c>
      <c r="C250" s="11">
        <v>272</v>
      </c>
      <c r="D250" s="11">
        <v>12</v>
      </c>
      <c r="E250" s="11">
        <v>62</v>
      </c>
      <c r="F250" s="11">
        <v>83</v>
      </c>
      <c r="G250" s="11">
        <v>69</v>
      </c>
      <c r="H250" s="11">
        <v>-92</v>
      </c>
      <c r="I250" s="11">
        <v>-9</v>
      </c>
      <c r="J250" s="11">
        <v>1</v>
      </c>
    </row>
    <row r="251" spans="2:10">
      <c r="B251" s="1" t="s">
        <v>134</v>
      </c>
      <c r="C251" s="11">
        <v>45</v>
      </c>
      <c r="D251" s="11">
        <v>11</v>
      </c>
      <c r="E251" s="11">
        <v>27</v>
      </c>
      <c r="F251" s="11">
        <v>27</v>
      </c>
      <c r="G251" s="11">
        <v>-3</v>
      </c>
      <c r="H251" s="11">
        <v>-1</v>
      </c>
      <c r="I251" s="11">
        <v>8</v>
      </c>
      <c r="J251" s="11">
        <v>-3</v>
      </c>
    </row>
    <row r="252" spans="2:10">
      <c r="B252" s="1" t="s">
        <v>135</v>
      </c>
      <c r="C252" s="1">
        <v>0</v>
      </c>
      <c r="D252" s="1">
        <v>0</v>
      </c>
      <c r="E252" s="11">
        <v>0</v>
      </c>
      <c r="F252" s="11">
        <v>0</v>
      </c>
      <c r="G252" s="1">
        <v>0</v>
      </c>
      <c r="H252" s="11">
        <v>0</v>
      </c>
      <c r="I252" s="11">
        <v>0</v>
      </c>
      <c r="J252" s="1">
        <v>0</v>
      </c>
    </row>
    <row r="253" spans="2:10">
      <c r="B253" s="1" t="s">
        <v>136</v>
      </c>
      <c r="C253" s="1">
        <v>0</v>
      </c>
      <c r="D253" s="1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</row>
    <row r="254" spans="2:10">
      <c r="B254" s="1" t="s">
        <v>137</v>
      </c>
      <c r="C254" s="1">
        <v>0</v>
      </c>
      <c r="D254" s="1">
        <v>0</v>
      </c>
      <c r="E254" s="1">
        <v>0</v>
      </c>
      <c r="F254" s="1">
        <v>-138</v>
      </c>
      <c r="G254" s="1">
        <v>-1</v>
      </c>
      <c r="H254" s="1">
        <v>0</v>
      </c>
      <c r="I254" s="1">
        <v>0</v>
      </c>
      <c r="J254" s="1">
        <v>7</v>
      </c>
    </row>
    <row r="255" spans="2:10">
      <c r="B255" s="1" t="s">
        <v>138</v>
      </c>
      <c r="C255" s="11">
        <v>-3</v>
      </c>
      <c r="D255" s="11">
        <v>1</v>
      </c>
      <c r="E255" s="11">
        <v>0</v>
      </c>
      <c r="F255" s="11">
        <v>-1</v>
      </c>
      <c r="G255" s="11">
        <v>-2</v>
      </c>
      <c r="H255" s="11">
        <v>1</v>
      </c>
      <c r="I255" s="11">
        <v>0</v>
      </c>
      <c r="J255" s="11">
        <v>9</v>
      </c>
    </row>
    <row r="256" spans="2:10">
      <c r="B256" s="1" t="s">
        <v>139</v>
      </c>
      <c r="C256" s="11">
        <v>55</v>
      </c>
      <c r="D256" s="11">
        <v>89</v>
      </c>
      <c r="E256" s="11">
        <v>89</v>
      </c>
      <c r="F256" s="11">
        <v>-29</v>
      </c>
      <c r="G256" s="11">
        <v>-32</v>
      </c>
      <c r="H256" s="11">
        <v>-91</v>
      </c>
      <c r="I256" s="11">
        <v>0</v>
      </c>
      <c r="J256" s="11">
        <v>14</v>
      </c>
    </row>
    <row r="257" spans="2:10">
      <c r="B257" s="1" t="s">
        <v>140</v>
      </c>
      <c r="C257" s="11">
        <v>2</v>
      </c>
      <c r="D257" s="11">
        <v>-1</v>
      </c>
      <c r="E257" s="11">
        <v>-1</v>
      </c>
      <c r="F257" s="11">
        <v>2</v>
      </c>
      <c r="G257" s="1">
        <v>5</v>
      </c>
      <c r="H257" s="1">
        <v>-8</v>
      </c>
      <c r="I257" s="1">
        <v>0</v>
      </c>
      <c r="J257" s="1">
        <v>1</v>
      </c>
    </row>
    <row r="258" spans="2:10">
      <c r="B258" s="1" t="s">
        <v>141</v>
      </c>
      <c r="C258" s="11">
        <v>-30</v>
      </c>
      <c r="D258" s="11">
        <v>-90</v>
      </c>
      <c r="E258" s="11">
        <v>44</v>
      </c>
      <c r="F258" s="11">
        <v>-47</v>
      </c>
      <c r="G258" s="11">
        <v>-13</v>
      </c>
      <c r="H258" s="11">
        <v>-4</v>
      </c>
      <c r="I258" s="11">
        <v>92</v>
      </c>
      <c r="J258" s="11">
        <v>108</v>
      </c>
    </row>
    <row r="259" spans="2:10">
      <c r="B259" s="1" t="s">
        <v>142</v>
      </c>
      <c r="C259" s="11">
        <v>308</v>
      </c>
      <c r="D259" s="11">
        <v>398</v>
      </c>
      <c r="E259" s="11">
        <v>354</v>
      </c>
      <c r="F259" s="11">
        <v>401</v>
      </c>
      <c r="G259" s="11">
        <v>414</v>
      </c>
      <c r="H259" s="11">
        <v>417</v>
      </c>
      <c r="I259" s="11">
        <v>325</v>
      </c>
      <c r="J259" s="11">
        <v>218</v>
      </c>
    </row>
    <row r="260" spans="2:10">
      <c r="B260" s="1" t="s">
        <v>143</v>
      </c>
      <c r="C260" s="11">
        <v>278</v>
      </c>
      <c r="D260" s="11">
        <v>308</v>
      </c>
      <c r="E260" s="11">
        <v>398</v>
      </c>
      <c r="F260" s="11">
        <v>354</v>
      </c>
      <c r="G260" s="11">
        <v>401</v>
      </c>
      <c r="H260" s="11">
        <v>414</v>
      </c>
      <c r="I260" s="11">
        <v>417</v>
      </c>
      <c r="J260" s="11">
        <v>325</v>
      </c>
    </row>
    <row r="261" spans="2:10">
      <c r="B261" s="1" t="s">
        <v>144</v>
      </c>
      <c r="C261" s="1">
        <v>2</v>
      </c>
      <c r="D261" s="1">
        <v>2</v>
      </c>
      <c r="E261" s="1">
        <v>2</v>
      </c>
      <c r="F261" s="1">
        <v>2</v>
      </c>
      <c r="G261" s="1">
        <v>1</v>
      </c>
      <c r="H261" s="1">
        <v>2</v>
      </c>
      <c r="I261" s="1">
        <v>1</v>
      </c>
      <c r="J261" s="1">
        <v>5</v>
      </c>
    </row>
    <row r="262" spans="2:10">
      <c r="B262" s="1" t="s">
        <v>145</v>
      </c>
      <c r="C262" s="1" t="s">
        <v>96</v>
      </c>
      <c r="D262" s="1" t="s">
        <v>96</v>
      </c>
      <c r="E262" s="1" t="s">
        <v>96</v>
      </c>
      <c r="F262" s="1" t="s">
        <v>96</v>
      </c>
      <c r="G262" s="1" t="s">
        <v>96</v>
      </c>
      <c r="H262" s="1" t="s">
        <v>96</v>
      </c>
      <c r="I262" s="1" t="s">
        <v>96</v>
      </c>
      <c r="J262" s="1" t="s">
        <v>96</v>
      </c>
    </row>
    <row r="263" spans="2:10">
      <c r="B263" s="1" t="s">
        <v>146</v>
      </c>
    </row>
    <row r="264" spans="2:10">
      <c r="B264" s="1" t="s">
        <v>147</v>
      </c>
    </row>
    <row r="265" spans="2:10">
      <c r="B265" s="1" t="s">
        <v>108</v>
      </c>
    </row>
    <row r="266" spans="2:10">
      <c r="B266" s="1" t="s">
        <v>109</v>
      </c>
    </row>
  </sheetData>
  <mergeCells count="46">
    <mergeCell ref="O52:O53"/>
    <mergeCell ref="AG1:AJ1"/>
    <mergeCell ref="O58:Y58"/>
    <mergeCell ref="X54:X57"/>
    <mergeCell ref="W54:W57"/>
    <mergeCell ref="V54:V57"/>
    <mergeCell ref="U54:U57"/>
    <mergeCell ref="T54:T57"/>
    <mergeCell ref="S54:S57"/>
    <mergeCell ref="R54:R57"/>
    <mergeCell ref="Q54:Q57"/>
    <mergeCell ref="P54:P57"/>
    <mergeCell ref="O54:O57"/>
    <mergeCell ref="P52:P53"/>
    <mergeCell ref="Q52:Q53"/>
    <mergeCell ref="R52:R53"/>
    <mergeCell ref="A25:J25"/>
    <mergeCell ref="F28:I28"/>
    <mergeCell ref="W31:X31"/>
    <mergeCell ref="W32:X32"/>
    <mergeCell ref="F34:I34"/>
    <mergeCell ref="F32:I32"/>
    <mergeCell ref="F26:I26"/>
    <mergeCell ref="N32:N33"/>
    <mergeCell ref="F30:I30"/>
    <mergeCell ref="S52:S53"/>
    <mergeCell ref="V52:V53"/>
    <mergeCell ref="U52:U53"/>
    <mergeCell ref="T52:T53"/>
    <mergeCell ref="W52:W53"/>
    <mergeCell ref="AC14:AD14"/>
    <mergeCell ref="W2:X2"/>
    <mergeCell ref="W22:W23"/>
    <mergeCell ref="X22:X23"/>
    <mergeCell ref="Y52:Y53"/>
    <mergeCell ref="X52:X53"/>
    <mergeCell ref="F18:I18"/>
    <mergeCell ref="F20:I20"/>
    <mergeCell ref="F2:I2"/>
    <mergeCell ref="F14:I14"/>
    <mergeCell ref="F22:I22"/>
    <mergeCell ref="F4:I4"/>
    <mergeCell ref="F6:I6"/>
    <mergeCell ref="F8:I8"/>
    <mergeCell ref="F10:I10"/>
    <mergeCell ref="F16:I16"/>
  </mergeCells>
  <phoneticPr fontId="2" type="noConversion"/>
  <hyperlinks>
    <hyperlink ref="N54" r:id="rId1" display="https://tw.stock.yahoo.com/q/bc?s=3234"/>
    <hyperlink ref="N55" r:id="rId2" display="https://tw.stock.yahoo.com/pf/pfsel?stocklist=3234;"/>
    <hyperlink ref="N57" r:id="rId3" display="https://tw.stock.yahoo.com/pf/pfsel?stocklist=3234;"/>
    <hyperlink ref="Y54" r:id="rId4" display="https://tw.stock.yahoo.com/q/ts?s=3234"/>
    <hyperlink ref="Y57" r:id="rId5" display="https://tw.rd.yahoo.com/referurl/stock/other/SIG=125v47s73/**https:/tw.screener.finance.yahoo.net/screener/check.html?symid=3234"/>
    <hyperlink ref="O58" r:id="rId6" display="javascript: CheckP(document.orderform, 'Z', '/fcgi-bin/orderpage.fcg');"/>
  </hyperlinks>
  <pageMargins left="0.70866141732283472" right="0.70866141732283472" top="0.74803149606299213" bottom="0.74803149606299213" header="0.31496062992125984" footer="0.31496062992125984"/>
  <pageSetup paperSize="9" scale="46" orientation="landscape" r:id="rId7"/>
  <drawing r:id="rId8"/>
  <legacyDrawing r:id="rId9"/>
  <controls>
    <mc:AlternateContent xmlns:mc="http://schemas.openxmlformats.org/markup-compatibility/2006">
      <mc:Choice Requires="x14">
        <control shapeId="1077" r:id="rId10" name="CommandButton14">
          <controlPr defaultSize="0" autoLine="0" r:id="rId11">
            <anchor moveWithCells="1">
              <from>
                <xdr:col>4</xdr:col>
                <xdr:colOff>95250</xdr:colOff>
                <xdr:row>0</xdr:row>
                <xdr:rowOff>9525</xdr:rowOff>
              </from>
              <to>
                <xdr:col>5</xdr:col>
                <xdr:colOff>95250</xdr:colOff>
                <xdr:row>0</xdr:row>
                <xdr:rowOff>342900</xdr:rowOff>
              </to>
            </anchor>
          </controlPr>
        </control>
      </mc:Choice>
      <mc:Fallback>
        <control shapeId="1077" r:id="rId10" name="CommandButton14"/>
      </mc:Fallback>
    </mc:AlternateContent>
    <mc:AlternateContent xmlns:mc="http://schemas.openxmlformats.org/markup-compatibility/2006">
      <mc:Choice Requires="x14">
        <control shapeId="1075" r:id="rId12" name="CommandButton11">
          <controlPr defaultSize="0" autoLine="0" r:id="rId13">
            <anchor moveWithCells="1">
              <from>
                <xdr:col>27</xdr:col>
                <xdr:colOff>47625</xdr:colOff>
                <xdr:row>29</xdr:row>
                <xdr:rowOff>133350</xdr:rowOff>
              </from>
              <to>
                <xdr:col>27</xdr:col>
                <xdr:colOff>1447800</xdr:colOff>
                <xdr:row>31</xdr:row>
                <xdr:rowOff>95250</xdr:rowOff>
              </to>
            </anchor>
          </controlPr>
        </control>
      </mc:Choice>
      <mc:Fallback>
        <control shapeId="1075" r:id="rId12" name="CommandButton11"/>
      </mc:Fallback>
    </mc:AlternateContent>
    <mc:AlternateContent xmlns:mc="http://schemas.openxmlformats.org/markup-compatibility/2006">
      <mc:Choice Requires="x14">
        <control shapeId="1074" r:id="rId14" name="CommandButton8">
          <controlPr defaultSize="0" autoLine="0" r:id="rId15">
            <anchor moveWithCells="1">
              <from>
                <xdr:col>27</xdr:col>
                <xdr:colOff>28575</xdr:colOff>
                <xdr:row>22</xdr:row>
                <xdr:rowOff>19050</xdr:rowOff>
              </from>
              <to>
                <xdr:col>27</xdr:col>
                <xdr:colOff>1438275</xdr:colOff>
                <xdr:row>22</xdr:row>
                <xdr:rowOff>190500</xdr:rowOff>
              </to>
            </anchor>
          </controlPr>
        </control>
      </mc:Choice>
      <mc:Fallback>
        <control shapeId="1074" r:id="rId14" name="CommandButton8"/>
      </mc:Fallback>
    </mc:AlternateContent>
    <mc:AlternateContent xmlns:mc="http://schemas.openxmlformats.org/markup-compatibility/2006">
      <mc:Choice Requires="x14">
        <control shapeId="1071" r:id="rId16" name="CommandButton18">
          <controlPr defaultSize="0" autoLine="0" autoPict="0" r:id="rId15">
            <anchor moveWithCells="1">
              <from>
                <xdr:col>28</xdr:col>
                <xdr:colOff>28575</xdr:colOff>
                <xdr:row>22</xdr:row>
                <xdr:rowOff>19050</xdr:rowOff>
              </from>
              <to>
                <xdr:col>29</xdr:col>
                <xdr:colOff>0</xdr:colOff>
                <xdr:row>22</xdr:row>
                <xdr:rowOff>190500</xdr:rowOff>
              </to>
            </anchor>
          </controlPr>
        </control>
      </mc:Choice>
      <mc:Fallback>
        <control shapeId="1071" r:id="rId16" name="CommandButton18"/>
      </mc:Fallback>
    </mc:AlternateContent>
    <mc:AlternateContent xmlns:mc="http://schemas.openxmlformats.org/markup-compatibility/2006">
      <mc:Choice Requires="x14">
        <control shapeId="1068" r:id="rId17" name="CommandButton30">
          <controlPr defaultSize="0" autoLine="0" r:id="rId18">
            <anchor moveWithCells="1">
              <from>
                <xdr:col>27</xdr:col>
                <xdr:colOff>9525</xdr:colOff>
                <xdr:row>0</xdr:row>
                <xdr:rowOff>9525</xdr:rowOff>
              </from>
              <to>
                <xdr:col>27</xdr:col>
                <xdr:colOff>819150</xdr:colOff>
                <xdr:row>0</xdr:row>
                <xdr:rowOff>342900</xdr:rowOff>
              </to>
            </anchor>
          </controlPr>
        </control>
      </mc:Choice>
      <mc:Fallback>
        <control shapeId="1068" r:id="rId17" name="CommandButton30"/>
      </mc:Fallback>
    </mc:AlternateContent>
    <mc:AlternateContent xmlns:mc="http://schemas.openxmlformats.org/markup-compatibility/2006">
      <mc:Choice Requires="x14">
        <control shapeId="1066" r:id="rId19" name="CommandButton29">
          <controlPr defaultSize="0" autoLine="0" r:id="rId20">
            <anchor moveWithCells="1">
              <from>
                <xdr:col>27</xdr:col>
                <xdr:colOff>828675</xdr:colOff>
                <xdr:row>0</xdr:row>
                <xdr:rowOff>9525</xdr:rowOff>
              </from>
              <to>
                <xdr:col>28</xdr:col>
                <xdr:colOff>19050</xdr:colOff>
                <xdr:row>0</xdr:row>
                <xdr:rowOff>342900</xdr:rowOff>
              </to>
            </anchor>
          </controlPr>
        </control>
      </mc:Choice>
      <mc:Fallback>
        <control shapeId="1066" r:id="rId19" name="CommandButton29"/>
      </mc:Fallback>
    </mc:AlternateContent>
    <mc:AlternateContent xmlns:mc="http://schemas.openxmlformats.org/markup-compatibility/2006">
      <mc:Choice Requires="x14">
        <control shapeId="1065" r:id="rId21" name="CommandButton28">
          <controlPr defaultSize="0" autoLine="0" r:id="rId22">
            <anchor moveWithCells="1">
              <from>
                <xdr:col>8</xdr:col>
                <xdr:colOff>819150</xdr:colOff>
                <xdr:row>0</xdr:row>
                <xdr:rowOff>9525</xdr:rowOff>
              </from>
              <to>
                <xdr:col>9</xdr:col>
                <xdr:colOff>714375</xdr:colOff>
                <xdr:row>0</xdr:row>
                <xdr:rowOff>342900</xdr:rowOff>
              </to>
            </anchor>
          </controlPr>
        </control>
      </mc:Choice>
      <mc:Fallback>
        <control shapeId="1065" r:id="rId21" name="CommandButton28"/>
      </mc:Fallback>
    </mc:AlternateContent>
    <mc:AlternateContent xmlns:mc="http://schemas.openxmlformats.org/markup-compatibility/2006">
      <mc:Choice Requires="x14">
        <control shapeId="1061" r:id="rId23" name="CommandButton26">
          <controlPr defaultSize="0" autoLine="0" r:id="rId24">
            <anchor moveWithCells="1">
              <from>
                <xdr:col>34</xdr:col>
                <xdr:colOff>85725</xdr:colOff>
                <xdr:row>18</xdr:row>
                <xdr:rowOff>57150</xdr:rowOff>
              </from>
              <to>
                <xdr:col>36</xdr:col>
                <xdr:colOff>152400</xdr:colOff>
                <xdr:row>21</xdr:row>
                <xdr:rowOff>209550</xdr:rowOff>
              </to>
            </anchor>
          </controlPr>
        </control>
      </mc:Choice>
      <mc:Fallback>
        <control shapeId="1061" r:id="rId23" name="CommandButton26"/>
      </mc:Fallback>
    </mc:AlternateContent>
    <mc:AlternateContent xmlns:mc="http://schemas.openxmlformats.org/markup-compatibility/2006">
      <mc:Choice Requires="x14">
        <control shapeId="1055" r:id="rId25" name="CommandButton21">
          <controlPr defaultSize="0" autoLine="0" autoPict="0" r:id="rId26">
            <anchor moveWithCells="1">
              <from>
                <xdr:col>28</xdr:col>
                <xdr:colOff>38100</xdr:colOff>
                <xdr:row>25</xdr:row>
                <xdr:rowOff>209550</xdr:rowOff>
              </from>
              <to>
                <xdr:col>29</xdr:col>
                <xdr:colOff>1343025</xdr:colOff>
                <xdr:row>27</xdr:row>
                <xdr:rowOff>85725</xdr:rowOff>
              </to>
            </anchor>
          </controlPr>
        </control>
      </mc:Choice>
      <mc:Fallback>
        <control shapeId="1055" r:id="rId25" name="CommandButton21"/>
      </mc:Fallback>
    </mc:AlternateContent>
    <mc:AlternateContent xmlns:mc="http://schemas.openxmlformats.org/markup-compatibility/2006">
      <mc:Choice Requires="x14">
        <control shapeId="1045" r:id="rId27" name="CommandButton13">
          <controlPr defaultSize="0" autoLine="0" autoPict="0" r:id="rId28">
            <anchor moveWithCells="1">
              <from>
                <xdr:col>28</xdr:col>
                <xdr:colOff>38100</xdr:colOff>
                <xdr:row>23</xdr:row>
                <xdr:rowOff>38100</xdr:rowOff>
              </from>
              <to>
                <xdr:col>29</xdr:col>
                <xdr:colOff>1371600</xdr:colOff>
                <xdr:row>25</xdr:row>
                <xdr:rowOff>161925</xdr:rowOff>
              </to>
            </anchor>
          </controlPr>
        </control>
      </mc:Choice>
      <mc:Fallback>
        <control shapeId="1045" r:id="rId27" name="CommandButton13"/>
      </mc:Fallback>
    </mc:AlternateContent>
    <mc:AlternateContent xmlns:mc="http://schemas.openxmlformats.org/markup-compatibility/2006">
      <mc:Choice Requires="x14">
        <control shapeId="1044" r:id="rId29" name="CommandButton12">
          <controlPr defaultSize="0" autoLine="0" autoPict="0" r:id="rId30">
            <anchor moveWithCells="1">
              <from>
                <xdr:col>28</xdr:col>
                <xdr:colOff>1323975</xdr:colOff>
                <xdr:row>27</xdr:row>
                <xdr:rowOff>133350</xdr:rowOff>
              </from>
              <to>
                <xdr:col>29</xdr:col>
                <xdr:colOff>1333500</xdr:colOff>
                <xdr:row>31</xdr:row>
                <xdr:rowOff>85725</xdr:rowOff>
              </to>
            </anchor>
          </controlPr>
        </control>
      </mc:Choice>
      <mc:Fallback>
        <control shapeId="1044" r:id="rId29" name="CommandButton12"/>
      </mc:Fallback>
    </mc:AlternateContent>
    <mc:AlternateContent xmlns:mc="http://schemas.openxmlformats.org/markup-compatibility/2006">
      <mc:Choice Requires="x14">
        <control shapeId="1034" r:id="rId31" name="CommandButton0">
          <controlPr defaultSize="0" autoLine="0" r:id="rId32">
            <anchor moveWithCells="1">
              <from>
                <xdr:col>27</xdr:col>
                <xdr:colOff>1123950</xdr:colOff>
                <xdr:row>23</xdr:row>
                <xdr:rowOff>28575</xdr:rowOff>
              </from>
              <to>
                <xdr:col>27</xdr:col>
                <xdr:colOff>1457325</xdr:colOff>
                <xdr:row>27</xdr:row>
                <xdr:rowOff>76200</xdr:rowOff>
              </to>
            </anchor>
          </controlPr>
        </control>
      </mc:Choice>
      <mc:Fallback>
        <control shapeId="1034" r:id="rId31" name="CommandButton0"/>
      </mc:Fallback>
    </mc:AlternateContent>
    <mc:AlternateContent xmlns:mc="http://schemas.openxmlformats.org/markup-compatibility/2006">
      <mc:Choice Requires="x14">
        <control shapeId="1033" r:id="rId33" name="CommandButton9">
          <controlPr defaultSize="0" autoLine="0" autoPict="0" r:id="rId34">
            <anchor moveWithCells="1">
              <from>
                <xdr:col>27</xdr:col>
                <xdr:colOff>47625</xdr:colOff>
                <xdr:row>31</xdr:row>
                <xdr:rowOff>142875</xdr:rowOff>
              </from>
              <to>
                <xdr:col>29</xdr:col>
                <xdr:colOff>1352550</xdr:colOff>
                <xdr:row>35</xdr:row>
                <xdr:rowOff>200025</xdr:rowOff>
              </to>
            </anchor>
          </controlPr>
        </control>
      </mc:Choice>
      <mc:Fallback>
        <control shapeId="1033" r:id="rId33" name="CommandButton9"/>
      </mc:Fallback>
    </mc:AlternateContent>
    <mc:AlternateContent xmlns:mc="http://schemas.openxmlformats.org/markup-compatibility/2006">
      <mc:Choice Requires="x14">
        <control shapeId="1031" r:id="rId35" name="CommandButton7">
          <controlPr defaultSize="0" autoLine="0" r:id="rId36">
            <anchor moveWithCells="1">
              <from>
                <xdr:col>8</xdr:col>
                <xdr:colOff>133350</xdr:colOff>
                <xdr:row>0</xdr:row>
                <xdr:rowOff>9525</xdr:rowOff>
              </from>
              <to>
                <xdr:col>8</xdr:col>
                <xdr:colOff>819150</xdr:colOff>
                <xdr:row>0</xdr:row>
                <xdr:rowOff>342900</xdr:rowOff>
              </to>
            </anchor>
          </controlPr>
        </control>
      </mc:Choice>
      <mc:Fallback>
        <control shapeId="1031" r:id="rId35" name="CommandButton7"/>
      </mc:Fallback>
    </mc:AlternateContent>
    <mc:AlternateContent xmlns:mc="http://schemas.openxmlformats.org/markup-compatibility/2006">
      <mc:Choice Requires="x14">
        <control shapeId="1030" r:id="rId37" name="CommandButton6">
          <controlPr defaultSize="0" autoLine="0" r:id="rId38">
            <anchor moveWithCells="1">
              <from>
                <xdr:col>7</xdr:col>
                <xdr:colOff>400050</xdr:colOff>
                <xdr:row>0</xdr:row>
                <xdr:rowOff>9525</xdr:rowOff>
              </from>
              <to>
                <xdr:col>8</xdr:col>
                <xdr:colOff>76200</xdr:colOff>
                <xdr:row>0</xdr:row>
                <xdr:rowOff>342900</xdr:rowOff>
              </to>
            </anchor>
          </controlPr>
        </control>
      </mc:Choice>
      <mc:Fallback>
        <control shapeId="1030" r:id="rId37" name="CommandButton6"/>
      </mc:Fallback>
    </mc:AlternateContent>
    <mc:AlternateContent xmlns:mc="http://schemas.openxmlformats.org/markup-compatibility/2006">
      <mc:Choice Requires="x14">
        <control shapeId="1029" r:id="rId39" name="CommandButton5">
          <controlPr defaultSize="0" autoLine="0" r:id="rId40">
            <anchor moveWithCells="1">
              <from>
                <xdr:col>5</xdr:col>
                <xdr:colOff>933450</xdr:colOff>
                <xdr:row>0</xdr:row>
                <xdr:rowOff>9525</xdr:rowOff>
              </from>
              <to>
                <xdr:col>6</xdr:col>
                <xdr:colOff>581025</xdr:colOff>
                <xdr:row>0</xdr:row>
                <xdr:rowOff>342900</xdr:rowOff>
              </to>
            </anchor>
          </controlPr>
        </control>
      </mc:Choice>
      <mc:Fallback>
        <control shapeId="1029" r:id="rId39" name="CommandButton5"/>
      </mc:Fallback>
    </mc:AlternateContent>
    <mc:AlternateContent xmlns:mc="http://schemas.openxmlformats.org/markup-compatibility/2006">
      <mc:Choice Requires="x14">
        <control shapeId="1028" r:id="rId41" name="CommandButton4">
          <controlPr defaultSize="0" autoLine="0" r:id="rId42">
            <anchor moveWithCells="1">
              <from>
                <xdr:col>6</xdr:col>
                <xdr:colOff>666750</xdr:colOff>
                <xdr:row>0</xdr:row>
                <xdr:rowOff>9525</xdr:rowOff>
              </from>
              <to>
                <xdr:col>7</xdr:col>
                <xdr:colOff>323850</xdr:colOff>
                <xdr:row>0</xdr:row>
                <xdr:rowOff>342900</xdr:rowOff>
              </to>
            </anchor>
          </controlPr>
        </control>
      </mc:Choice>
      <mc:Fallback>
        <control shapeId="1028" r:id="rId41" name="CommandButton4"/>
      </mc:Fallback>
    </mc:AlternateContent>
    <mc:AlternateContent xmlns:mc="http://schemas.openxmlformats.org/markup-compatibility/2006">
      <mc:Choice Requires="x14">
        <control shapeId="1027" r:id="rId43" name="CommandButton2">
          <controlPr defaultSize="0" autoLine="0" r:id="rId44">
            <anchor moveWithCells="1">
              <from>
                <xdr:col>5</xdr:col>
                <xdr:colOff>95250</xdr:colOff>
                <xdr:row>0</xdr:row>
                <xdr:rowOff>9525</xdr:rowOff>
              </from>
              <to>
                <xdr:col>5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1027" r:id="rId43" name="CommandButton2"/>
      </mc:Fallback>
    </mc:AlternateContent>
    <mc:AlternateContent xmlns:mc="http://schemas.openxmlformats.org/markup-compatibility/2006">
      <mc:Choice Requires="x14">
        <control shapeId="1026" r:id="rId45" name="CommandButton1">
          <controlPr defaultSize="0" autoLine="0" r:id="rId46">
            <anchor moveWithCells="1">
              <from>
                <xdr:col>28</xdr:col>
                <xdr:colOff>66675</xdr:colOff>
                <xdr:row>27</xdr:row>
                <xdr:rowOff>190500</xdr:rowOff>
              </from>
              <to>
                <xdr:col>28</xdr:col>
                <xdr:colOff>1238250</xdr:colOff>
                <xdr:row>31</xdr:row>
                <xdr:rowOff>9525</xdr:rowOff>
              </to>
            </anchor>
          </controlPr>
        </control>
      </mc:Choice>
      <mc:Fallback>
        <control shapeId="1026" r:id="rId45" name="CommandButton1"/>
      </mc:Fallback>
    </mc:AlternateContent>
    <mc:AlternateContent xmlns:mc="http://schemas.openxmlformats.org/markup-compatibility/2006">
      <mc:Choice Requires="x14">
        <control shapeId="1025" r:id="rId47" name="ComboBox1">
          <controlPr defaultSize="0" autoLine="0" linkedCell="A1" listFillRange="基本設定!F2:F500" r:id="rId48">
            <anchor moveWithCells="1">
              <from>
                <xdr:col>0</xdr:col>
                <xdr:colOff>171450</xdr:colOff>
                <xdr:row>0</xdr:row>
                <xdr:rowOff>9525</xdr:rowOff>
              </from>
              <to>
                <xdr:col>1</xdr:col>
                <xdr:colOff>314325</xdr:colOff>
                <xdr:row>0</xdr:row>
                <xdr:rowOff>323850</xdr:rowOff>
              </to>
            </anchor>
          </controlPr>
        </control>
      </mc:Choice>
      <mc:Fallback>
        <control shapeId="1025" r:id="rId47" name="ComboBox1"/>
      </mc:Fallback>
    </mc:AlternateContent>
    <mc:AlternateContent xmlns:mc="http://schemas.openxmlformats.org/markup-compatibility/2006">
      <mc:Choice Requires="x14">
        <control shapeId="1040" r:id="rId49" name="CommandButton3">
          <controlPr defaultSize="0" autoLine="0" r:id="rId50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161925</xdr:colOff>
                <xdr:row>0</xdr:row>
                <xdr:rowOff>342900</xdr:rowOff>
              </to>
            </anchor>
          </controlPr>
        </control>
      </mc:Choice>
      <mc:Fallback>
        <control shapeId="1040" r:id="rId49" name="CommandButton3"/>
      </mc:Fallback>
    </mc:AlternateContent>
    <mc:AlternateContent xmlns:mc="http://schemas.openxmlformats.org/markup-compatibility/2006">
      <mc:Choice Requires="x14">
        <control shapeId="1056" r:id="rId51" name="CommandButton10">
          <controlPr defaultSize="0" autoLine="0" r:id="rId52">
            <anchor moveWithCells="1">
              <from>
                <xdr:col>27</xdr:col>
                <xdr:colOff>571500</xdr:colOff>
                <xdr:row>23</xdr:row>
                <xdr:rowOff>28575</xdr:rowOff>
              </from>
              <to>
                <xdr:col>27</xdr:col>
                <xdr:colOff>1085850</xdr:colOff>
                <xdr:row>25</xdr:row>
                <xdr:rowOff>152400</xdr:rowOff>
              </to>
            </anchor>
          </controlPr>
        </control>
      </mc:Choice>
      <mc:Fallback>
        <control shapeId="1056" r:id="rId51" name="CommandButton10"/>
      </mc:Fallback>
    </mc:AlternateContent>
    <mc:AlternateContent xmlns:mc="http://schemas.openxmlformats.org/markup-compatibility/2006">
      <mc:Choice Requires="x14">
        <control shapeId="1057" r:id="rId53" name="CommandButton22">
          <controlPr defaultSize="0" autoLine="0" r:id="rId54">
            <anchor moveWithCells="1">
              <from>
                <xdr:col>27</xdr:col>
                <xdr:colOff>38100</xdr:colOff>
                <xdr:row>23</xdr:row>
                <xdr:rowOff>38100</xdr:rowOff>
              </from>
              <to>
                <xdr:col>27</xdr:col>
                <xdr:colOff>542925</xdr:colOff>
                <xdr:row>25</xdr:row>
                <xdr:rowOff>161925</xdr:rowOff>
              </to>
            </anchor>
          </controlPr>
        </control>
      </mc:Choice>
      <mc:Fallback>
        <control shapeId="1057" r:id="rId53" name="CommandButton22"/>
      </mc:Fallback>
    </mc:AlternateContent>
    <mc:AlternateContent xmlns:mc="http://schemas.openxmlformats.org/markup-compatibility/2006">
      <mc:Choice Requires="x14">
        <control shapeId="1058" r:id="rId55" name="CommandButton23">
          <controlPr defaultSize="0" autoLine="0" r:id="rId56">
            <anchor moveWithCells="1">
              <from>
                <xdr:col>27</xdr:col>
                <xdr:colOff>38100</xdr:colOff>
                <xdr:row>25</xdr:row>
                <xdr:rowOff>190500</xdr:rowOff>
              </from>
              <to>
                <xdr:col>27</xdr:col>
                <xdr:colOff>542925</xdr:colOff>
                <xdr:row>27</xdr:row>
                <xdr:rowOff>66675</xdr:rowOff>
              </to>
            </anchor>
          </controlPr>
        </control>
      </mc:Choice>
      <mc:Fallback>
        <control shapeId="1058" r:id="rId55" name="CommandButton23"/>
      </mc:Fallback>
    </mc:AlternateContent>
    <mc:AlternateContent xmlns:mc="http://schemas.openxmlformats.org/markup-compatibility/2006">
      <mc:Choice Requires="x14">
        <control shapeId="1059" r:id="rId57" name="CommandButton24">
          <controlPr defaultSize="0" autoLine="0" r:id="rId58">
            <anchor moveWithCells="1">
              <from>
                <xdr:col>27</xdr:col>
                <xdr:colOff>571500</xdr:colOff>
                <xdr:row>25</xdr:row>
                <xdr:rowOff>200025</xdr:rowOff>
              </from>
              <to>
                <xdr:col>27</xdr:col>
                <xdr:colOff>1085850</xdr:colOff>
                <xdr:row>27</xdr:row>
                <xdr:rowOff>76200</xdr:rowOff>
              </to>
            </anchor>
          </controlPr>
        </control>
      </mc:Choice>
      <mc:Fallback>
        <control shapeId="1059" r:id="rId57" name="CommandButton24"/>
      </mc:Fallback>
    </mc:AlternateContent>
    <mc:AlternateContent xmlns:mc="http://schemas.openxmlformats.org/markup-compatibility/2006">
      <mc:Choice Requires="x14">
        <control shapeId="1060" r:id="rId59" name="CommandButton25">
          <controlPr defaultSize="0" autoLine="0" r:id="rId60">
            <anchor moveWithCells="1">
              <from>
                <xdr:col>27</xdr:col>
                <xdr:colOff>47625</xdr:colOff>
                <xdr:row>27</xdr:row>
                <xdr:rowOff>104775</xdr:rowOff>
              </from>
              <to>
                <xdr:col>27</xdr:col>
                <xdr:colOff>1447800</xdr:colOff>
                <xdr:row>29</xdr:row>
                <xdr:rowOff>66675</xdr:rowOff>
              </to>
            </anchor>
          </controlPr>
        </control>
      </mc:Choice>
      <mc:Fallback>
        <control shapeId="1060" r:id="rId59" name="CommandButton25"/>
      </mc:Fallback>
    </mc:AlternateContent>
    <mc:AlternateContent xmlns:mc="http://schemas.openxmlformats.org/markup-compatibility/2006">
      <mc:Choice Requires="x14">
        <control shapeId="1072" r:id="rId61" name="CommandButton31">
          <controlPr defaultSize="0" autoLine="0" r:id="rId62">
            <anchor moveWithCells="1">
              <from>
                <xdr:col>29</xdr:col>
                <xdr:colOff>57150</xdr:colOff>
                <xdr:row>22</xdr:row>
                <xdr:rowOff>38100</xdr:rowOff>
              </from>
              <to>
                <xdr:col>29</xdr:col>
                <xdr:colOff>1390650</xdr:colOff>
                <xdr:row>22</xdr:row>
                <xdr:rowOff>190500</xdr:rowOff>
              </to>
            </anchor>
          </controlPr>
        </control>
      </mc:Choice>
      <mc:Fallback>
        <control shapeId="1072" r:id="rId61" name="CommandButton3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AD16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H24" sqref="H24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12">
        <v>42436</v>
      </c>
    </row>
    <row r="2" spans="1:30">
      <c r="A2" t="str">
        <f>"00651R"</f>
        <v>00651R</v>
      </c>
      <c r="B2" t="s">
        <v>2553</v>
      </c>
      <c r="C2">
        <v>14.16</v>
      </c>
      <c r="Y2" s="40"/>
      <c r="Z2" s="40"/>
      <c r="AD2" s="40"/>
    </row>
    <row r="3" spans="1:30">
      <c r="A3" t="str">
        <f>"008201"</f>
        <v>008201</v>
      </c>
      <c r="B3" t="s">
        <v>2554</v>
      </c>
      <c r="C3">
        <v>76.5</v>
      </c>
      <c r="Y3" s="40"/>
      <c r="Z3" s="40"/>
      <c r="AD3" s="40"/>
    </row>
    <row r="4" spans="1:30">
      <c r="A4" t="str">
        <f>"01001T"</f>
        <v>01001T</v>
      </c>
      <c r="B4" t="s">
        <v>2555</v>
      </c>
      <c r="C4">
        <v>16.28</v>
      </c>
      <c r="Y4" s="40"/>
      <c r="Z4" s="40"/>
      <c r="AD4" s="40"/>
    </row>
    <row r="5" spans="1:30">
      <c r="A5" t="str">
        <f>"01002T"</f>
        <v>01002T</v>
      </c>
      <c r="B5" t="s">
        <v>2556</v>
      </c>
      <c r="C5">
        <v>16.989999999999998</v>
      </c>
      <c r="Y5" s="40"/>
      <c r="Z5" s="40"/>
      <c r="AD5" s="40"/>
    </row>
    <row r="6" spans="1:30">
      <c r="A6" t="str">
        <f>"01003T"</f>
        <v>01003T</v>
      </c>
      <c r="B6" t="s">
        <v>2557</v>
      </c>
      <c r="C6">
        <v>14.16</v>
      </c>
      <c r="Y6" s="40"/>
      <c r="Z6" s="40"/>
      <c r="AD6" s="40"/>
    </row>
    <row r="7" spans="1:30">
      <c r="A7" t="str">
        <f>"01004T"</f>
        <v>01004T</v>
      </c>
      <c r="B7" t="s">
        <v>2013</v>
      </c>
      <c r="C7">
        <v>12.95</v>
      </c>
      <c r="Y7" s="40"/>
      <c r="Z7" s="40"/>
      <c r="AA7" s="40"/>
      <c r="AD7" s="40"/>
    </row>
    <row r="8" spans="1:30">
      <c r="A8" t="str">
        <f>"01007T"</f>
        <v>01007T</v>
      </c>
      <c r="B8" t="s">
        <v>2014</v>
      </c>
      <c r="C8">
        <v>15.48</v>
      </c>
      <c r="Y8" s="40"/>
      <c r="Z8" s="40"/>
      <c r="AD8" s="40"/>
    </row>
    <row r="9" spans="1:30">
      <c r="A9">
        <v>1101</v>
      </c>
      <c r="B9" t="s">
        <v>526</v>
      </c>
      <c r="C9">
        <v>30.45</v>
      </c>
      <c r="Y9" s="40"/>
      <c r="Z9" s="40"/>
      <c r="AA9" s="40"/>
      <c r="AD9" s="40"/>
    </row>
    <row r="10" spans="1:30">
      <c r="A10">
        <v>1102</v>
      </c>
      <c r="B10" t="s">
        <v>527</v>
      </c>
      <c r="C10">
        <v>29</v>
      </c>
      <c r="Y10" s="40"/>
      <c r="Z10" s="40"/>
      <c r="AA10" s="40"/>
      <c r="AD10" s="40"/>
    </row>
    <row r="11" spans="1:30">
      <c r="A11">
        <v>1103</v>
      </c>
      <c r="B11" t="s">
        <v>528</v>
      </c>
      <c r="C11">
        <v>9.67</v>
      </c>
      <c r="Y11" s="40"/>
      <c r="Z11" s="40"/>
      <c r="AA11" s="40"/>
      <c r="AD11" s="40"/>
    </row>
    <row r="12" spans="1:30">
      <c r="A12">
        <v>1104</v>
      </c>
      <c r="B12" t="s">
        <v>529</v>
      </c>
      <c r="C12">
        <v>21.6</v>
      </c>
      <c r="Y12" s="40"/>
      <c r="Z12" s="40"/>
      <c r="AA12" s="40"/>
      <c r="AD12" s="40"/>
    </row>
    <row r="13" spans="1:30">
      <c r="A13">
        <v>1108</v>
      </c>
      <c r="B13" t="s">
        <v>530</v>
      </c>
      <c r="C13">
        <v>10.050000000000001</v>
      </c>
      <c r="Y13" s="40"/>
      <c r="Z13" s="40"/>
      <c r="AA13" s="40"/>
      <c r="AD13" s="40"/>
    </row>
    <row r="14" spans="1:30">
      <c r="A14">
        <v>1109</v>
      </c>
      <c r="B14" t="s">
        <v>1828</v>
      </c>
      <c r="C14">
        <v>10</v>
      </c>
      <c r="Y14" s="40"/>
      <c r="Z14" s="40"/>
      <c r="AD14" s="40"/>
    </row>
    <row r="15" spans="1:30">
      <c r="A15">
        <v>1110</v>
      </c>
      <c r="B15" t="s">
        <v>531</v>
      </c>
      <c r="C15">
        <v>14.7</v>
      </c>
      <c r="Y15" s="40"/>
      <c r="Z15" s="40"/>
      <c r="AD15" s="40"/>
    </row>
    <row r="16" spans="1:30">
      <c r="A16">
        <v>1201</v>
      </c>
      <c r="B16" t="s">
        <v>532</v>
      </c>
      <c r="C16">
        <v>20</v>
      </c>
      <c r="Y16" s="40"/>
      <c r="Z16" s="40"/>
      <c r="AA16" s="40"/>
      <c r="AD16" s="40"/>
    </row>
    <row r="17" spans="1:30">
      <c r="A17">
        <v>1203</v>
      </c>
      <c r="B17" t="s">
        <v>533</v>
      </c>
      <c r="C17">
        <v>22.8</v>
      </c>
      <c r="Y17" s="40"/>
      <c r="Z17" s="40"/>
      <c r="AA17" s="40"/>
      <c r="AD17" s="40"/>
    </row>
    <row r="18" spans="1:30">
      <c r="A18">
        <v>1210</v>
      </c>
      <c r="B18" t="s">
        <v>534</v>
      </c>
      <c r="C18">
        <v>22.9</v>
      </c>
      <c r="Y18" s="40"/>
      <c r="Z18" s="40"/>
      <c r="AD18" s="40"/>
    </row>
    <row r="19" spans="1:30">
      <c r="A19">
        <v>1213</v>
      </c>
      <c r="B19" t="s">
        <v>535</v>
      </c>
      <c r="C19">
        <v>16.3</v>
      </c>
      <c r="Y19" s="40"/>
      <c r="Z19" s="40"/>
      <c r="AA19" s="40"/>
      <c r="AD19" s="40"/>
    </row>
    <row r="20" spans="1:30">
      <c r="A20">
        <v>1215</v>
      </c>
      <c r="B20" t="s">
        <v>536</v>
      </c>
      <c r="C20">
        <v>23.6</v>
      </c>
      <c r="Y20" s="40"/>
      <c r="Z20" s="40"/>
      <c r="AD20" s="40"/>
    </row>
    <row r="21" spans="1:30">
      <c r="A21">
        <v>1216</v>
      </c>
      <c r="B21" t="s">
        <v>537</v>
      </c>
      <c r="C21">
        <v>57.4</v>
      </c>
      <c r="Y21" s="40"/>
      <c r="Z21" s="40"/>
      <c r="AD21" s="40"/>
    </row>
    <row r="22" spans="1:30">
      <c r="A22">
        <v>1217</v>
      </c>
      <c r="B22" t="s">
        <v>538</v>
      </c>
      <c r="C22">
        <v>8.33</v>
      </c>
      <c r="Y22" s="40"/>
      <c r="Z22" s="40"/>
      <c r="AD22" s="40"/>
    </row>
    <row r="23" spans="1:30">
      <c r="A23">
        <v>1218</v>
      </c>
      <c r="B23" t="s">
        <v>539</v>
      </c>
      <c r="C23">
        <v>13</v>
      </c>
      <c r="Y23" s="40"/>
      <c r="Z23" s="40"/>
      <c r="AD23" s="40"/>
    </row>
    <row r="24" spans="1:30">
      <c r="A24">
        <v>1219</v>
      </c>
      <c r="B24" t="s">
        <v>540</v>
      </c>
      <c r="C24">
        <v>15.2</v>
      </c>
      <c r="Y24" s="40"/>
      <c r="Z24" s="40"/>
      <c r="AA24" s="40"/>
      <c r="AD24" s="40"/>
    </row>
    <row r="25" spans="1:30">
      <c r="A25">
        <v>1220</v>
      </c>
      <c r="B25" t="s">
        <v>541</v>
      </c>
      <c r="C25">
        <v>10.65</v>
      </c>
      <c r="Y25" s="40"/>
      <c r="Z25" s="40"/>
      <c r="AA25" s="40"/>
      <c r="AD25" s="40"/>
    </row>
    <row r="26" spans="1:30">
      <c r="A26">
        <v>1225</v>
      </c>
      <c r="B26" t="s">
        <v>542</v>
      </c>
      <c r="C26">
        <v>28.45</v>
      </c>
      <c r="Y26" s="40"/>
      <c r="Z26" s="40"/>
      <c r="AD26" s="40"/>
    </row>
    <row r="27" spans="1:30">
      <c r="A27">
        <v>1227</v>
      </c>
      <c r="B27" t="s">
        <v>543</v>
      </c>
      <c r="C27">
        <v>84.5</v>
      </c>
      <c r="Y27" s="40"/>
      <c r="Z27" s="40"/>
      <c r="AA27" s="40"/>
      <c r="AD27" s="40"/>
    </row>
    <row r="28" spans="1:30">
      <c r="A28">
        <v>1229</v>
      </c>
      <c r="B28" t="s">
        <v>544</v>
      </c>
      <c r="C28">
        <v>19.8</v>
      </c>
      <c r="Y28" s="40"/>
      <c r="Z28" s="40"/>
      <c r="AA28" s="40"/>
      <c r="AD28" s="40"/>
    </row>
    <row r="29" spans="1:30">
      <c r="A29">
        <v>1231</v>
      </c>
      <c r="B29" t="s">
        <v>545</v>
      </c>
      <c r="C29">
        <v>30.25</v>
      </c>
      <c r="Y29" s="40"/>
      <c r="Z29" s="40"/>
      <c r="AA29" s="40"/>
      <c r="AD29" s="40"/>
    </row>
    <row r="30" spans="1:30">
      <c r="A30">
        <v>1232</v>
      </c>
      <c r="B30" t="s">
        <v>546</v>
      </c>
      <c r="C30">
        <v>77</v>
      </c>
      <c r="Y30" s="40"/>
      <c r="Z30" s="40"/>
      <c r="AD30" s="40"/>
    </row>
    <row r="31" spans="1:30">
      <c r="A31">
        <v>1233</v>
      </c>
      <c r="B31" t="s">
        <v>547</v>
      </c>
      <c r="C31">
        <v>39.6</v>
      </c>
      <c r="Y31" s="40"/>
      <c r="Z31" s="40"/>
      <c r="AA31" s="40"/>
      <c r="AD31" s="40"/>
    </row>
    <row r="32" spans="1:30">
      <c r="A32">
        <v>1234</v>
      </c>
      <c r="B32" t="s">
        <v>548</v>
      </c>
      <c r="C32">
        <v>36</v>
      </c>
      <c r="Y32" s="40"/>
      <c r="Z32" s="40"/>
      <c r="AA32" s="40"/>
      <c r="AD32" s="40"/>
    </row>
    <row r="33" spans="1:30">
      <c r="A33">
        <v>1235</v>
      </c>
      <c r="B33" t="s">
        <v>549</v>
      </c>
      <c r="C33">
        <v>22.1</v>
      </c>
      <c r="Y33" s="40"/>
      <c r="Z33" s="40"/>
      <c r="AD33" s="40"/>
    </row>
    <row r="34" spans="1:30">
      <c r="A34">
        <v>1236</v>
      </c>
      <c r="B34" t="s">
        <v>550</v>
      </c>
      <c r="C34">
        <v>21.15</v>
      </c>
      <c r="Y34" s="40"/>
      <c r="Z34" s="40"/>
      <c r="AD34" s="40"/>
    </row>
    <row r="35" spans="1:30">
      <c r="A35">
        <v>1262</v>
      </c>
      <c r="B35" t="s">
        <v>551</v>
      </c>
      <c r="C35">
        <v>120.5</v>
      </c>
      <c r="Y35" s="40"/>
      <c r="Z35" s="40"/>
      <c r="AA35" s="40"/>
      <c r="AD35" s="40"/>
    </row>
    <row r="36" spans="1:30">
      <c r="A36">
        <v>1301</v>
      </c>
      <c r="B36" t="s">
        <v>552</v>
      </c>
      <c r="C36">
        <v>80</v>
      </c>
      <c r="Y36" s="40"/>
      <c r="Z36" s="40"/>
      <c r="AD36" s="40"/>
    </row>
    <row r="37" spans="1:30">
      <c r="A37">
        <v>1303</v>
      </c>
      <c r="B37" t="s">
        <v>553</v>
      </c>
      <c r="C37">
        <v>67</v>
      </c>
      <c r="Y37" s="40"/>
      <c r="Z37" s="40"/>
      <c r="AD37" s="40"/>
    </row>
    <row r="38" spans="1:30">
      <c r="A38">
        <v>1304</v>
      </c>
      <c r="B38" t="s">
        <v>554</v>
      </c>
      <c r="C38">
        <v>13.85</v>
      </c>
      <c r="Y38" s="40"/>
      <c r="Z38" s="40"/>
      <c r="AD38" s="40"/>
    </row>
    <row r="39" spans="1:30">
      <c r="A39">
        <v>1305</v>
      </c>
      <c r="B39" t="s">
        <v>555</v>
      </c>
      <c r="C39">
        <v>14.95</v>
      </c>
      <c r="Y39" s="40"/>
      <c r="Z39" s="40"/>
      <c r="AD39" s="40"/>
    </row>
    <row r="40" spans="1:30">
      <c r="A40">
        <v>1307</v>
      </c>
      <c r="B40" t="s">
        <v>556</v>
      </c>
      <c r="C40">
        <v>38.299999999999997</v>
      </c>
      <c r="Y40" s="40"/>
      <c r="Z40" s="40"/>
      <c r="AD40" s="40"/>
    </row>
    <row r="41" spans="1:30">
      <c r="A41">
        <v>1308</v>
      </c>
      <c r="B41" t="s">
        <v>557</v>
      </c>
      <c r="C41">
        <v>19.5</v>
      </c>
      <c r="Y41" s="40"/>
      <c r="Z41" s="40"/>
      <c r="AA41" s="40"/>
      <c r="AD41" s="40"/>
    </row>
    <row r="42" spans="1:30">
      <c r="A42">
        <v>1309</v>
      </c>
      <c r="B42" t="s">
        <v>558</v>
      </c>
      <c r="C42">
        <v>8.3000000000000007</v>
      </c>
      <c r="Y42" s="40"/>
      <c r="Z42" s="40"/>
      <c r="AD42" s="40"/>
    </row>
    <row r="43" spans="1:30">
      <c r="A43">
        <v>1310</v>
      </c>
      <c r="B43" t="s">
        <v>559</v>
      </c>
      <c r="C43">
        <v>18.399999999999999</v>
      </c>
      <c r="Y43" s="40"/>
      <c r="Z43" s="40"/>
      <c r="AD43" s="40"/>
    </row>
    <row r="44" spans="1:30">
      <c r="A44">
        <v>1312</v>
      </c>
      <c r="B44" t="s">
        <v>560</v>
      </c>
      <c r="C44">
        <v>17.7</v>
      </c>
      <c r="Y44" s="40"/>
      <c r="Z44" s="40"/>
      <c r="AA44" s="40"/>
      <c r="AD44" s="40"/>
    </row>
    <row r="45" spans="1:30">
      <c r="A45" t="s">
        <v>242</v>
      </c>
      <c r="B45" t="s">
        <v>561</v>
      </c>
      <c r="C45">
        <v>22.5</v>
      </c>
      <c r="Y45" s="40"/>
      <c r="Z45" s="40"/>
      <c r="AD45" s="40"/>
    </row>
    <row r="46" spans="1:30">
      <c r="A46">
        <v>1313</v>
      </c>
      <c r="B46" t="s">
        <v>562</v>
      </c>
      <c r="C46">
        <v>9.5299999999999994</v>
      </c>
      <c r="Y46" s="40"/>
      <c r="Z46" s="40"/>
      <c r="AD46" s="40"/>
    </row>
    <row r="47" spans="1:30">
      <c r="A47">
        <v>1314</v>
      </c>
      <c r="B47" t="s">
        <v>563</v>
      </c>
      <c r="C47">
        <v>8.67</v>
      </c>
      <c r="Y47" s="40"/>
      <c r="Z47" s="40"/>
      <c r="AA47" s="40"/>
      <c r="AD47" s="40"/>
    </row>
    <row r="48" spans="1:30">
      <c r="A48">
        <v>1315</v>
      </c>
      <c r="B48" t="s">
        <v>564</v>
      </c>
      <c r="C48">
        <v>24.3</v>
      </c>
      <c r="Y48" s="40"/>
      <c r="Z48" s="40"/>
      <c r="AD48" s="40"/>
    </row>
    <row r="49" spans="1:30">
      <c r="A49">
        <v>1316</v>
      </c>
      <c r="B49" t="s">
        <v>565</v>
      </c>
      <c r="C49">
        <v>9.81</v>
      </c>
      <c r="Y49" s="40"/>
      <c r="Z49" s="40"/>
      <c r="AD49" s="40"/>
    </row>
    <row r="50" spans="1:30">
      <c r="A50">
        <v>1319</v>
      </c>
      <c r="B50" t="s">
        <v>566</v>
      </c>
      <c r="C50">
        <v>46.4</v>
      </c>
      <c r="Y50" s="40"/>
      <c r="Z50" s="40"/>
      <c r="AA50" s="40"/>
      <c r="AD50" s="40"/>
    </row>
    <row r="51" spans="1:30">
      <c r="A51">
        <v>1321</v>
      </c>
      <c r="B51" t="s">
        <v>567</v>
      </c>
      <c r="C51">
        <v>27.4</v>
      </c>
      <c r="Y51" s="40"/>
      <c r="Z51" s="40"/>
      <c r="AA51" s="40"/>
      <c r="AD51" s="40"/>
    </row>
    <row r="52" spans="1:30">
      <c r="A52">
        <v>1323</v>
      </c>
      <c r="B52" t="s">
        <v>568</v>
      </c>
      <c r="C52">
        <v>27.2</v>
      </c>
      <c r="Y52" s="40"/>
      <c r="Z52" s="40"/>
      <c r="AA52" s="40"/>
      <c r="AD52" s="40"/>
    </row>
    <row r="53" spans="1:30">
      <c r="A53">
        <v>1324</v>
      </c>
      <c r="B53" t="s">
        <v>569</v>
      </c>
      <c r="C53">
        <v>11.45</v>
      </c>
      <c r="Y53" s="40"/>
      <c r="Z53" s="40"/>
      <c r="AA53" s="40"/>
      <c r="AD53" s="40"/>
    </row>
    <row r="54" spans="1:30">
      <c r="A54">
        <v>1325</v>
      </c>
      <c r="B54" t="s">
        <v>570</v>
      </c>
      <c r="C54">
        <v>21.05</v>
      </c>
      <c r="Y54" s="40"/>
      <c r="Z54" s="40"/>
      <c r="AD54" s="40"/>
    </row>
    <row r="55" spans="1:30">
      <c r="A55">
        <v>1326</v>
      </c>
      <c r="B55" t="s">
        <v>571</v>
      </c>
      <c r="C55">
        <v>78.5</v>
      </c>
      <c r="Y55" s="40"/>
      <c r="Z55" s="40"/>
      <c r="AA55" s="40"/>
      <c r="AD55" s="40"/>
    </row>
    <row r="56" spans="1:30">
      <c r="A56">
        <v>1337</v>
      </c>
      <c r="B56" t="s">
        <v>572</v>
      </c>
      <c r="C56">
        <v>20.75</v>
      </c>
      <c r="Y56" s="40"/>
      <c r="Z56" s="40"/>
      <c r="AD56" s="40"/>
    </row>
    <row r="57" spans="1:30">
      <c r="A57">
        <v>1338</v>
      </c>
      <c r="B57" t="s">
        <v>573</v>
      </c>
      <c r="C57">
        <v>123.5</v>
      </c>
      <c r="Y57" s="40"/>
      <c r="Z57" s="40"/>
      <c r="AD57" s="40"/>
    </row>
    <row r="58" spans="1:30">
      <c r="A58">
        <v>1339</v>
      </c>
      <c r="B58" t="s">
        <v>574</v>
      </c>
      <c r="C58">
        <v>58.7</v>
      </c>
      <c r="Y58" s="40"/>
      <c r="Z58" s="40"/>
      <c r="AD58" s="40"/>
    </row>
    <row r="59" spans="1:30">
      <c r="A59">
        <v>1340</v>
      </c>
      <c r="B59" t="s">
        <v>575</v>
      </c>
      <c r="C59">
        <v>75.099999999999994</v>
      </c>
      <c r="Y59" s="40"/>
      <c r="Z59" s="40"/>
      <c r="AD59" s="40"/>
    </row>
    <row r="60" spans="1:30">
      <c r="A60">
        <v>1402</v>
      </c>
      <c r="B60" t="s">
        <v>576</v>
      </c>
      <c r="C60">
        <v>27.9</v>
      </c>
      <c r="Y60" s="40"/>
      <c r="Z60" s="40"/>
      <c r="AA60" s="40"/>
      <c r="AD60" s="40"/>
    </row>
    <row r="61" spans="1:30">
      <c r="A61">
        <v>1409</v>
      </c>
      <c r="B61" t="s">
        <v>577</v>
      </c>
      <c r="C61">
        <v>9.5500000000000007</v>
      </c>
      <c r="Y61" s="40"/>
      <c r="Z61" s="40"/>
      <c r="AA61" s="40"/>
      <c r="AD61" s="40"/>
    </row>
    <row r="62" spans="1:30">
      <c r="A62">
        <v>1410</v>
      </c>
      <c r="B62" t="s">
        <v>578</v>
      </c>
      <c r="C62">
        <v>24.4</v>
      </c>
      <c r="Y62" s="40"/>
      <c r="Z62" s="40"/>
      <c r="AA62" s="40"/>
      <c r="AD62" s="40"/>
    </row>
    <row r="63" spans="1:30">
      <c r="A63">
        <v>1413</v>
      </c>
      <c r="B63" t="s">
        <v>579</v>
      </c>
      <c r="C63">
        <v>7.07</v>
      </c>
      <c r="Y63" s="40"/>
      <c r="Z63" s="40"/>
      <c r="AA63" s="40"/>
      <c r="AD63" s="40"/>
    </row>
    <row r="64" spans="1:30">
      <c r="A64">
        <v>1414</v>
      </c>
      <c r="B64" t="s">
        <v>580</v>
      </c>
      <c r="C64">
        <v>6.5</v>
      </c>
      <c r="Y64" s="40"/>
      <c r="Z64" s="40"/>
      <c r="AD64" s="40"/>
    </row>
    <row r="65" spans="1:30">
      <c r="A65">
        <v>1416</v>
      </c>
      <c r="B65" t="s">
        <v>581</v>
      </c>
      <c r="C65">
        <v>17.8</v>
      </c>
      <c r="Y65" s="40"/>
      <c r="Z65" s="40"/>
      <c r="AD65" s="40"/>
    </row>
    <row r="66" spans="1:30">
      <c r="A66">
        <v>1417</v>
      </c>
      <c r="B66" t="s">
        <v>582</v>
      </c>
      <c r="C66">
        <v>5.58</v>
      </c>
      <c r="Y66" s="40"/>
      <c r="Z66" s="40"/>
      <c r="AA66" s="40"/>
      <c r="AD66" s="40"/>
    </row>
    <row r="67" spans="1:30">
      <c r="A67">
        <v>1418</v>
      </c>
      <c r="B67" t="s">
        <v>583</v>
      </c>
      <c r="C67">
        <v>5.6</v>
      </c>
      <c r="Y67" s="40"/>
      <c r="Z67" s="40"/>
      <c r="AA67" s="40"/>
      <c r="AD67" s="40"/>
    </row>
    <row r="68" spans="1:30">
      <c r="A68">
        <v>1419</v>
      </c>
      <c r="B68" t="s">
        <v>584</v>
      </c>
      <c r="C68">
        <v>35.799999999999997</v>
      </c>
      <c r="Y68" s="40"/>
      <c r="Z68" s="40"/>
      <c r="AD68" s="40"/>
    </row>
    <row r="69" spans="1:30">
      <c r="A69">
        <v>1423</v>
      </c>
      <c r="B69" t="s">
        <v>585</v>
      </c>
      <c r="C69">
        <v>6.84</v>
      </c>
      <c r="Y69" s="40"/>
      <c r="Z69" s="40"/>
      <c r="AA69" s="40"/>
      <c r="AD69" s="40"/>
    </row>
    <row r="70" spans="1:30">
      <c r="A70">
        <v>1432</v>
      </c>
      <c r="B70" t="s">
        <v>586</v>
      </c>
      <c r="C70">
        <v>21.95</v>
      </c>
      <c r="Y70" s="40"/>
      <c r="Z70" s="40"/>
      <c r="AA70" s="40"/>
      <c r="AD70" s="40"/>
    </row>
    <row r="71" spans="1:30">
      <c r="A71">
        <v>1434</v>
      </c>
      <c r="B71" t="s">
        <v>587</v>
      </c>
      <c r="C71">
        <v>31.85</v>
      </c>
      <c r="Y71" s="40"/>
      <c r="Z71" s="40"/>
      <c r="AA71" s="40"/>
      <c r="AD71" s="40"/>
    </row>
    <row r="72" spans="1:30">
      <c r="A72">
        <v>1435</v>
      </c>
      <c r="B72" t="s">
        <v>588</v>
      </c>
      <c r="C72">
        <v>5</v>
      </c>
      <c r="Y72" s="40"/>
      <c r="Z72" s="40"/>
      <c r="AA72" s="40"/>
      <c r="AD72" s="40"/>
    </row>
    <row r="73" spans="1:30">
      <c r="A73">
        <v>1436</v>
      </c>
      <c r="B73" t="s">
        <v>589</v>
      </c>
      <c r="C73">
        <v>39.299999999999997</v>
      </c>
      <c r="Y73" s="40"/>
      <c r="Z73" s="40"/>
      <c r="AD73" s="40"/>
    </row>
    <row r="74" spans="1:30">
      <c r="A74">
        <v>1437</v>
      </c>
      <c r="B74" t="s">
        <v>590</v>
      </c>
      <c r="C74">
        <v>12.45</v>
      </c>
      <c r="Y74" s="40"/>
      <c r="Z74" s="40"/>
      <c r="AA74" s="40"/>
      <c r="AD74" s="40"/>
    </row>
    <row r="75" spans="1:30">
      <c r="A75">
        <v>1438</v>
      </c>
      <c r="B75" t="s">
        <v>591</v>
      </c>
      <c r="C75">
        <v>4.5</v>
      </c>
      <c r="Y75" s="40"/>
      <c r="Z75" s="40"/>
      <c r="AD75" s="40"/>
    </row>
    <row r="76" spans="1:30">
      <c r="A76">
        <v>1439</v>
      </c>
      <c r="B76" t="s">
        <v>592</v>
      </c>
      <c r="C76">
        <v>13.4</v>
      </c>
      <c r="Y76" s="40"/>
      <c r="Z76" s="40"/>
      <c r="AD76" s="40"/>
    </row>
    <row r="77" spans="1:30">
      <c r="A77">
        <v>1440</v>
      </c>
      <c r="B77" t="s">
        <v>593</v>
      </c>
      <c r="C77">
        <v>14.2</v>
      </c>
      <c r="Y77" s="40"/>
      <c r="Z77" s="40"/>
      <c r="AD77" s="40"/>
    </row>
    <row r="78" spans="1:30">
      <c r="A78">
        <v>1441</v>
      </c>
      <c r="B78" t="s">
        <v>594</v>
      </c>
      <c r="C78">
        <v>7.2</v>
      </c>
      <c r="Y78" s="40"/>
      <c r="Z78" s="40"/>
      <c r="AA78" s="40"/>
      <c r="AD78" s="40"/>
    </row>
    <row r="79" spans="1:30">
      <c r="A79">
        <v>1442</v>
      </c>
      <c r="B79" t="s">
        <v>595</v>
      </c>
      <c r="C79">
        <v>18.7</v>
      </c>
      <c r="Y79" s="40"/>
      <c r="Z79" s="40"/>
      <c r="AA79" s="40"/>
      <c r="AD79" s="40"/>
    </row>
    <row r="80" spans="1:30">
      <c r="A80">
        <v>1443</v>
      </c>
      <c r="B80" t="s">
        <v>596</v>
      </c>
      <c r="C80">
        <v>5.2</v>
      </c>
      <c r="Y80" s="40"/>
      <c r="Z80" s="40"/>
      <c r="AA80" s="40"/>
      <c r="AD80" s="40"/>
    </row>
    <row r="81" spans="1:30">
      <c r="A81">
        <v>1444</v>
      </c>
      <c r="B81" t="s">
        <v>597</v>
      </c>
      <c r="C81">
        <v>9.69</v>
      </c>
      <c r="Y81" s="40"/>
      <c r="Z81" s="40"/>
      <c r="AD81" s="40"/>
    </row>
    <row r="82" spans="1:30">
      <c r="A82">
        <v>1445</v>
      </c>
      <c r="B82" t="s">
        <v>598</v>
      </c>
      <c r="C82">
        <v>9.2200000000000006</v>
      </c>
      <c r="Y82" s="40"/>
      <c r="Z82" s="40"/>
      <c r="AA82" s="40"/>
      <c r="AD82" s="40"/>
    </row>
    <row r="83" spans="1:30">
      <c r="A83">
        <v>1446</v>
      </c>
      <c r="B83" t="s">
        <v>599</v>
      </c>
      <c r="C83">
        <v>22</v>
      </c>
      <c r="Y83" s="40"/>
      <c r="Z83" s="40"/>
      <c r="AD83" s="40"/>
    </row>
    <row r="84" spans="1:30">
      <c r="A84">
        <v>1447</v>
      </c>
      <c r="B84" t="s">
        <v>600</v>
      </c>
      <c r="C84">
        <v>8.84</v>
      </c>
      <c r="Y84" s="40"/>
      <c r="Z84" s="40"/>
      <c r="AA84" s="40"/>
      <c r="AD84" s="40"/>
    </row>
    <row r="85" spans="1:30">
      <c r="A85">
        <v>1449</v>
      </c>
      <c r="B85" t="s">
        <v>601</v>
      </c>
      <c r="C85">
        <v>5.3</v>
      </c>
      <c r="Y85" s="40"/>
      <c r="Z85" s="40"/>
      <c r="AD85" s="40"/>
    </row>
    <row r="86" spans="1:30">
      <c r="A86">
        <v>1451</v>
      </c>
      <c r="B86" t="s">
        <v>602</v>
      </c>
      <c r="C86">
        <v>23.2</v>
      </c>
      <c r="Y86" s="40"/>
      <c r="Z86" s="40"/>
      <c r="AA86" s="40"/>
      <c r="AD86" s="40"/>
    </row>
    <row r="87" spans="1:30">
      <c r="A87">
        <v>1452</v>
      </c>
      <c r="B87" t="s">
        <v>603</v>
      </c>
      <c r="C87">
        <v>24.95</v>
      </c>
      <c r="Y87" s="40"/>
      <c r="Z87" s="40"/>
      <c r="AA87" s="40"/>
      <c r="AD87" s="40"/>
    </row>
    <row r="88" spans="1:30">
      <c r="A88">
        <v>1453</v>
      </c>
      <c r="B88" t="s">
        <v>604</v>
      </c>
      <c r="C88">
        <v>8.6</v>
      </c>
      <c r="Y88" s="40"/>
      <c r="Z88" s="40"/>
      <c r="AA88" s="40"/>
      <c r="AD88" s="40"/>
    </row>
    <row r="89" spans="1:30">
      <c r="A89">
        <v>1454</v>
      </c>
      <c r="B89" t="s">
        <v>605</v>
      </c>
      <c r="C89">
        <v>9.1999999999999993</v>
      </c>
      <c r="Y89" s="40"/>
      <c r="Z89" s="40"/>
      <c r="AA89" s="40"/>
      <c r="AD89" s="40"/>
    </row>
    <row r="90" spans="1:30">
      <c r="A90">
        <v>1455</v>
      </c>
      <c r="B90" t="s">
        <v>606</v>
      </c>
      <c r="C90">
        <v>9.4600000000000009</v>
      </c>
      <c r="Y90" s="40"/>
      <c r="Z90" s="40"/>
      <c r="AA90" s="40"/>
      <c r="AD90" s="40"/>
    </row>
    <row r="91" spans="1:30">
      <c r="A91">
        <v>1456</v>
      </c>
      <c r="B91" t="s">
        <v>607</v>
      </c>
      <c r="C91" t="s">
        <v>1862</v>
      </c>
      <c r="Y91" s="40"/>
      <c r="Z91" s="40"/>
      <c r="AA91" s="40"/>
      <c r="AD91" s="40"/>
    </row>
    <row r="92" spans="1:30">
      <c r="A92">
        <v>1457</v>
      </c>
      <c r="B92" t="s">
        <v>608</v>
      </c>
      <c r="C92">
        <v>12.65</v>
      </c>
      <c r="Y92" s="40"/>
      <c r="Z92" s="40"/>
      <c r="AA92" s="40"/>
      <c r="AD92" s="40"/>
    </row>
    <row r="93" spans="1:30">
      <c r="A93">
        <v>1459</v>
      </c>
      <c r="B93" t="s">
        <v>609</v>
      </c>
      <c r="C93">
        <v>10.7</v>
      </c>
      <c r="Y93" s="40"/>
      <c r="Z93" s="40"/>
      <c r="AA93" s="40"/>
      <c r="AD93" s="40"/>
    </row>
    <row r="94" spans="1:30">
      <c r="A94">
        <v>1460</v>
      </c>
      <c r="B94" t="s">
        <v>610</v>
      </c>
      <c r="C94">
        <v>16</v>
      </c>
      <c r="Y94" s="40"/>
      <c r="Z94" s="40"/>
      <c r="AD94" s="40"/>
    </row>
    <row r="95" spans="1:30">
      <c r="A95">
        <v>1463</v>
      </c>
      <c r="B95" t="s">
        <v>611</v>
      </c>
      <c r="C95">
        <v>18.2</v>
      </c>
      <c r="Y95" s="40"/>
      <c r="Z95" s="40"/>
      <c r="AA95" s="40"/>
      <c r="AD95" s="40"/>
    </row>
    <row r="96" spans="1:30">
      <c r="A96">
        <v>1464</v>
      </c>
      <c r="B96" t="s">
        <v>612</v>
      </c>
      <c r="C96">
        <v>37.549999999999997</v>
      </c>
      <c r="Y96" s="40"/>
      <c r="Z96" s="40"/>
      <c r="AA96" s="40"/>
      <c r="AD96" s="40"/>
    </row>
    <row r="97" spans="1:30">
      <c r="A97">
        <v>1465</v>
      </c>
      <c r="B97" t="s">
        <v>613</v>
      </c>
      <c r="C97">
        <v>14.65</v>
      </c>
      <c r="Y97" s="40"/>
      <c r="Z97" s="40"/>
      <c r="AA97" s="40"/>
      <c r="AD97" s="40"/>
    </row>
    <row r="98" spans="1:30">
      <c r="A98">
        <v>1466</v>
      </c>
      <c r="B98" t="s">
        <v>614</v>
      </c>
      <c r="C98">
        <v>16.3</v>
      </c>
      <c r="Y98" s="40"/>
      <c r="Z98" s="40"/>
      <c r="AA98" s="40"/>
      <c r="AD98" s="40"/>
    </row>
    <row r="99" spans="1:30">
      <c r="A99">
        <v>1467</v>
      </c>
      <c r="B99" t="s">
        <v>615</v>
      </c>
      <c r="C99">
        <v>16</v>
      </c>
      <c r="Y99" s="40"/>
      <c r="Z99" s="40"/>
      <c r="AA99" s="40"/>
      <c r="AD99" s="40"/>
    </row>
    <row r="100" spans="1:30">
      <c r="A100">
        <v>1468</v>
      </c>
      <c r="B100" t="s">
        <v>616</v>
      </c>
      <c r="C100">
        <v>10.050000000000001</v>
      </c>
      <c r="Y100" s="40"/>
      <c r="Z100" s="40"/>
      <c r="AA100" s="40"/>
      <c r="AD100" s="40"/>
    </row>
    <row r="101" spans="1:30">
      <c r="A101">
        <v>1469</v>
      </c>
      <c r="B101" t="s">
        <v>617</v>
      </c>
      <c r="C101">
        <v>12.9</v>
      </c>
      <c r="Y101" s="40"/>
      <c r="Z101" s="40"/>
      <c r="AA101" s="40"/>
      <c r="AD101" s="40"/>
    </row>
    <row r="102" spans="1:30">
      <c r="A102">
        <v>1470</v>
      </c>
      <c r="B102" t="s">
        <v>618</v>
      </c>
      <c r="C102">
        <v>18.399999999999999</v>
      </c>
      <c r="Y102" s="40"/>
      <c r="Z102" s="40"/>
      <c r="AD102" s="40"/>
    </row>
    <row r="103" spans="1:30">
      <c r="A103">
        <v>1471</v>
      </c>
      <c r="B103" t="s">
        <v>619</v>
      </c>
      <c r="C103">
        <v>6.06</v>
      </c>
      <c r="Y103" s="40"/>
      <c r="Z103" s="40"/>
      <c r="AD103" s="40"/>
    </row>
    <row r="104" spans="1:30">
      <c r="A104">
        <v>1472</v>
      </c>
      <c r="B104" t="s">
        <v>620</v>
      </c>
      <c r="C104">
        <v>12.3</v>
      </c>
      <c r="Y104" s="40"/>
      <c r="Z104" s="40"/>
      <c r="AA104" s="40"/>
      <c r="AD104" s="40"/>
    </row>
    <row r="105" spans="1:30">
      <c r="A105">
        <v>1473</v>
      </c>
      <c r="B105" t="s">
        <v>621</v>
      </c>
      <c r="C105">
        <v>37.35</v>
      </c>
      <c r="Y105" s="40"/>
      <c r="Z105" s="40"/>
      <c r="AA105" s="40"/>
      <c r="AD105" s="40"/>
    </row>
    <row r="106" spans="1:30">
      <c r="A106">
        <v>1474</v>
      </c>
      <c r="B106" t="s">
        <v>622</v>
      </c>
      <c r="C106">
        <v>10.7</v>
      </c>
      <c r="Y106" s="40"/>
      <c r="Z106" s="40"/>
      <c r="AA106" s="40"/>
      <c r="AD106" s="40"/>
    </row>
    <row r="107" spans="1:30">
      <c r="A107">
        <v>1475</v>
      </c>
      <c r="B107" t="s">
        <v>623</v>
      </c>
      <c r="C107">
        <v>8.5399999999999991</v>
      </c>
      <c r="Y107" s="40"/>
      <c r="Z107" s="40"/>
      <c r="AA107" s="40"/>
      <c r="AD107" s="40"/>
    </row>
    <row r="108" spans="1:30">
      <c r="A108">
        <v>1476</v>
      </c>
      <c r="B108" t="s">
        <v>624</v>
      </c>
      <c r="C108">
        <v>410</v>
      </c>
      <c r="Y108" s="40"/>
      <c r="Z108" s="40"/>
      <c r="AA108" s="40"/>
      <c r="AD108" s="40"/>
    </row>
    <row r="109" spans="1:30">
      <c r="A109">
        <v>1477</v>
      </c>
      <c r="B109" t="s">
        <v>625</v>
      </c>
      <c r="C109">
        <v>196</v>
      </c>
      <c r="Y109" s="40"/>
      <c r="Z109" s="40"/>
      <c r="AA109" s="40"/>
      <c r="AD109" s="40"/>
    </row>
    <row r="110" spans="1:30">
      <c r="A110">
        <v>1503</v>
      </c>
      <c r="B110" t="s">
        <v>626</v>
      </c>
      <c r="C110">
        <v>39.6</v>
      </c>
      <c r="Y110" s="40"/>
      <c r="Z110" s="40"/>
      <c r="AA110" s="40"/>
      <c r="AD110" s="40"/>
    </row>
    <row r="111" spans="1:30">
      <c r="A111">
        <v>1504</v>
      </c>
      <c r="B111" t="s">
        <v>627</v>
      </c>
      <c r="C111">
        <v>27.6</v>
      </c>
      <c r="Y111" s="40"/>
      <c r="Z111" s="40"/>
      <c r="AD111" s="40"/>
    </row>
    <row r="112" spans="1:30">
      <c r="A112">
        <v>1506</v>
      </c>
      <c r="B112" t="s">
        <v>628</v>
      </c>
      <c r="C112">
        <v>15.5</v>
      </c>
      <c r="Y112" s="40"/>
      <c r="Z112" s="40"/>
      <c r="AA112" s="40"/>
      <c r="AD112" s="40"/>
    </row>
    <row r="113" spans="1:30">
      <c r="A113">
        <v>1507</v>
      </c>
      <c r="B113" t="s">
        <v>629</v>
      </c>
      <c r="C113">
        <v>50.7</v>
      </c>
      <c r="Y113" s="40"/>
      <c r="Z113" s="40"/>
      <c r="AA113" s="40"/>
      <c r="AD113" s="40"/>
    </row>
    <row r="114" spans="1:30">
      <c r="A114">
        <v>1512</v>
      </c>
      <c r="B114" t="s">
        <v>630</v>
      </c>
      <c r="C114">
        <v>5.99</v>
      </c>
      <c r="Y114" s="40"/>
      <c r="Z114" s="40"/>
      <c r="AD114" s="40"/>
    </row>
    <row r="115" spans="1:30">
      <c r="A115">
        <v>1513</v>
      </c>
      <c r="B115" t="s">
        <v>631</v>
      </c>
      <c r="C115">
        <v>19.3</v>
      </c>
      <c r="Y115" s="40"/>
      <c r="Z115" s="40"/>
      <c r="AD115" s="40"/>
    </row>
    <row r="116" spans="1:30">
      <c r="A116">
        <v>1514</v>
      </c>
      <c r="B116" t="s">
        <v>632</v>
      </c>
      <c r="C116">
        <v>8.66</v>
      </c>
      <c r="Y116" s="40"/>
      <c r="Z116" s="40"/>
      <c r="AD116" s="40"/>
    </row>
    <row r="117" spans="1:30">
      <c r="A117">
        <v>1515</v>
      </c>
      <c r="B117" t="s">
        <v>633</v>
      </c>
      <c r="C117">
        <v>11.05</v>
      </c>
      <c r="Y117" s="40"/>
      <c r="Z117" s="40"/>
      <c r="AA117" s="40"/>
      <c r="AD117" s="40"/>
    </row>
    <row r="118" spans="1:30">
      <c r="A118">
        <v>1516</v>
      </c>
      <c r="B118" t="s">
        <v>634</v>
      </c>
      <c r="C118">
        <v>20.9</v>
      </c>
      <c r="Y118" s="40"/>
      <c r="Z118" s="40"/>
      <c r="AA118" s="40"/>
      <c r="AD118" s="40"/>
    </row>
    <row r="119" spans="1:30">
      <c r="A119">
        <v>1517</v>
      </c>
      <c r="B119" t="s">
        <v>635</v>
      </c>
      <c r="C119">
        <v>11.7</v>
      </c>
      <c r="Y119" s="40"/>
      <c r="Z119" s="40"/>
      <c r="AD119" s="40"/>
    </row>
    <row r="120" spans="1:30">
      <c r="A120">
        <v>1519</v>
      </c>
      <c r="B120" t="s">
        <v>636</v>
      </c>
      <c r="C120">
        <v>16.2</v>
      </c>
      <c r="Y120" s="40"/>
      <c r="Z120" s="40"/>
      <c r="AA120" s="40"/>
      <c r="AD120" s="40"/>
    </row>
    <row r="121" spans="1:30">
      <c r="A121">
        <v>1521</v>
      </c>
      <c r="B121" t="s">
        <v>637</v>
      </c>
      <c r="C121">
        <v>83.5</v>
      </c>
      <c r="Y121" s="40"/>
      <c r="Z121" s="40"/>
      <c r="AA121" s="40"/>
      <c r="AD121" s="40"/>
    </row>
    <row r="122" spans="1:30">
      <c r="A122">
        <v>1522</v>
      </c>
      <c r="B122" t="s">
        <v>638</v>
      </c>
      <c r="C122">
        <v>26.2</v>
      </c>
      <c r="Y122" s="40"/>
      <c r="Z122" s="40"/>
      <c r="AD122" s="40"/>
    </row>
    <row r="123" spans="1:30">
      <c r="A123">
        <v>1524</v>
      </c>
      <c r="B123" t="s">
        <v>639</v>
      </c>
      <c r="C123">
        <v>6.97</v>
      </c>
      <c r="Y123" s="40"/>
      <c r="Z123" s="40"/>
      <c r="AA123" s="40"/>
      <c r="AD123" s="40"/>
    </row>
    <row r="124" spans="1:30">
      <c r="A124">
        <v>1525</v>
      </c>
      <c r="B124" t="s">
        <v>640</v>
      </c>
      <c r="C124">
        <v>105.5</v>
      </c>
      <c r="Y124" s="40"/>
      <c r="Z124" s="40"/>
      <c r="AA124" s="40"/>
      <c r="AD124" s="40"/>
    </row>
    <row r="125" spans="1:30">
      <c r="A125">
        <v>1526</v>
      </c>
      <c r="B125" t="s">
        <v>641</v>
      </c>
      <c r="C125">
        <v>14.3</v>
      </c>
      <c r="Y125" s="40"/>
      <c r="Z125" s="40"/>
      <c r="AD125" s="40"/>
    </row>
    <row r="126" spans="1:30">
      <c r="A126">
        <v>1527</v>
      </c>
      <c r="B126" t="s">
        <v>642</v>
      </c>
      <c r="C126">
        <v>70.400000000000006</v>
      </c>
      <c r="Y126" s="40"/>
      <c r="Z126" s="40"/>
      <c r="AA126" s="40"/>
      <c r="AD126" s="40"/>
    </row>
    <row r="127" spans="1:30">
      <c r="A127">
        <v>1528</v>
      </c>
      <c r="B127" t="s">
        <v>643</v>
      </c>
      <c r="C127">
        <v>9.08</v>
      </c>
      <c r="Y127" s="40"/>
      <c r="Z127" s="40"/>
      <c r="AD127" s="40"/>
    </row>
    <row r="128" spans="1:30">
      <c r="A128">
        <v>1529</v>
      </c>
      <c r="B128" t="s">
        <v>644</v>
      </c>
      <c r="C128">
        <v>3.47</v>
      </c>
      <c r="Y128" s="40"/>
      <c r="Z128" s="40"/>
      <c r="AA128" s="40"/>
      <c r="AD128" s="40"/>
    </row>
    <row r="129" spans="1:30">
      <c r="A129">
        <v>1530</v>
      </c>
      <c r="B129" t="s">
        <v>645</v>
      </c>
      <c r="C129">
        <v>32.799999999999997</v>
      </c>
      <c r="Y129" s="40"/>
      <c r="Z129" s="40"/>
      <c r="AA129" s="40"/>
      <c r="AD129" s="40"/>
    </row>
    <row r="130" spans="1:30">
      <c r="A130">
        <v>1531</v>
      </c>
      <c r="B130" t="s">
        <v>646</v>
      </c>
      <c r="C130">
        <v>18.55</v>
      </c>
      <c r="Y130" s="40"/>
      <c r="Z130" s="40"/>
      <c r="AA130" s="40"/>
      <c r="AD130" s="40"/>
    </row>
    <row r="131" spans="1:30">
      <c r="A131">
        <v>1532</v>
      </c>
      <c r="B131" t="s">
        <v>647</v>
      </c>
      <c r="C131">
        <v>26.6</v>
      </c>
      <c r="Y131" s="40"/>
      <c r="Z131" s="40"/>
      <c r="AA131" s="40"/>
      <c r="AD131" s="40"/>
    </row>
    <row r="132" spans="1:30">
      <c r="A132">
        <v>1533</v>
      </c>
      <c r="B132" t="s">
        <v>648</v>
      </c>
      <c r="C132">
        <v>43.45</v>
      </c>
      <c r="Y132" s="40"/>
      <c r="Z132" s="40"/>
      <c r="AA132" s="40"/>
      <c r="AD132" s="40"/>
    </row>
    <row r="133" spans="1:30">
      <c r="A133">
        <v>1535</v>
      </c>
      <c r="B133" t="s">
        <v>649</v>
      </c>
      <c r="C133">
        <v>60.5</v>
      </c>
      <c r="Y133" s="40"/>
      <c r="Z133" s="40"/>
      <c r="AD133" s="40"/>
    </row>
    <row r="134" spans="1:30">
      <c r="A134">
        <v>1536</v>
      </c>
      <c r="B134" t="s">
        <v>650</v>
      </c>
      <c r="C134">
        <v>120</v>
      </c>
      <c r="Y134" s="40"/>
      <c r="Z134" s="40"/>
      <c r="AA134" s="40"/>
      <c r="AD134" s="40"/>
    </row>
    <row r="135" spans="1:30">
      <c r="A135">
        <v>1537</v>
      </c>
      <c r="B135" t="s">
        <v>651</v>
      </c>
      <c r="C135">
        <v>130.5</v>
      </c>
      <c r="Y135" s="40"/>
      <c r="Z135" s="40"/>
      <c r="AA135" s="40"/>
      <c r="AD135" s="40"/>
    </row>
    <row r="136" spans="1:30">
      <c r="A136">
        <v>1538</v>
      </c>
      <c r="B136" t="s">
        <v>652</v>
      </c>
      <c r="C136">
        <v>5.17</v>
      </c>
      <c r="Y136" s="40"/>
      <c r="Z136" s="40"/>
      <c r="AA136" s="40"/>
      <c r="AD136" s="40"/>
    </row>
    <row r="137" spans="1:30">
      <c r="A137">
        <v>1539</v>
      </c>
      <c r="B137" t="s">
        <v>653</v>
      </c>
      <c r="C137">
        <v>34.9</v>
      </c>
      <c r="Y137" s="40"/>
      <c r="Z137" s="40"/>
      <c r="AD137" s="40"/>
    </row>
    <row r="138" spans="1:30">
      <c r="A138">
        <v>1540</v>
      </c>
      <c r="B138" t="s">
        <v>654</v>
      </c>
      <c r="C138">
        <v>16.399999999999999</v>
      </c>
      <c r="Y138" s="40"/>
      <c r="Z138" s="40"/>
      <c r="AA138" s="40"/>
      <c r="AD138" s="40"/>
    </row>
    <row r="139" spans="1:30">
      <c r="A139">
        <v>1541</v>
      </c>
      <c r="B139" t="s">
        <v>655</v>
      </c>
      <c r="C139">
        <v>54.2</v>
      </c>
      <c r="Y139" s="40"/>
      <c r="Z139" s="40"/>
      <c r="AD139" s="40"/>
    </row>
    <row r="140" spans="1:30">
      <c r="A140">
        <v>1558</v>
      </c>
      <c r="B140" t="s">
        <v>656</v>
      </c>
      <c r="C140">
        <v>150.5</v>
      </c>
      <c r="Y140" s="40"/>
      <c r="Z140" s="40"/>
      <c r="AA140" s="40"/>
      <c r="AD140" s="40"/>
    </row>
    <row r="141" spans="1:30">
      <c r="A141">
        <v>1560</v>
      </c>
      <c r="B141" t="s">
        <v>657</v>
      </c>
      <c r="C141">
        <v>55.4</v>
      </c>
      <c r="Y141" s="40"/>
      <c r="Z141" s="40"/>
      <c r="AD141" s="40"/>
    </row>
    <row r="142" spans="1:30">
      <c r="A142">
        <v>1568</v>
      </c>
      <c r="B142" t="s">
        <v>658</v>
      </c>
      <c r="C142">
        <v>24.85</v>
      </c>
      <c r="Y142" s="40"/>
      <c r="Z142" s="40"/>
      <c r="AA142" s="40"/>
      <c r="AD142" s="40"/>
    </row>
    <row r="143" spans="1:30">
      <c r="A143">
        <v>1582</v>
      </c>
      <c r="B143" t="s">
        <v>659</v>
      </c>
      <c r="C143">
        <v>51.5</v>
      </c>
      <c r="Y143" s="40"/>
      <c r="Z143" s="40"/>
      <c r="AD143" s="40"/>
    </row>
    <row r="144" spans="1:30">
      <c r="A144">
        <v>1583</v>
      </c>
      <c r="B144" t="s">
        <v>660</v>
      </c>
      <c r="C144">
        <v>66.7</v>
      </c>
      <c r="Y144" s="40"/>
      <c r="Z144" s="40"/>
      <c r="AD144" s="40"/>
    </row>
    <row r="145" spans="1:30">
      <c r="A145">
        <v>1589</v>
      </c>
      <c r="B145" t="s">
        <v>661</v>
      </c>
      <c r="C145">
        <v>229.5</v>
      </c>
      <c r="Y145" s="40"/>
      <c r="Z145" s="40"/>
      <c r="AA145" s="40"/>
      <c r="AD145" s="40"/>
    </row>
    <row r="146" spans="1:30">
      <c r="A146">
        <v>1590</v>
      </c>
      <c r="B146" t="s">
        <v>662</v>
      </c>
      <c r="C146">
        <v>182.5</v>
      </c>
      <c r="Y146" s="40"/>
      <c r="Z146" s="40"/>
      <c r="AA146" s="40"/>
      <c r="AD146" s="40"/>
    </row>
    <row r="147" spans="1:30">
      <c r="A147">
        <v>1592</v>
      </c>
      <c r="B147" t="s">
        <v>663</v>
      </c>
      <c r="C147">
        <v>29.95</v>
      </c>
      <c r="Y147" s="40"/>
      <c r="Z147" s="40"/>
      <c r="AA147" s="40"/>
      <c r="AD147" s="40"/>
    </row>
    <row r="148" spans="1:30">
      <c r="A148">
        <v>1603</v>
      </c>
      <c r="B148" t="s">
        <v>664</v>
      </c>
      <c r="C148">
        <v>12.45</v>
      </c>
      <c r="Y148" s="40"/>
      <c r="Z148" s="40"/>
      <c r="AA148" s="40"/>
      <c r="AD148" s="40"/>
    </row>
    <row r="149" spans="1:30">
      <c r="A149">
        <v>1604</v>
      </c>
      <c r="B149" t="s">
        <v>665</v>
      </c>
      <c r="C149">
        <v>12.6</v>
      </c>
      <c r="Y149" s="40"/>
      <c r="Z149" s="40"/>
      <c r="AA149" s="40"/>
      <c r="AD149" s="40"/>
    </row>
    <row r="150" spans="1:30">
      <c r="A150">
        <v>1605</v>
      </c>
      <c r="B150" t="s">
        <v>666</v>
      </c>
      <c r="C150">
        <v>8.8800000000000008</v>
      </c>
      <c r="Y150" s="40"/>
      <c r="Z150" s="40"/>
      <c r="AA150" s="40"/>
      <c r="AD150" s="40"/>
    </row>
    <row r="151" spans="1:30">
      <c r="A151">
        <v>1608</v>
      </c>
      <c r="B151" t="s">
        <v>667</v>
      </c>
      <c r="C151">
        <v>7.75</v>
      </c>
      <c r="Y151" s="40"/>
      <c r="Z151" s="40"/>
      <c r="AA151" s="40"/>
      <c r="AD151" s="40"/>
    </row>
    <row r="152" spans="1:30">
      <c r="A152">
        <v>1609</v>
      </c>
      <c r="B152" t="s">
        <v>668</v>
      </c>
      <c r="C152">
        <v>4.88</v>
      </c>
      <c r="Y152" s="40"/>
      <c r="Z152" s="40"/>
      <c r="AA152" s="40"/>
      <c r="AD152" s="40"/>
    </row>
    <row r="153" spans="1:30">
      <c r="A153">
        <v>1611</v>
      </c>
      <c r="B153" t="s">
        <v>669</v>
      </c>
      <c r="C153">
        <v>9.69</v>
      </c>
      <c r="M153" s="40"/>
      <c r="Y153" s="40"/>
      <c r="Z153" s="40"/>
      <c r="AA153" s="40"/>
      <c r="AD153" s="40"/>
    </row>
    <row r="154" spans="1:30">
      <c r="A154">
        <v>1612</v>
      </c>
      <c r="B154" t="s">
        <v>670</v>
      </c>
      <c r="C154">
        <v>8.66</v>
      </c>
      <c r="Y154" s="40"/>
      <c r="Z154" s="40"/>
      <c r="AA154" s="40"/>
      <c r="AD154" s="40"/>
    </row>
    <row r="155" spans="1:30">
      <c r="A155">
        <v>1613</v>
      </c>
      <c r="B155" t="s">
        <v>671</v>
      </c>
      <c r="C155">
        <v>3.36</v>
      </c>
      <c r="Y155" s="40"/>
      <c r="Z155" s="40"/>
      <c r="AA155" s="40"/>
      <c r="AD155" s="40"/>
    </row>
    <row r="156" spans="1:30">
      <c r="A156">
        <v>1614</v>
      </c>
      <c r="B156" t="s">
        <v>672</v>
      </c>
      <c r="C156">
        <v>25</v>
      </c>
      <c r="Y156" s="40"/>
      <c r="Z156" s="40"/>
      <c r="AD156" s="40"/>
    </row>
    <row r="157" spans="1:30">
      <c r="A157">
        <v>1615</v>
      </c>
      <c r="B157" t="s">
        <v>673</v>
      </c>
      <c r="C157">
        <v>10</v>
      </c>
      <c r="Y157" s="40"/>
      <c r="Z157" s="40"/>
      <c r="AA157" s="40"/>
      <c r="AD157" s="40"/>
    </row>
    <row r="158" spans="1:30">
      <c r="A158">
        <v>1616</v>
      </c>
      <c r="B158" t="s">
        <v>674</v>
      </c>
      <c r="C158">
        <v>4.8099999999999996</v>
      </c>
      <c r="Y158" s="40"/>
      <c r="Z158" s="40"/>
      <c r="AA158" s="40"/>
      <c r="AD158" s="40"/>
    </row>
    <row r="159" spans="1:30">
      <c r="A159">
        <v>1617</v>
      </c>
      <c r="B159" t="s">
        <v>675</v>
      </c>
      <c r="C159">
        <v>6.82</v>
      </c>
      <c r="Y159" s="40"/>
      <c r="Z159" s="40"/>
      <c r="AA159" s="40"/>
      <c r="AD159" s="40"/>
    </row>
    <row r="160" spans="1:30">
      <c r="A160">
        <v>1618</v>
      </c>
      <c r="B160" t="s">
        <v>676</v>
      </c>
      <c r="C160">
        <v>7.6</v>
      </c>
      <c r="Y160" s="40"/>
      <c r="Z160" s="40"/>
      <c r="AD160" s="40"/>
    </row>
    <row r="161" spans="1:30">
      <c r="A161">
        <v>1626</v>
      </c>
      <c r="B161" t="s">
        <v>677</v>
      </c>
      <c r="C161">
        <v>23.05</v>
      </c>
      <c r="Y161" s="40"/>
      <c r="Z161" s="40"/>
      <c r="AA161" s="40"/>
      <c r="AD161" s="40"/>
    </row>
    <row r="162" spans="1:30">
      <c r="A162">
        <v>1701</v>
      </c>
      <c r="B162" t="s">
        <v>678</v>
      </c>
      <c r="C162">
        <v>20.2</v>
      </c>
      <c r="Y162" s="40"/>
      <c r="Z162" s="40"/>
      <c r="AA162" s="40"/>
      <c r="AD162" s="40"/>
    </row>
    <row r="163" spans="1:30">
      <c r="A163">
        <v>1702</v>
      </c>
      <c r="B163" t="s">
        <v>679</v>
      </c>
      <c r="C163">
        <v>66.5</v>
      </c>
      <c r="Y163" s="40"/>
      <c r="Z163" s="40"/>
      <c r="AA163" s="40"/>
      <c r="AD163" s="40"/>
    </row>
    <row r="164" spans="1:30">
      <c r="A164">
        <v>1704</v>
      </c>
      <c r="B164" t="s">
        <v>680</v>
      </c>
      <c r="C164">
        <v>36.75</v>
      </c>
      <c r="Y164" s="40"/>
      <c r="Z164" s="40"/>
      <c r="AA164" s="40"/>
      <c r="AD164" s="40"/>
    </row>
    <row r="165" spans="1:30">
      <c r="A165">
        <v>1707</v>
      </c>
      <c r="B165" t="s">
        <v>681</v>
      </c>
      <c r="C165">
        <v>197</v>
      </c>
      <c r="Y165" s="40"/>
      <c r="Z165" s="40"/>
      <c r="AA165" s="40"/>
      <c r="AD165" s="40"/>
    </row>
    <row r="166" spans="1:30">
      <c r="A166">
        <v>1708</v>
      </c>
      <c r="B166" t="s">
        <v>682</v>
      </c>
      <c r="C166">
        <v>31.35</v>
      </c>
      <c r="Y166" s="40"/>
      <c r="Z166" s="40"/>
      <c r="AA166" s="40"/>
      <c r="AD166" s="40"/>
    </row>
    <row r="167" spans="1:30">
      <c r="A167">
        <v>1709</v>
      </c>
      <c r="B167" t="s">
        <v>683</v>
      </c>
      <c r="C167">
        <v>16.600000000000001</v>
      </c>
      <c r="Y167" s="40"/>
      <c r="Z167" s="40"/>
      <c r="AA167" s="40"/>
      <c r="AD167" s="40"/>
    </row>
    <row r="168" spans="1:30">
      <c r="A168">
        <v>1710</v>
      </c>
      <c r="B168" t="s">
        <v>684</v>
      </c>
      <c r="C168">
        <v>24.1</v>
      </c>
      <c r="Y168" s="40"/>
      <c r="Z168" s="40"/>
      <c r="AD168" s="40"/>
    </row>
    <row r="169" spans="1:30">
      <c r="A169">
        <v>1711</v>
      </c>
      <c r="B169" t="s">
        <v>685</v>
      </c>
      <c r="C169">
        <v>21.9</v>
      </c>
      <c r="Y169" s="40"/>
      <c r="Z169" s="40"/>
      <c r="AA169" s="40"/>
      <c r="AD169" s="40"/>
    </row>
    <row r="170" spans="1:30">
      <c r="A170">
        <v>1712</v>
      </c>
      <c r="B170" t="s">
        <v>686</v>
      </c>
      <c r="C170">
        <v>14.15</v>
      </c>
      <c r="Y170" s="40"/>
      <c r="Z170" s="40"/>
      <c r="AA170" s="40"/>
      <c r="AD170" s="40"/>
    </row>
    <row r="171" spans="1:30">
      <c r="A171">
        <v>1713</v>
      </c>
      <c r="B171" t="s">
        <v>687</v>
      </c>
      <c r="C171">
        <v>15.9</v>
      </c>
      <c r="Y171" s="40"/>
      <c r="Z171" s="40"/>
      <c r="AA171" s="40"/>
      <c r="AD171" s="40"/>
    </row>
    <row r="172" spans="1:30">
      <c r="A172">
        <v>1714</v>
      </c>
      <c r="B172" t="s">
        <v>688</v>
      </c>
      <c r="C172">
        <v>7.87</v>
      </c>
      <c r="Y172" s="40"/>
      <c r="Z172" s="40"/>
      <c r="AA172" s="40"/>
      <c r="AD172" s="40"/>
    </row>
    <row r="173" spans="1:30">
      <c r="A173">
        <v>1715</v>
      </c>
      <c r="B173" t="s">
        <v>689</v>
      </c>
      <c r="C173">
        <v>12.35</v>
      </c>
      <c r="Y173" s="40"/>
      <c r="Z173" s="40"/>
      <c r="AA173" s="40"/>
      <c r="AD173" s="40"/>
    </row>
    <row r="174" spans="1:30">
      <c r="A174">
        <v>1717</v>
      </c>
      <c r="B174" t="s">
        <v>690</v>
      </c>
      <c r="C174">
        <v>33.35</v>
      </c>
      <c r="Y174" s="40"/>
      <c r="Z174" s="40"/>
      <c r="AA174" s="40"/>
      <c r="AD174" s="40"/>
    </row>
    <row r="175" spans="1:30">
      <c r="A175">
        <v>1718</v>
      </c>
      <c r="B175" t="s">
        <v>691</v>
      </c>
      <c r="C175">
        <v>8.6</v>
      </c>
      <c r="Y175" s="40"/>
      <c r="Z175" s="40"/>
      <c r="AA175" s="40"/>
      <c r="AD175" s="40"/>
    </row>
    <row r="176" spans="1:30">
      <c r="A176">
        <v>1720</v>
      </c>
      <c r="B176" t="s">
        <v>692</v>
      </c>
      <c r="C176">
        <v>35.4</v>
      </c>
      <c r="Y176" s="40"/>
      <c r="Z176" s="40"/>
      <c r="AA176" s="40"/>
      <c r="AD176" s="40"/>
    </row>
    <row r="177" spans="1:30">
      <c r="A177">
        <v>1721</v>
      </c>
      <c r="B177" t="s">
        <v>693</v>
      </c>
      <c r="C177">
        <v>13.4</v>
      </c>
      <c r="Y177" s="40"/>
      <c r="Z177" s="40"/>
      <c r="AA177" s="40"/>
      <c r="AD177" s="40"/>
    </row>
    <row r="178" spans="1:30">
      <c r="A178">
        <v>1722</v>
      </c>
      <c r="B178" t="s">
        <v>694</v>
      </c>
      <c r="C178">
        <v>46.1</v>
      </c>
      <c r="Y178" s="40"/>
      <c r="Z178" s="40"/>
      <c r="AD178" s="40"/>
    </row>
    <row r="179" spans="1:30">
      <c r="A179">
        <v>1723</v>
      </c>
      <c r="B179" t="s">
        <v>695</v>
      </c>
      <c r="C179">
        <v>122</v>
      </c>
      <c r="Y179" s="40"/>
      <c r="Z179" s="40"/>
      <c r="AD179" s="40"/>
    </row>
    <row r="180" spans="1:30">
      <c r="A180">
        <v>1724</v>
      </c>
      <c r="B180" t="s">
        <v>696</v>
      </c>
      <c r="C180">
        <v>15.6</v>
      </c>
      <c r="Y180" s="40"/>
      <c r="Z180" s="40"/>
      <c r="AD180" s="40"/>
    </row>
    <row r="181" spans="1:30">
      <c r="A181">
        <v>1725</v>
      </c>
      <c r="B181" t="s">
        <v>697</v>
      </c>
      <c r="C181">
        <v>13.8</v>
      </c>
      <c r="Y181" s="40"/>
      <c r="Z181" s="40"/>
      <c r="AD181" s="40"/>
    </row>
    <row r="182" spans="1:30">
      <c r="A182">
        <v>1726</v>
      </c>
      <c r="B182" t="s">
        <v>698</v>
      </c>
      <c r="C182">
        <v>78.599999999999994</v>
      </c>
      <c r="Y182" s="40"/>
      <c r="Z182" s="40"/>
      <c r="AA182" s="40"/>
      <c r="AD182" s="40"/>
    </row>
    <row r="183" spans="1:30">
      <c r="A183">
        <v>1727</v>
      </c>
      <c r="B183" t="s">
        <v>699</v>
      </c>
      <c r="C183">
        <v>14.9</v>
      </c>
      <c r="Y183" s="40"/>
      <c r="Z183" s="40"/>
      <c r="AA183" s="40"/>
      <c r="AD183" s="40"/>
    </row>
    <row r="184" spans="1:30">
      <c r="A184">
        <v>1729</v>
      </c>
      <c r="B184" t="s">
        <v>700</v>
      </c>
      <c r="C184">
        <v>73.7</v>
      </c>
      <c r="Y184" s="40"/>
      <c r="Z184" s="40"/>
      <c r="AD184" s="40"/>
    </row>
    <row r="185" spans="1:30">
      <c r="A185">
        <v>1730</v>
      </c>
      <c r="B185" t="s">
        <v>701</v>
      </c>
      <c r="C185">
        <v>36.85</v>
      </c>
      <c r="Y185" s="40"/>
      <c r="Z185" s="40"/>
      <c r="AA185" s="40"/>
      <c r="AD185" s="40"/>
    </row>
    <row r="186" spans="1:30">
      <c r="A186">
        <v>1731</v>
      </c>
      <c r="B186" t="s">
        <v>702</v>
      </c>
      <c r="C186">
        <v>13.7</v>
      </c>
      <c r="Y186" s="40"/>
      <c r="Z186" s="40"/>
      <c r="AD186" s="40"/>
    </row>
    <row r="187" spans="1:30">
      <c r="A187">
        <v>1732</v>
      </c>
      <c r="B187" t="s">
        <v>703</v>
      </c>
      <c r="C187">
        <v>13.65</v>
      </c>
      <c r="Y187" s="40"/>
      <c r="Z187" s="40"/>
      <c r="AA187" s="40"/>
      <c r="AD187" s="40"/>
    </row>
    <row r="188" spans="1:30">
      <c r="A188">
        <v>1733</v>
      </c>
      <c r="B188" t="s">
        <v>704</v>
      </c>
      <c r="C188">
        <v>45.4</v>
      </c>
      <c r="Y188" s="40"/>
      <c r="Z188" s="40"/>
      <c r="AD188" s="40"/>
    </row>
    <row r="189" spans="1:30">
      <c r="A189">
        <v>1734</v>
      </c>
      <c r="B189" t="s">
        <v>705</v>
      </c>
      <c r="C189">
        <v>29.2</v>
      </c>
      <c r="Y189" s="40"/>
      <c r="Z189" s="40"/>
      <c r="AA189" s="40"/>
      <c r="AD189" s="40"/>
    </row>
    <row r="190" spans="1:30">
      <c r="A190">
        <v>1735</v>
      </c>
      <c r="B190" t="s">
        <v>706</v>
      </c>
      <c r="C190">
        <v>12.1</v>
      </c>
      <c r="Y190" s="40"/>
      <c r="Z190" s="40"/>
      <c r="AA190" s="40"/>
      <c r="AD190" s="40"/>
    </row>
    <row r="191" spans="1:30">
      <c r="A191">
        <v>1736</v>
      </c>
      <c r="B191" t="s">
        <v>707</v>
      </c>
      <c r="C191">
        <v>54.6</v>
      </c>
      <c r="Y191" s="40"/>
      <c r="Z191" s="40"/>
      <c r="AA191" s="40"/>
      <c r="AD191" s="40"/>
    </row>
    <row r="192" spans="1:30">
      <c r="A192">
        <v>1737</v>
      </c>
      <c r="B192" t="s">
        <v>708</v>
      </c>
      <c r="C192">
        <v>32.049999999999997</v>
      </c>
      <c r="Y192" s="40"/>
      <c r="Z192" s="40"/>
      <c r="AD192" s="40"/>
    </row>
    <row r="193" spans="1:30">
      <c r="A193">
        <v>1762</v>
      </c>
      <c r="B193" t="s">
        <v>709</v>
      </c>
      <c r="C193">
        <v>40.5</v>
      </c>
      <c r="Y193" s="40"/>
      <c r="Z193" s="40"/>
      <c r="AA193" s="40"/>
      <c r="AD193" s="40"/>
    </row>
    <row r="194" spans="1:30">
      <c r="A194">
        <v>1773</v>
      </c>
      <c r="B194" t="s">
        <v>710</v>
      </c>
      <c r="C194">
        <v>43.6</v>
      </c>
      <c r="Y194" s="40"/>
      <c r="Z194" s="40"/>
      <c r="AA194" s="40"/>
      <c r="AD194" s="40"/>
    </row>
    <row r="195" spans="1:30">
      <c r="A195">
        <v>1783</v>
      </c>
      <c r="B195" t="s">
        <v>711</v>
      </c>
      <c r="C195">
        <v>23.15</v>
      </c>
      <c r="Y195" s="40"/>
      <c r="Z195" s="40"/>
      <c r="AD195" s="40"/>
    </row>
    <row r="196" spans="1:30">
      <c r="A196">
        <v>1786</v>
      </c>
      <c r="B196" t="s">
        <v>712</v>
      </c>
      <c r="C196">
        <v>57.5</v>
      </c>
      <c r="Y196" s="40"/>
      <c r="Z196" s="40"/>
      <c r="AD196" s="40"/>
    </row>
    <row r="197" spans="1:30">
      <c r="A197">
        <v>1789</v>
      </c>
      <c r="B197" t="s">
        <v>713</v>
      </c>
      <c r="C197">
        <v>53.4</v>
      </c>
      <c r="Y197" s="40"/>
      <c r="Z197" s="40"/>
      <c r="AA197" s="40"/>
      <c r="AD197" s="40"/>
    </row>
    <row r="198" spans="1:30">
      <c r="A198">
        <v>1802</v>
      </c>
      <c r="B198" t="s">
        <v>714</v>
      </c>
      <c r="C198">
        <v>14.6</v>
      </c>
      <c r="Y198" s="40"/>
      <c r="Z198" s="40"/>
      <c r="AA198" s="40"/>
      <c r="AD198" s="40"/>
    </row>
    <row r="199" spans="1:30">
      <c r="A199">
        <v>1805</v>
      </c>
      <c r="B199" t="s">
        <v>715</v>
      </c>
      <c r="C199">
        <v>6.96</v>
      </c>
      <c r="Y199" s="40"/>
      <c r="Z199" s="40"/>
      <c r="AA199" s="40"/>
      <c r="AD199" s="40"/>
    </row>
    <row r="200" spans="1:30">
      <c r="A200">
        <v>1806</v>
      </c>
      <c r="B200" t="s">
        <v>716</v>
      </c>
      <c r="C200">
        <v>7.04</v>
      </c>
      <c r="Y200" s="40"/>
      <c r="Z200" s="40"/>
      <c r="AD200" s="40"/>
    </row>
    <row r="201" spans="1:30">
      <c r="A201">
        <v>1808</v>
      </c>
      <c r="B201" t="s">
        <v>717</v>
      </c>
      <c r="C201">
        <v>28.8</v>
      </c>
      <c r="Y201" s="40"/>
      <c r="Z201" s="40"/>
      <c r="AD201" s="40"/>
    </row>
    <row r="202" spans="1:30">
      <c r="A202">
        <v>1809</v>
      </c>
      <c r="B202" t="s">
        <v>718</v>
      </c>
      <c r="C202">
        <v>10.8</v>
      </c>
      <c r="Y202" s="40"/>
      <c r="Z202" s="40"/>
      <c r="AA202" s="40"/>
      <c r="AD202" s="40"/>
    </row>
    <row r="203" spans="1:30">
      <c r="A203">
        <v>1810</v>
      </c>
      <c r="B203" t="s">
        <v>719</v>
      </c>
      <c r="C203">
        <v>8.48</v>
      </c>
      <c r="Y203" s="40"/>
      <c r="Z203" s="40"/>
      <c r="AA203" s="40"/>
      <c r="AD203" s="40"/>
    </row>
    <row r="204" spans="1:30">
      <c r="A204">
        <v>1817</v>
      </c>
      <c r="B204" t="s">
        <v>720</v>
      </c>
      <c r="C204">
        <v>39.950000000000003</v>
      </c>
      <c r="Y204" s="40"/>
      <c r="Z204" s="40"/>
      <c r="AA204" s="40"/>
      <c r="AD204" s="40"/>
    </row>
    <row r="205" spans="1:30">
      <c r="A205">
        <v>1902</v>
      </c>
      <c r="B205" t="s">
        <v>721</v>
      </c>
      <c r="C205">
        <v>11.75</v>
      </c>
      <c r="Y205" s="40"/>
      <c r="Z205" s="40"/>
      <c r="AA205" s="40"/>
      <c r="AD205" s="40"/>
    </row>
    <row r="206" spans="1:30">
      <c r="A206">
        <v>1903</v>
      </c>
      <c r="B206" t="s">
        <v>722</v>
      </c>
      <c r="C206">
        <v>31.6</v>
      </c>
      <c r="Y206" s="40"/>
      <c r="Z206" s="40"/>
      <c r="AA206" s="40"/>
      <c r="AD206" s="40"/>
    </row>
    <row r="207" spans="1:30">
      <c r="A207">
        <v>1904</v>
      </c>
      <c r="B207" t="s">
        <v>723</v>
      </c>
      <c r="C207">
        <v>11.6</v>
      </c>
      <c r="Y207" s="40"/>
      <c r="Z207" s="40"/>
      <c r="AA207" s="40"/>
      <c r="AD207" s="40"/>
    </row>
    <row r="208" spans="1:30">
      <c r="A208">
        <v>1905</v>
      </c>
      <c r="B208" t="s">
        <v>1829</v>
      </c>
      <c r="C208">
        <v>9.6999999999999993</v>
      </c>
      <c r="Y208" s="40"/>
      <c r="Z208" s="40"/>
      <c r="AD208" s="40"/>
    </row>
    <row r="209" spans="1:30">
      <c r="A209">
        <v>1906</v>
      </c>
      <c r="B209" t="s">
        <v>724</v>
      </c>
      <c r="C209">
        <v>7.38</v>
      </c>
      <c r="Y209" s="40"/>
      <c r="Z209" s="40"/>
      <c r="AD209" s="40"/>
    </row>
    <row r="210" spans="1:30">
      <c r="A210">
        <v>1907</v>
      </c>
      <c r="B210" t="s">
        <v>725</v>
      </c>
      <c r="C210">
        <v>10.85</v>
      </c>
      <c r="Y210" s="40"/>
      <c r="Z210" s="40"/>
      <c r="AA210" s="40"/>
      <c r="AD210" s="40"/>
    </row>
    <row r="211" spans="1:30">
      <c r="A211">
        <v>1909</v>
      </c>
      <c r="B211" t="s">
        <v>726</v>
      </c>
      <c r="C211">
        <v>11.3</v>
      </c>
      <c r="Y211" s="40"/>
      <c r="Z211" s="40"/>
      <c r="AD211" s="40"/>
    </row>
    <row r="212" spans="1:30">
      <c r="A212">
        <v>2002</v>
      </c>
      <c r="B212" t="s">
        <v>727</v>
      </c>
      <c r="C212">
        <v>22.6</v>
      </c>
      <c r="Y212" s="40"/>
      <c r="Z212" s="40"/>
      <c r="AA212" s="40"/>
      <c r="AD212" s="40"/>
    </row>
    <row r="213" spans="1:30">
      <c r="A213" t="s">
        <v>243</v>
      </c>
      <c r="B213" t="s">
        <v>728</v>
      </c>
      <c r="C213">
        <v>39.799999999999997</v>
      </c>
      <c r="Y213" s="40"/>
      <c r="Z213" s="40"/>
      <c r="AA213" s="40"/>
      <c r="AD213" s="40"/>
    </row>
    <row r="214" spans="1:30">
      <c r="A214">
        <v>2006</v>
      </c>
      <c r="B214" t="s">
        <v>729</v>
      </c>
      <c r="C214">
        <v>20.6</v>
      </c>
      <c r="Y214" s="40"/>
      <c r="Z214" s="40"/>
      <c r="AA214" s="40"/>
      <c r="AD214" s="40"/>
    </row>
    <row r="215" spans="1:30">
      <c r="A215">
        <v>2007</v>
      </c>
      <c r="B215" t="s">
        <v>730</v>
      </c>
      <c r="C215">
        <v>5.48</v>
      </c>
      <c r="Y215" s="40"/>
      <c r="Z215" s="40"/>
      <c r="AA215" s="40"/>
      <c r="AD215" s="40"/>
    </row>
    <row r="216" spans="1:30">
      <c r="A216">
        <v>2008</v>
      </c>
      <c r="B216" t="s">
        <v>731</v>
      </c>
      <c r="C216">
        <v>9.34</v>
      </c>
      <c r="Y216" s="40"/>
      <c r="Z216" s="40"/>
      <c r="AA216" s="40"/>
      <c r="AD216" s="40"/>
    </row>
    <row r="217" spans="1:30">
      <c r="A217">
        <v>2009</v>
      </c>
      <c r="B217" t="s">
        <v>732</v>
      </c>
      <c r="C217">
        <v>8.09</v>
      </c>
      <c r="Y217" s="40"/>
      <c r="Z217" s="40"/>
      <c r="AA217" s="40"/>
      <c r="AD217" s="40"/>
    </row>
    <row r="218" spans="1:30">
      <c r="A218">
        <v>2010</v>
      </c>
      <c r="B218" t="s">
        <v>733</v>
      </c>
      <c r="C218">
        <v>10.4</v>
      </c>
      <c r="Y218" s="40"/>
      <c r="Z218" s="40"/>
      <c r="AA218" s="40"/>
      <c r="AD218" s="40"/>
    </row>
    <row r="219" spans="1:30">
      <c r="A219">
        <v>2012</v>
      </c>
      <c r="B219" t="s">
        <v>734</v>
      </c>
      <c r="C219">
        <v>14</v>
      </c>
      <c r="Y219" s="40"/>
      <c r="Z219" s="40"/>
      <c r="AA219" s="40"/>
      <c r="AD219" s="40"/>
    </row>
    <row r="220" spans="1:30">
      <c r="A220">
        <v>2013</v>
      </c>
      <c r="B220" t="s">
        <v>735</v>
      </c>
      <c r="C220">
        <v>25.7</v>
      </c>
      <c r="Y220" s="40"/>
      <c r="Z220" s="40"/>
      <c r="AA220" s="40"/>
      <c r="AD220" s="40"/>
    </row>
    <row r="221" spans="1:30">
      <c r="A221">
        <v>2014</v>
      </c>
      <c r="B221" t="s">
        <v>736</v>
      </c>
      <c r="C221">
        <v>7.9</v>
      </c>
      <c r="M221" s="40"/>
      <c r="Y221" s="40"/>
      <c r="Z221" s="40"/>
      <c r="AA221" s="40"/>
      <c r="AD221" s="40"/>
    </row>
    <row r="222" spans="1:30">
      <c r="A222">
        <v>2015</v>
      </c>
      <c r="B222" t="s">
        <v>737</v>
      </c>
      <c r="C222">
        <v>41.2</v>
      </c>
      <c r="Y222" s="40"/>
      <c r="Z222" s="40"/>
      <c r="AA222" s="40"/>
      <c r="AD222" s="40"/>
    </row>
    <row r="223" spans="1:30">
      <c r="A223">
        <v>2017</v>
      </c>
      <c r="B223" t="s">
        <v>738</v>
      </c>
      <c r="C223">
        <v>7.22</v>
      </c>
      <c r="Y223" s="40"/>
      <c r="Z223" s="40"/>
      <c r="AA223" s="40"/>
      <c r="AD223" s="40"/>
    </row>
    <row r="224" spans="1:30">
      <c r="A224">
        <v>2020</v>
      </c>
      <c r="B224" t="s">
        <v>739</v>
      </c>
      <c r="C224">
        <v>12.6</v>
      </c>
      <c r="Y224" s="40"/>
      <c r="Z224" s="40"/>
      <c r="AA224" s="40"/>
      <c r="AD224" s="40"/>
    </row>
    <row r="225" spans="1:30">
      <c r="A225">
        <v>2022</v>
      </c>
      <c r="B225" t="s">
        <v>740</v>
      </c>
      <c r="C225">
        <v>4.1900000000000004</v>
      </c>
      <c r="Y225" s="40"/>
      <c r="Z225" s="40"/>
      <c r="AA225" s="40"/>
      <c r="AD225" s="40"/>
    </row>
    <row r="226" spans="1:30">
      <c r="A226">
        <v>2023</v>
      </c>
      <c r="B226" t="s">
        <v>741</v>
      </c>
      <c r="C226">
        <v>8.76</v>
      </c>
      <c r="Y226" s="40"/>
      <c r="Z226" s="40"/>
      <c r="AA226" s="40"/>
      <c r="AD226" s="40"/>
    </row>
    <row r="227" spans="1:30">
      <c r="A227">
        <v>2024</v>
      </c>
      <c r="B227" t="s">
        <v>742</v>
      </c>
      <c r="C227">
        <v>7.63</v>
      </c>
      <c r="Y227" s="40"/>
      <c r="Z227" s="40"/>
      <c r="AA227" s="40"/>
      <c r="AD227" s="40"/>
    </row>
    <row r="228" spans="1:30">
      <c r="A228">
        <v>2027</v>
      </c>
      <c r="B228" t="s">
        <v>744</v>
      </c>
      <c r="C228">
        <v>17.25</v>
      </c>
      <c r="Y228" s="40"/>
      <c r="Z228" s="40"/>
      <c r="AA228" s="40"/>
      <c r="AD228" s="40"/>
    </row>
    <row r="229" spans="1:30">
      <c r="A229">
        <v>2028</v>
      </c>
      <c r="B229" t="s">
        <v>745</v>
      </c>
      <c r="C229">
        <v>1.85</v>
      </c>
      <c r="Y229" s="40"/>
      <c r="Z229" s="40"/>
      <c r="AA229" s="40"/>
      <c r="AD229" s="40"/>
    </row>
    <row r="230" spans="1:30">
      <c r="A230">
        <v>2029</v>
      </c>
      <c r="B230" t="s">
        <v>746</v>
      </c>
      <c r="C230">
        <v>19.95</v>
      </c>
      <c r="Y230" s="40"/>
      <c r="Z230" s="40"/>
      <c r="AA230" s="40"/>
      <c r="AD230" s="40"/>
    </row>
    <row r="231" spans="1:30">
      <c r="A231">
        <v>2030</v>
      </c>
      <c r="B231" t="s">
        <v>747</v>
      </c>
      <c r="C231">
        <v>11.35</v>
      </c>
      <c r="Y231" s="40"/>
      <c r="Z231" s="40"/>
      <c r="AA231" s="40"/>
      <c r="AD231" s="40"/>
    </row>
    <row r="232" spans="1:30">
      <c r="A232">
        <v>2031</v>
      </c>
      <c r="B232" t="s">
        <v>748</v>
      </c>
      <c r="C232">
        <v>15.9</v>
      </c>
      <c r="Y232" s="40"/>
      <c r="Z232" s="40"/>
      <c r="AA232" s="40"/>
      <c r="AD232" s="40"/>
    </row>
    <row r="233" spans="1:30">
      <c r="A233">
        <v>2032</v>
      </c>
      <c r="B233" t="s">
        <v>749</v>
      </c>
      <c r="C233">
        <v>10.9</v>
      </c>
      <c r="Y233" s="40"/>
      <c r="Z233" s="40"/>
      <c r="AA233" s="40"/>
      <c r="AD233" s="40"/>
    </row>
    <row r="234" spans="1:30">
      <c r="A234">
        <v>2033</v>
      </c>
      <c r="B234" t="s">
        <v>750</v>
      </c>
      <c r="C234">
        <v>9.73</v>
      </c>
      <c r="Y234" s="40"/>
      <c r="Z234" s="40"/>
      <c r="AA234" s="40"/>
      <c r="AD234" s="40"/>
    </row>
    <row r="235" spans="1:30">
      <c r="A235">
        <v>2034</v>
      </c>
      <c r="B235" t="s">
        <v>751</v>
      </c>
      <c r="C235">
        <v>24.65</v>
      </c>
      <c r="Y235" s="40"/>
      <c r="Z235" s="40"/>
      <c r="AA235" s="40"/>
      <c r="AD235" s="40"/>
    </row>
    <row r="236" spans="1:30">
      <c r="A236">
        <v>2038</v>
      </c>
      <c r="B236" t="s">
        <v>752</v>
      </c>
      <c r="C236">
        <v>6.61</v>
      </c>
      <c r="Y236" s="40"/>
      <c r="Z236" s="40"/>
      <c r="AA236" s="40"/>
      <c r="AD236" s="40"/>
    </row>
    <row r="237" spans="1:30">
      <c r="A237">
        <v>2049</v>
      </c>
      <c r="B237" t="s">
        <v>753</v>
      </c>
      <c r="C237">
        <v>140</v>
      </c>
      <c r="Y237" s="40"/>
      <c r="Z237" s="40"/>
      <c r="AA237" s="40"/>
      <c r="AD237" s="40"/>
    </row>
    <row r="238" spans="1:30">
      <c r="A238">
        <v>2059</v>
      </c>
      <c r="B238" t="s">
        <v>754</v>
      </c>
      <c r="C238">
        <v>389.5</v>
      </c>
      <c r="Y238" s="40"/>
      <c r="Z238" s="40"/>
      <c r="AA238" s="40"/>
      <c r="AD238" s="40"/>
    </row>
    <row r="239" spans="1:30">
      <c r="A239">
        <v>2062</v>
      </c>
      <c r="B239" t="s">
        <v>755</v>
      </c>
      <c r="C239">
        <v>42.85</v>
      </c>
      <c r="Y239" s="40"/>
      <c r="Z239" s="40"/>
      <c r="AA239" s="40"/>
      <c r="AD239" s="40"/>
    </row>
    <row r="240" spans="1:30">
      <c r="A240">
        <v>2101</v>
      </c>
      <c r="B240" t="s">
        <v>756</v>
      </c>
      <c r="C240">
        <v>29.9</v>
      </c>
      <c r="Y240" s="40"/>
      <c r="Z240" s="40"/>
      <c r="AA240" s="40"/>
      <c r="AD240" s="40"/>
    </row>
    <row r="241" spans="1:30">
      <c r="A241">
        <v>2102</v>
      </c>
      <c r="B241" t="s">
        <v>757</v>
      </c>
      <c r="C241">
        <v>15.75</v>
      </c>
      <c r="Y241" s="40"/>
      <c r="Z241" s="40"/>
      <c r="AA241" s="40"/>
      <c r="AD241" s="40"/>
    </row>
    <row r="242" spans="1:30">
      <c r="A242">
        <v>2103</v>
      </c>
      <c r="B242" t="s">
        <v>758</v>
      </c>
      <c r="C242">
        <v>30.1</v>
      </c>
      <c r="M242" s="40"/>
      <c r="Y242" s="40"/>
      <c r="Z242" s="40"/>
      <c r="AA242" s="40"/>
      <c r="AD242" s="40"/>
    </row>
    <row r="243" spans="1:30">
      <c r="A243">
        <v>2104</v>
      </c>
      <c r="B243" t="s">
        <v>759</v>
      </c>
      <c r="C243">
        <v>25.8</v>
      </c>
      <c r="Y243" s="40"/>
      <c r="Z243" s="40"/>
      <c r="AA243" s="40"/>
      <c r="AD243" s="40"/>
    </row>
    <row r="244" spans="1:30">
      <c r="A244">
        <v>2105</v>
      </c>
      <c r="B244" t="s">
        <v>760</v>
      </c>
      <c r="C244">
        <v>58.8</v>
      </c>
      <c r="Y244" s="40"/>
      <c r="Z244" s="40"/>
      <c r="AA244" s="40"/>
      <c r="AD244" s="40"/>
    </row>
    <row r="245" spans="1:30">
      <c r="A245">
        <v>2106</v>
      </c>
      <c r="B245" t="s">
        <v>761</v>
      </c>
      <c r="C245">
        <v>49.75</v>
      </c>
      <c r="Y245" s="40"/>
      <c r="Z245" s="40"/>
      <c r="AA245" s="40"/>
      <c r="AD245" s="40"/>
    </row>
    <row r="246" spans="1:30">
      <c r="A246">
        <v>2107</v>
      </c>
      <c r="B246" t="s">
        <v>762</v>
      </c>
      <c r="C246">
        <v>18.5</v>
      </c>
      <c r="Y246" s="40"/>
      <c r="Z246" s="40"/>
      <c r="AA246" s="40"/>
      <c r="AD246" s="40"/>
    </row>
    <row r="247" spans="1:30">
      <c r="A247">
        <v>2108</v>
      </c>
      <c r="B247" t="s">
        <v>763</v>
      </c>
      <c r="C247">
        <v>25.9</v>
      </c>
      <c r="Y247" s="40"/>
      <c r="Z247" s="40"/>
      <c r="AA247" s="40"/>
      <c r="AD247" s="40"/>
    </row>
    <row r="248" spans="1:30">
      <c r="A248">
        <v>2109</v>
      </c>
      <c r="B248" t="s">
        <v>764</v>
      </c>
      <c r="C248">
        <v>12.75</v>
      </c>
      <c r="Y248" s="40"/>
      <c r="Z248" s="40"/>
      <c r="AA248" s="40"/>
      <c r="AD248" s="40"/>
    </row>
    <row r="249" spans="1:30">
      <c r="A249">
        <v>2114</v>
      </c>
      <c r="B249" t="s">
        <v>765</v>
      </c>
      <c r="C249">
        <v>81.3</v>
      </c>
      <c r="Y249" s="40"/>
      <c r="Z249" s="40"/>
      <c r="AA249" s="40"/>
      <c r="AD249" s="40"/>
    </row>
    <row r="250" spans="1:30">
      <c r="A250">
        <v>2115</v>
      </c>
      <c r="B250" t="s">
        <v>766</v>
      </c>
      <c r="C250">
        <v>42.5</v>
      </c>
      <c r="Y250" s="40"/>
      <c r="Z250" s="40"/>
      <c r="AA250" s="40"/>
      <c r="AD250" s="40"/>
    </row>
    <row r="251" spans="1:30">
      <c r="A251">
        <v>2201</v>
      </c>
      <c r="B251" t="s">
        <v>767</v>
      </c>
      <c r="C251">
        <v>31</v>
      </c>
      <c r="Y251" s="40"/>
      <c r="Z251" s="40"/>
      <c r="AA251" s="40"/>
      <c r="AD251" s="40"/>
    </row>
    <row r="252" spans="1:30">
      <c r="A252">
        <v>2204</v>
      </c>
      <c r="B252" t="s">
        <v>768</v>
      </c>
      <c r="C252">
        <v>21.8</v>
      </c>
      <c r="Y252" s="40"/>
      <c r="Z252" s="40"/>
      <c r="AA252" s="40"/>
      <c r="AD252" s="40"/>
    </row>
    <row r="253" spans="1:30">
      <c r="A253">
        <v>2206</v>
      </c>
      <c r="B253" t="s">
        <v>769</v>
      </c>
      <c r="C253">
        <v>22.05</v>
      </c>
      <c r="Y253" s="40"/>
      <c r="Z253" s="40"/>
      <c r="AA253" s="40"/>
      <c r="AD253" s="40"/>
    </row>
    <row r="254" spans="1:30">
      <c r="A254">
        <v>2207</v>
      </c>
      <c r="B254" t="s">
        <v>770</v>
      </c>
      <c r="C254">
        <v>348</v>
      </c>
      <c r="Y254" s="40"/>
      <c r="Z254" s="40"/>
      <c r="AA254" s="40"/>
      <c r="AD254" s="40"/>
    </row>
    <row r="255" spans="1:30">
      <c r="A255">
        <v>2208</v>
      </c>
      <c r="B255" t="s">
        <v>771</v>
      </c>
      <c r="C255">
        <v>15.55</v>
      </c>
      <c r="Y255" s="40"/>
      <c r="Z255" s="40"/>
      <c r="AD255" s="40"/>
    </row>
    <row r="256" spans="1:30">
      <c r="A256">
        <v>2227</v>
      </c>
      <c r="B256" t="s">
        <v>772</v>
      </c>
      <c r="C256">
        <v>243</v>
      </c>
      <c r="Y256" s="40"/>
      <c r="Z256" s="40"/>
      <c r="AA256" s="40"/>
      <c r="AD256" s="40"/>
    </row>
    <row r="257" spans="1:30">
      <c r="A257">
        <v>2228</v>
      </c>
      <c r="B257" t="s">
        <v>773</v>
      </c>
      <c r="C257">
        <v>180.5</v>
      </c>
      <c r="Y257" s="40"/>
      <c r="Z257" s="40"/>
      <c r="AA257" s="40"/>
      <c r="AD257" s="40"/>
    </row>
    <row r="258" spans="1:30">
      <c r="A258">
        <v>2231</v>
      </c>
      <c r="B258" t="s">
        <v>774</v>
      </c>
      <c r="C258">
        <v>364</v>
      </c>
      <c r="Y258" s="40"/>
      <c r="Z258" s="40"/>
      <c r="AA258" s="40"/>
      <c r="AD258" s="40"/>
    </row>
    <row r="259" spans="1:30">
      <c r="A259">
        <v>2236</v>
      </c>
      <c r="B259" t="s">
        <v>775</v>
      </c>
      <c r="C259">
        <v>52.4</v>
      </c>
      <c r="Y259" s="40"/>
      <c r="Z259" s="40"/>
      <c r="AD259" s="40"/>
    </row>
    <row r="260" spans="1:30">
      <c r="A260">
        <v>2239</v>
      </c>
      <c r="B260" t="s">
        <v>2509</v>
      </c>
      <c r="C260">
        <v>169</v>
      </c>
      <c r="Y260" s="40"/>
      <c r="Z260" s="40"/>
      <c r="AD260" s="40"/>
    </row>
    <row r="261" spans="1:30">
      <c r="A261">
        <v>2301</v>
      </c>
      <c r="B261" t="s">
        <v>776</v>
      </c>
      <c r="C261">
        <v>36.549999999999997</v>
      </c>
      <c r="Y261" s="40"/>
      <c r="Z261" s="40"/>
      <c r="AA261" s="40"/>
      <c r="AD261" s="40"/>
    </row>
    <row r="262" spans="1:30">
      <c r="A262">
        <v>2302</v>
      </c>
      <c r="B262" t="s">
        <v>777</v>
      </c>
      <c r="C262">
        <v>6.18</v>
      </c>
      <c r="Y262" s="40"/>
      <c r="Z262" s="40"/>
      <c r="AA262" s="40"/>
      <c r="AD262" s="40"/>
    </row>
    <row r="263" spans="1:30">
      <c r="A263">
        <v>2303</v>
      </c>
      <c r="B263" t="s">
        <v>778</v>
      </c>
      <c r="C263">
        <v>13.4</v>
      </c>
      <c r="O263" s="40"/>
      <c r="Y263" s="40"/>
      <c r="Z263" s="40"/>
      <c r="AD263" s="40"/>
    </row>
    <row r="264" spans="1:30">
      <c r="A264">
        <v>2305</v>
      </c>
      <c r="B264" t="s">
        <v>779</v>
      </c>
      <c r="C264">
        <v>6.21</v>
      </c>
      <c r="Y264" s="40"/>
      <c r="Z264" s="40"/>
      <c r="AA264" s="40"/>
      <c r="AD264" s="40"/>
    </row>
    <row r="265" spans="1:30">
      <c r="A265">
        <v>2308</v>
      </c>
      <c r="B265" t="s">
        <v>780</v>
      </c>
      <c r="C265">
        <v>140.5</v>
      </c>
      <c r="Y265" s="40"/>
      <c r="Z265" s="40"/>
      <c r="AA265" s="40"/>
      <c r="AD265" s="40"/>
    </row>
    <row r="266" spans="1:30">
      <c r="A266">
        <v>2311</v>
      </c>
      <c r="B266" t="s">
        <v>781</v>
      </c>
      <c r="C266">
        <v>37.799999999999997</v>
      </c>
      <c r="Y266" s="40"/>
      <c r="Z266" s="40"/>
      <c r="AA266" s="40"/>
      <c r="AD266" s="40"/>
    </row>
    <row r="267" spans="1:30">
      <c r="A267">
        <v>2312</v>
      </c>
      <c r="B267" t="s">
        <v>782</v>
      </c>
      <c r="C267">
        <v>11.35</v>
      </c>
      <c r="Y267" s="40"/>
      <c r="Z267" s="40"/>
      <c r="AD267" s="40"/>
    </row>
    <row r="268" spans="1:30">
      <c r="A268">
        <v>2313</v>
      </c>
      <c r="B268" t="s">
        <v>783</v>
      </c>
      <c r="C268">
        <v>21.1</v>
      </c>
      <c r="Y268" s="40"/>
      <c r="Z268" s="40"/>
      <c r="AA268" s="40"/>
      <c r="AD268" s="40"/>
    </row>
    <row r="269" spans="1:30">
      <c r="A269">
        <v>2314</v>
      </c>
      <c r="B269" t="s">
        <v>784</v>
      </c>
      <c r="C269">
        <v>12.1</v>
      </c>
      <c r="Y269" s="40"/>
      <c r="Z269" s="40"/>
      <c r="AD269" s="40"/>
    </row>
    <row r="270" spans="1:30">
      <c r="A270">
        <v>2316</v>
      </c>
      <c r="B270" t="s">
        <v>785</v>
      </c>
      <c r="C270">
        <v>29</v>
      </c>
      <c r="Y270" s="40"/>
      <c r="Z270" s="40"/>
      <c r="AA270" s="40"/>
      <c r="AD270" s="40"/>
    </row>
    <row r="271" spans="1:30">
      <c r="A271">
        <v>2317</v>
      </c>
      <c r="B271" t="s">
        <v>786</v>
      </c>
      <c r="C271">
        <v>81.599999999999994</v>
      </c>
      <c r="Y271" s="40"/>
      <c r="Z271" s="40"/>
      <c r="AA271" s="40"/>
      <c r="AD271" s="40"/>
    </row>
    <row r="272" spans="1:30">
      <c r="A272">
        <v>2321</v>
      </c>
      <c r="B272" t="s">
        <v>787</v>
      </c>
      <c r="C272">
        <v>1.8</v>
      </c>
      <c r="Y272" s="40"/>
      <c r="Z272" s="40"/>
      <c r="AD272" s="40"/>
    </row>
    <row r="273" spans="1:30">
      <c r="A273">
        <v>2323</v>
      </c>
      <c r="B273" t="s">
        <v>788</v>
      </c>
      <c r="C273">
        <v>3.65</v>
      </c>
      <c r="Y273" s="40"/>
      <c r="Z273" s="40"/>
      <c r="AD273" s="40"/>
    </row>
    <row r="274" spans="1:30">
      <c r="A274">
        <v>2324</v>
      </c>
      <c r="B274" t="s">
        <v>789</v>
      </c>
      <c r="C274">
        <v>20.05</v>
      </c>
      <c r="O274" s="40"/>
      <c r="Y274" s="40"/>
      <c r="Z274" s="40"/>
      <c r="AD274" s="40"/>
    </row>
    <row r="275" spans="1:30">
      <c r="A275">
        <v>2325</v>
      </c>
      <c r="B275" t="s">
        <v>790</v>
      </c>
      <c r="C275">
        <v>49.25</v>
      </c>
      <c r="Y275" s="40"/>
      <c r="Z275" s="40"/>
      <c r="AD275" s="40"/>
    </row>
    <row r="276" spans="1:30">
      <c r="A276">
        <v>2327</v>
      </c>
      <c r="B276" t="s">
        <v>791</v>
      </c>
      <c r="C276">
        <v>55.2</v>
      </c>
      <c r="Y276" s="40"/>
      <c r="Z276" s="40"/>
      <c r="AD276" s="40"/>
    </row>
    <row r="277" spans="1:30">
      <c r="A277">
        <v>2328</v>
      </c>
      <c r="B277" t="s">
        <v>792</v>
      </c>
      <c r="C277">
        <v>13.15</v>
      </c>
      <c r="Y277" s="40"/>
      <c r="Z277" s="40"/>
      <c r="AD277" s="40"/>
    </row>
    <row r="278" spans="1:30">
      <c r="A278">
        <v>2329</v>
      </c>
      <c r="B278" t="s">
        <v>793</v>
      </c>
      <c r="C278">
        <v>12.9</v>
      </c>
      <c r="Y278" s="40"/>
      <c r="Z278" s="40"/>
      <c r="AA278" s="40"/>
      <c r="AD278" s="40"/>
    </row>
    <row r="279" spans="1:30">
      <c r="A279">
        <v>2330</v>
      </c>
      <c r="B279" t="s">
        <v>794</v>
      </c>
      <c r="C279">
        <v>152</v>
      </c>
      <c r="M279" s="40"/>
      <c r="O279" s="40"/>
      <c r="Y279" s="40"/>
      <c r="Z279" s="40"/>
      <c r="AA279" s="40"/>
      <c r="AD279" s="40"/>
    </row>
    <row r="280" spans="1:30">
      <c r="A280">
        <v>2331</v>
      </c>
      <c r="B280" t="s">
        <v>795</v>
      </c>
      <c r="C280">
        <v>21.85</v>
      </c>
      <c r="Y280" s="40"/>
      <c r="Z280" s="40"/>
      <c r="AA280" s="40"/>
      <c r="AD280" s="40"/>
    </row>
    <row r="281" spans="1:30">
      <c r="A281">
        <v>2332</v>
      </c>
      <c r="B281" t="s">
        <v>796</v>
      </c>
      <c r="C281">
        <v>11.3</v>
      </c>
      <c r="Y281" s="40"/>
      <c r="Z281" s="40"/>
      <c r="AA281" s="40"/>
      <c r="AD281" s="40"/>
    </row>
    <row r="282" spans="1:30">
      <c r="A282">
        <v>2337</v>
      </c>
      <c r="B282" t="s">
        <v>797</v>
      </c>
      <c r="C282">
        <v>4.4000000000000004</v>
      </c>
      <c r="Y282" s="40"/>
      <c r="Z282" s="40"/>
      <c r="AA282" s="40"/>
      <c r="AD282" s="40"/>
    </row>
    <row r="283" spans="1:30">
      <c r="A283">
        <v>2338</v>
      </c>
      <c r="B283" t="s">
        <v>798</v>
      </c>
      <c r="C283">
        <v>9.75</v>
      </c>
      <c r="Y283" s="40"/>
      <c r="Z283" s="40"/>
      <c r="AA283" s="40"/>
      <c r="AD283" s="40"/>
    </row>
    <row r="284" spans="1:30">
      <c r="A284">
        <v>2340</v>
      </c>
      <c r="B284" t="s">
        <v>799</v>
      </c>
      <c r="C284">
        <v>10.6</v>
      </c>
      <c r="Y284" s="40"/>
      <c r="Z284" s="40"/>
      <c r="AD284" s="40"/>
    </row>
    <row r="285" spans="1:30">
      <c r="A285">
        <v>2342</v>
      </c>
      <c r="B285" t="s">
        <v>800</v>
      </c>
      <c r="C285">
        <v>2.92</v>
      </c>
      <c r="Y285" s="40"/>
      <c r="Z285" s="40"/>
      <c r="AA285" s="40"/>
      <c r="AD285" s="40"/>
    </row>
    <row r="286" spans="1:30">
      <c r="A286">
        <v>2344</v>
      </c>
      <c r="B286" t="s">
        <v>801</v>
      </c>
      <c r="C286">
        <v>9.42</v>
      </c>
      <c r="Y286" s="40"/>
      <c r="Z286" s="40"/>
      <c r="AD286" s="40"/>
    </row>
    <row r="287" spans="1:30">
      <c r="A287">
        <v>2345</v>
      </c>
      <c r="B287" t="s">
        <v>802</v>
      </c>
      <c r="C287">
        <v>35.6</v>
      </c>
      <c r="Y287" s="40"/>
      <c r="Z287" s="40"/>
      <c r="AA287" s="40"/>
      <c r="AD287" s="40"/>
    </row>
    <row r="288" spans="1:30">
      <c r="A288">
        <v>2347</v>
      </c>
      <c r="B288" t="s">
        <v>803</v>
      </c>
      <c r="C288">
        <v>33.299999999999997</v>
      </c>
      <c r="Y288" s="40"/>
      <c r="Z288" s="40"/>
      <c r="AD288" s="40"/>
    </row>
    <row r="289" spans="1:30">
      <c r="A289">
        <v>2348</v>
      </c>
      <c r="B289" t="s">
        <v>804</v>
      </c>
      <c r="C289" t="s">
        <v>1862</v>
      </c>
      <c r="Y289" s="40"/>
      <c r="Z289" s="40"/>
      <c r="AD289" s="40"/>
    </row>
    <row r="290" spans="1:30">
      <c r="A290">
        <v>2349</v>
      </c>
      <c r="B290" t="s">
        <v>805</v>
      </c>
      <c r="C290">
        <v>2.85</v>
      </c>
      <c r="Y290" s="40"/>
      <c r="Z290" s="40"/>
      <c r="AD290" s="40"/>
    </row>
    <row r="291" spans="1:30">
      <c r="A291">
        <v>2351</v>
      </c>
      <c r="B291" t="s">
        <v>806</v>
      </c>
      <c r="C291">
        <v>32.799999999999997</v>
      </c>
      <c r="Y291" s="40"/>
      <c r="Z291" s="40"/>
      <c r="AD291" s="40"/>
    </row>
    <row r="292" spans="1:30">
      <c r="A292">
        <v>2352</v>
      </c>
      <c r="B292" t="s">
        <v>807</v>
      </c>
      <c r="C292">
        <v>10.7</v>
      </c>
      <c r="Y292" s="40"/>
      <c r="Z292" s="40"/>
      <c r="AD292" s="40"/>
    </row>
    <row r="293" spans="1:30">
      <c r="A293">
        <v>2353</v>
      </c>
      <c r="B293" t="s">
        <v>808</v>
      </c>
      <c r="C293">
        <v>12.3</v>
      </c>
      <c r="Y293" s="40"/>
      <c r="Z293" s="40"/>
      <c r="AA293" s="40"/>
      <c r="AD293" s="40"/>
    </row>
    <row r="294" spans="1:30">
      <c r="A294">
        <v>2354</v>
      </c>
      <c r="B294" t="s">
        <v>809</v>
      </c>
      <c r="C294">
        <v>70.599999999999994</v>
      </c>
      <c r="Y294" s="40"/>
      <c r="Z294" s="40"/>
      <c r="AA294" s="40"/>
      <c r="AD294" s="40"/>
    </row>
    <row r="295" spans="1:30">
      <c r="A295">
        <v>2355</v>
      </c>
      <c r="B295" t="s">
        <v>810</v>
      </c>
      <c r="C295">
        <v>59</v>
      </c>
      <c r="Y295" s="40"/>
      <c r="Z295" s="40"/>
      <c r="AD295" s="40"/>
    </row>
    <row r="296" spans="1:30">
      <c r="A296">
        <v>2356</v>
      </c>
      <c r="B296" t="s">
        <v>811</v>
      </c>
      <c r="C296">
        <v>23.15</v>
      </c>
      <c r="Y296" s="40"/>
      <c r="Z296" s="40"/>
      <c r="AA296" s="40"/>
      <c r="AD296" s="40"/>
    </row>
    <row r="297" spans="1:30">
      <c r="A297">
        <v>2357</v>
      </c>
      <c r="B297" t="s">
        <v>812</v>
      </c>
      <c r="C297">
        <v>278</v>
      </c>
      <c r="Y297" s="40"/>
      <c r="Z297" s="40"/>
      <c r="AA297" s="40"/>
      <c r="AD297" s="40"/>
    </row>
    <row r="298" spans="1:30">
      <c r="A298">
        <v>2358</v>
      </c>
      <c r="B298" t="s">
        <v>813</v>
      </c>
      <c r="C298">
        <v>10.1</v>
      </c>
      <c r="Y298" s="40"/>
      <c r="Z298" s="40"/>
      <c r="AA298" s="40"/>
      <c r="AD298" s="40"/>
    </row>
    <row r="299" spans="1:30">
      <c r="A299">
        <v>2359</v>
      </c>
      <c r="B299" t="s">
        <v>814</v>
      </c>
      <c r="C299">
        <v>15.9</v>
      </c>
      <c r="Y299" s="40"/>
      <c r="Z299" s="40"/>
      <c r="AA299" s="40"/>
      <c r="AD299" s="40"/>
    </row>
    <row r="300" spans="1:30">
      <c r="A300">
        <v>2360</v>
      </c>
      <c r="B300" t="s">
        <v>815</v>
      </c>
      <c r="C300">
        <v>74.599999999999994</v>
      </c>
      <c r="Y300" s="40"/>
      <c r="Z300" s="40"/>
      <c r="AA300" s="40"/>
      <c r="AD300" s="40"/>
    </row>
    <row r="301" spans="1:30">
      <c r="A301">
        <v>2362</v>
      </c>
      <c r="B301" t="s">
        <v>817</v>
      </c>
      <c r="C301">
        <v>32.6</v>
      </c>
      <c r="Y301" s="40"/>
      <c r="Z301" s="40"/>
      <c r="AA301" s="40"/>
      <c r="AD301" s="40"/>
    </row>
    <row r="302" spans="1:30">
      <c r="A302">
        <v>2363</v>
      </c>
      <c r="B302" t="s">
        <v>818</v>
      </c>
      <c r="C302">
        <v>7.31</v>
      </c>
      <c r="Y302" s="40"/>
      <c r="Z302" s="40"/>
      <c r="AA302" s="40"/>
      <c r="AD302" s="40"/>
    </row>
    <row r="303" spans="1:30">
      <c r="A303">
        <v>2364</v>
      </c>
      <c r="B303" t="s">
        <v>819</v>
      </c>
      <c r="C303">
        <v>1.84</v>
      </c>
      <c r="Y303" s="40"/>
      <c r="Z303" s="40"/>
      <c r="AA303" s="40"/>
      <c r="AD303" s="40"/>
    </row>
    <row r="304" spans="1:30">
      <c r="A304">
        <v>2365</v>
      </c>
      <c r="B304" t="s">
        <v>820</v>
      </c>
      <c r="C304">
        <v>9.56</v>
      </c>
      <c r="Y304" s="40"/>
      <c r="Z304" s="40"/>
      <c r="AD304" s="40"/>
    </row>
    <row r="305" spans="1:30">
      <c r="A305">
        <v>2367</v>
      </c>
      <c r="B305" t="s">
        <v>821</v>
      </c>
      <c r="C305">
        <v>12.3</v>
      </c>
      <c r="Y305" s="40"/>
      <c r="Z305" s="40"/>
      <c r="AA305" s="40"/>
      <c r="AD305" s="40"/>
    </row>
    <row r="306" spans="1:30">
      <c r="A306">
        <v>2368</v>
      </c>
      <c r="B306" t="s">
        <v>822</v>
      </c>
      <c r="C306">
        <v>9.3000000000000007</v>
      </c>
      <c r="Y306" s="40"/>
      <c r="Z306" s="40"/>
      <c r="AA306" s="40"/>
      <c r="AD306" s="40"/>
    </row>
    <row r="307" spans="1:30">
      <c r="A307">
        <v>2369</v>
      </c>
      <c r="B307" t="s">
        <v>823</v>
      </c>
      <c r="C307">
        <v>9.06</v>
      </c>
      <c r="Y307" s="40"/>
      <c r="Z307" s="40"/>
      <c r="AA307" s="40"/>
      <c r="AD307" s="40"/>
    </row>
    <row r="308" spans="1:30">
      <c r="A308">
        <v>2371</v>
      </c>
      <c r="B308" t="s">
        <v>824</v>
      </c>
      <c r="C308">
        <v>5.78</v>
      </c>
      <c r="Y308" s="40"/>
      <c r="Z308" s="40"/>
      <c r="AD308" s="40"/>
    </row>
    <row r="309" spans="1:30">
      <c r="A309">
        <v>2373</v>
      </c>
      <c r="B309" t="s">
        <v>825</v>
      </c>
      <c r="C309">
        <v>56</v>
      </c>
      <c r="Y309" s="40"/>
      <c r="Z309" s="40"/>
      <c r="AA309" s="40"/>
      <c r="AD309" s="40"/>
    </row>
    <row r="310" spans="1:30">
      <c r="A310">
        <v>2374</v>
      </c>
      <c r="B310" t="s">
        <v>826</v>
      </c>
      <c r="C310">
        <v>21.15</v>
      </c>
      <c r="Y310" s="40"/>
      <c r="Z310" s="40"/>
      <c r="AD310" s="40"/>
    </row>
    <row r="311" spans="1:30">
      <c r="A311">
        <v>2375</v>
      </c>
      <c r="B311" t="s">
        <v>827</v>
      </c>
      <c r="C311">
        <v>14.25</v>
      </c>
      <c r="Y311" s="40"/>
      <c r="Z311" s="40"/>
      <c r="AA311" s="40"/>
      <c r="AD311" s="40"/>
    </row>
    <row r="312" spans="1:30">
      <c r="A312">
        <v>2376</v>
      </c>
      <c r="B312" t="s">
        <v>828</v>
      </c>
      <c r="C312">
        <v>36.4</v>
      </c>
      <c r="Y312" s="40"/>
      <c r="Z312" s="40"/>
      <c r="AD312" s="40"/>
    </row>
    <row r="313" spans="1:30">
      <c r="A313">
        <v>2377</v>
      </c>
      <c r="B313" t="s">
        <v>829</v>
      </c>
      <c r="C313">
        <v>44.9</v>
      </c>
      <c r="Y313" s="40"/>
      <c r="Z313" s="40"/>
      <c r="AD313" s="40"/>
    </row>
    <row r="314" spans="1:30">
      <c r="A314">
        <v>2379</v>
      </c>
      <c r="B314" t="s">
        <v>830</v>
      </c>
      <c r="C314">
        <v>81.7</v>
      </c>
      <c r="Y314" s="40"/>
      <c r="Z314" s="40"/>
      <c r="AD314" s="40"/>
    </row>
    <row r="315" spans="1:30">
      <c r="A315">
        <v>2380</v>
      </c>
      <c r="B315" t="s">
        <v>831</v>
      </c>
      <c r="C315">
        <v>7.47</v>
      </c>
      <c r="Y315" s="40"/>
      <c r="Z315" s="40"/>
      <c r="AD315" s="40"/>
    </row>
    <row r="316" spans="1:30">
      <c r="A316">
        <v>2382</v>
      </c>
      <c r="B316" t="s">
        <v>832</v>
      </c>
      <c r="C316">
        <v>56.9</v>
      </c>
      <c r="Y316" s="40"/>
      <c r="Z316" s="40"/>
      <c r="AA316" s="40"/>
      <c r="AD316" s="40"/>
    </row>
    <row r="317" spans="1:30">
      <c r="A317">
        <v>2383</v>
      </c>
      <c r="B317" t="s">
        <v>833</v>
      </c>
      <c r="C317">
        <v>58.8</v>
      </c>
      <c r="Y317" s="40"/>
      <c r="Z317" s="40"/>
      <c r="AA317" s="40"/>
      <c r="AD317" s="40"/>
    </row>
    <row r="318" spans="1:30">
      <c r="A318">
        <v>2385</v>
      </c>
      <c r="B318" t="s">
        <v>834</v>
      </c>
      <c r="C318">
        <v>74.2</v>
      </c>
      <c r="Y318" s="40"/>
      <c r="Z318" s="40"/>
      <c r="AD318" s="40"/>
    </row>
    <row r="319" spans="1:30">
      <c r="A319">
        <v>2387</v>
      </c>
      <c r="B319" t="s">
        <v>835</v>
      </c>
      <c r="C319">
        <v>15.45</v>
      </c>
      <c r="Y319" s="40"/>
      <c r="Z319" s="40"/>
      <c r="AA319" s="40"/>
      <c r="AD319" s="40"/>
    </row>
    <row r="320" spans="1:30">
      <c r="A320">
        <v>2388</v>
      </c>
      <c r="B320" t="s">
        <v>836</v>
      </c>
      <c r="C320">
        <v>8.99</v>
      </c>
      <c r="Y320" s="40"/>
      <c r="Z320" s="40"/>
      <c r="AA320" s="40"/>
      <c r="AD320" s="40"/>
    </row>
    <row r="321" spans="1:30">
      <c r="A321">
        <v>2390</v>
      </c>
      <c r="B321" t="s">
        <v>837</v>
      </c>
      <c r="C321">
        <v>21.55</v>
      </c>
      <c r="Y321" s="40"/>
      <c r="Z321" s="40"/>
      <c r="AA321" s="40"/>
      <c r="AD321" s="40"/>
    </row>
    <row r="322" spans="1:30">
      <c r="A322">
        <v>2392</v>
      </c>
      <c r="B322" t="s">
        <v>838</v>
      </c>
      <c r="C322">
        <v>45.75</v>
      </c>
      <c r="Y322" s="40"/>
      <c r="Z322" s="40"/>
      <c r="AA322" s="40"/>
      <c r="AD322" s="40"/>
    </row>
    <row r="323" spans="1:30">
      <c r="A323">
        <v>2393</v>
      </c>
      <c r="B323" t="s">
        <v>839</v>
      </c>
      <c r="C323">
        <v>55.6</v>
      </c>
      <c r="Y323" s="40"/>
      <c r="Z323" s="40"/>
      <c r="AA323" s="40"/>
      <c r="AD323" s="40"/>
    </row>
    <row r="324" spans="1:30">
      <c r="A324">
        <v>2395</v>
      </c>
      <c r="B324" t="s">
        <v>840</v>
      </c>
      <c r="C324">
        <v>231</v>
      </c>
      <c r="Y324" s="40"/>
      <c r="Z324" s="40"/>
      <c r="AA324" s="40"/>
      <c r="AD324" s="40"/>
    </row>
    <row r="325" spans="1:30">
      <c r="A325">
        <v>2397</v>
      </c>
      <c r="B325" t="s">
        <v>841</v>
      </c>
      <c r="C325">
        <v>52.6</v>
      </c>
      <c r="Y325" s="40"/>
      <c r="Z325" s="40"/>
      <c r="AA325" s="40"/>
      <c r="AD325" s="40"/>
    </row>
    <row r="326" spans="1:30">
      <c r="A326">
        <v>2399</v>
      </c>
      <c r="B326" t="s">
        <v>842</v>
      </c>
      <c r="C326">
        <v>7.96</v>
      </c>
      <c r="Y326" s="40"/>
      <c r="Z326" s="40"/>
      <c r="AA326" s="40"/>
      <c r="AD326" s="40"/>
    </row>
    <row r="327" spans="1:30">
      <c r="A327">
        <v>2401</v>
      </c>
      <c r="B327" t="s">
        <v>843</v>
      </c>
      <c r="C327">
        <v>12</v>
      </c>
      <c r="Y327" s="40"/>
      <c r="Z327" s="40"/>
      <c r="AA327" s="40"/>
      <c r="AD327" s="40"/>
    </row>
    <row r="328" spans="1:30">
      <c r="A328">
        <v>2402</v>
      </c>
      <c r="B328" t="s">
        <v>844</v>
      </c>
      <c r="C328">
        <v>17</v>
      </c>
      <c r="Y328" s="40"/>
      <c r="Z328" s="40"/>
      <c r="AA328" s="40"/>
      <c r="AD328" s="40"/>
    </row>
    <row r="329" spans="1:30">
      <c r="A329">
        <v>2404</v>
      </c>
      <c r="B329" t="s">
        <v>845</v>
      </c>
      <c r="C329">
        <v>52.1</v>
      </c>
      <c r="Y329" s="40"/>
      <c r="Z329" s="40"/>
      <c r="AA329" s="40"/>
      <c r="AD329" s="40"/>
    </row>
    <row r="330" spans="1:30">
      <c r="A330">
        <v>2405</v>
      </c>
      <c r="B330" t="s">
        <v>846</v>
      </c>
      <c r="C330">
        <v>9.6999999999999993</v>
      </c>
      <c r="Y330" s="40"/>
      <c r="Z330" s="40"/>
      <c r="AA330" s="40"/>
      <c r="AD330" s="40"/>
    </row>
    <row r="331" spans="1:30">
      <c r="A331">
        <v>2406</v>
      </c>
      <c r="B331" t="s">
        <v>847</v>
      </c>
      <c r="C331">
        <v>30.9</v>
      </c>
      <c r="Y331" s="40"/>
      <c r="Z331" s="40"/>
      <c r="AA331" s="40"/>
      <c r="AD331" s="40"/>
    </row>
    <row r="332" spans="1:30">
      <c r="A332">
        <v>2408</v>
      </c>
      <c r="B332" t="s">
        <v>848</v>
      </c>
      <c r="C332">
        <v>42.7</v>
      </c>
      <c r="Y332" s="40"/>
      <c r="Z332" s="40"/>
      <c r="AA332" s="40"/>
      <c r="AD332" s="40"/>
    </row>
    <row r="333" spans="1:30">
      <c r="A333">
        <v>2409</v>
      </c>
      <c r="B333" t="s">
        <v>849</v>
      </c>
      <c r="C333">
        <v>8.9499999999999993</v>
      </c>
      <c r="M333" s="40"/>
      <c r="Y333" s="40"/>
      <c r="Z333" s="40"/>
      <c r="AA333" s="40"/>
      <c r="AD333" s="40"/>
    </row>
    <row r="334" spans="1:30">
      <c r="A334">
        <v>2412</v>
      </c>
      <c r="B334" t="s">
        <v>850</v>
      </c>
      <c r="C334">
        <v>106</v>
      </c>
      <c r="O334" s="40"/>
      <c r="Y334" s="40"/>
      <c r="Z334" s="40"/>
      <c r="AA334" s="40"/>
      <c r="AD334" s="40"/>
    </row>
    <row r="335" spans="1:30">
      <c r="A335">
        <v>2413</v>
      </c>
      <c r="B335" t="s">
        <v>851</v>
      </c>
      <c r="C335">
        <v>15.45</v>
      </c>
      <c r="Y335" s="40"/>
      <c r="Z335" s="40"/>
      <c r="AA335" s="40"/>
      <c r="AD335" s="40"/>
    </row>
    <row r="336" spans="1:30">
      <c r="A336">
        <v>2414</v>
      </c>
      <c r="B336" t="s">
        <v>852</v>
      </c>
      <c r="C336">
        <v>16.25</v>
      </c>
      <c r="Y336" s="40"/>
      <c r="Z336" s="40"/>
      <c r="AA336" s="40"/>
      <c r="AD336" s="40"/>
    </row>
    <row r="337" spans="1:30">
      <c r="A337">
        <v>2415</v>
      </c>
      <c r="B337" t="s">
        <v>853</v>
      </c>
      <c r="C337">
        <v>13.5</v>
      </c>
      <c r="Y337" s="40"/>
      <c r="Z337" s="40"/>
      <c r="AA337" s="40"/>
      <c r="AD337" s="40"/>
    </row>
    <row r="338" spans="1:30">
      <c r="A338">
        <v>2417</v>
      </c>
      <c r="B338" t="s">
        <v>854</v>
      </c>
      <c r="C338">
        <v>10.25</v>
      </c>
      <c r="Y338" s="40"/>
      <c r="Z338" s="40"/>
      <c r="AD338" s="40"/>
    </row>
    <row r="339" spans="1:30">
      <c r="A339">
        <v>2419</v>
      </c>
      <c r="B339" t="s">
        <v>855</v>
      </c>
      <c r="C339">
        <v>23.95</v>
      </c>
      <c r="Y339" s="40"/>
      <c r="Z339" s="40"/>
      <c r="AA339" s="40"/>
      <c r="AD339" s="40"/>
    </row>
    <row r="340" spans="1:30">
      <c r="A340">
        <v>2420</v>
      </c>
      <c r="B340" t="s">
        <v>856</v>
      </c>
      <c r="C340">
        <v>47.8</v>
      </c>
      <c r="Y340" s="40"/>
      <c r="Z340" s="40"/>
      <c r="AA340" s="40"/>
      <c r="AD340" s="40"/>
    </row>
    <row r="341" spans="1:30">
      <c r="A341">
        <v>2421</v>
      </c>
      <c r="B341" t="s">
        <v>857</v>
      </c>
      <c r="C341">
        <v>21.35</v>
      </c>
      <c r="Y341" s="40"/>
      <c r="Z341" s="40"/>
      <c r="AA341" s="40"/>
      <c r="AD341" s="40"/>
    </row>
    <row r="342" spans="1:30">
      <c r="A342">
        <v>2423</v>
      </c>
      <c r="B342" t="s">
        <v>858</v>
      </c>
      <c r="C342">
        <v>17.350000000000001</v>
      </c>
      <c r="Y342" s="40"/>
      <c r="Z342" s="40"/>
      <c r="AD342" s="40"/>
    </row>
    <row r="343" spans="1:30">
      <c r="A343">
        <v>2424</v>
      </c>
      <c r="B343" t="s">
        <v>859</v>
      </c>
      <c r="C343">
        <v>27.95</v>
      </c>
      <c r="Y343" s="40"/>
      <c r="Z343" s="40"/>
      <c r="AD343" s="40"/>
    </row>
    <row r="344" spans="1:30">
      <c r="A344">
        <v>2425</v>
      </c>
      <c r="B344" t="s">
        <v>860</v>
      </c>
      <c r="C344">
        <v>21.25</v>
      </c>
      <c r="Y344" s="40"/>
      <c r="Z344" s="40"/>
      <c r="AD344" s="40"/>
    </row>
    <row r="345" spans="1:30">
      <c r="A345">
        <v>2426</v>
      </c>
      <c r="B345" t="s">
        <v>861</v>
      </c>
      <c r="C345">
        <v>15.2</v>
      </c>
      <c r="Y345" s="40"/>
      <c r="Z345" s="40"/>
      <c r="AA345" s="40"/>
      <c r="AD345" s="40"/>
    </row>
    <row r="346" spans="1:30">
      <c r="A346">
        <v>2427</v>
      </c>
      <c r="B346" t="s">
        <v>862</v>
      </c>
      <c r="C346">
        <v>6.39</v>
      </c>
      <c r="Y346" s="40"/>
      <c r="Z346" s="40"/>
      <c r="AD346" s="40"/>
    </row>
    <row r="347" spans="1:30">
      <c r="A347">
        <v>2428</v>
      </c>
      <c r="B347" t="s">
        <v>863</v>
      </c>
      <c r="C347">
        <v>57.2</v>
      </c>
      <c r="Y347" s="40"/>
      <c r="Z347" s="40"/>
      <c r="AA347" s="40"/>
      <c r="AD347" s="40"/>
    </row>
    <row r="348" spans="1:30">
      <c r="A348">
        <v>2429</v>
      </c>
      <c r="B348" t="s">
        <v>864</v>
      </c>
      <c r="C348" t="s">
        <v>1862</v>
      </c>
      <c r="Y348" s="40"/>
      <c r="Z348" s="40"/>
      <c r="AA348" s="40"/>
      <c r="AD348" s="40"/>
    </row>
    <row r="349" spans="1:30">
      <c r="A349">
        <v>2430</v>
      </c>
      <c r="B349" t="s">
        <v>865</v>
      </c>
      <c r="C349">
        <v>23.75</v>
      </c>
      <c r="Y349" s="40"/>
      <c r="Z349" s="40"/>
      <c r="AA349" s="40"/>
      <c r="AD349" s="40"/>
    </row>
    <row r="350" spans="1:30">
      <c r="A350">
        <v>2431</v>
      </c>
      <c r="B350" t="s">
        <v>866</v>
      </c>
      <c r="C350">
        <v>15.05</v>
      </c>
      <c r="Y350" s="40"/>
      <c r="Z350" s="40"/>
      <c r="AD350" s="40"/>
    </row>
    <row r="351" spans="1:30">
      <c r="A351">
        <v>2433</v>
      </c>
      <c r="B351" t="s">
        <v>867</v>
      </c>
      <c r="C351">
        <v>45.55</v>
      </c>
      <c r="Y351" s="40"/>
      <c r="Z351" s="40"/>
      <c r="AD351" s="40"/>
    </row>
    <row r="352" spans="1:30">
      <c r="A352">
        <v>2434</v>
      </c>
      <c r="B352" t="s">
        <v>868</v>
      </c>
      <c r="C352">
        <v>6.45</v>
      </c>
      <c r="Y352" s="40"/>
      <c r="Z352" s="40"/>
      <c r="AD352" s="40"/>
    </row>
    <row r="353" spans="1:30">
      <c r="A353">
        <v>2436</v>
      </c>
      <c r="B353" t="s">
        <v>869</v>
      </c>
      <c r="C353">
        <v>22.1</v>
      </c>
      <c r="Y353" s="40"/>
      <c r="Z353" s="40"/>
      <c r="AA353" s="40"/>
      <c r="AD353" s="40"/>
    </row>
    <row r="354" spans="1:30">
      <c r="A354">
        <v>2437</v>
      </c>
      <c r="B354" t="s">
        <v>870</v>
      </c>
      <c r="C354">
        <v>53.5</v>
      </c>
      <c r="Y354" s="40"/>
      <c r="Z354" s="40"/>
      <c r="AA354" s="40"/>
      <c r="AD354" s="40"/>
    </row>
    <row r="355" spans="1:30">
      <c r="A355">
        <v>2438</v>
      </c>
      <c r="B355" t="s">
        <v>871</v>
      </c>
      <c r="C355">
        <v>15.65</v>
      </c>
      <c r="Y355" s="40"/>
      <c r="Z355" s="40"/>
      <c r="AA355" s="40"/>
      <c r="AD355" s="40"/>
    </row>
    <row r="356" spans="1:30">
      <c r="A356">
        <v>2439</v>
      </c>
      <c r="B356" t="s">
        <v>872</v>
      </c>
      <c r="C356">
        <v>57.5</v>
      </c>
      <c r="Y356" s="40"/>
      <c r="Z356" s="40"/>
      <c r="AA356" s="40"/>
      <c r="AD356" s="40"/>
    </row>
    <row r="357" spans="1:30">
      <c r="A357">
        <v>2440</v>
      </c>
      <c r="B357" t="s">
        <v>873</v>
      </c>
      <c r="C357">
        <v>7.99</v>
      </c>
      <c r="Y357" s="40"/>
      <c r="Z357" s="40"/>
      <c r="AA357" s="40"/>
      <c r="AD357" s="40"/>
    </row>
    <row r="358" spans="1:30">
      <c r="A358">
        <v>2441</v>
      </c>
      <c r="B358" t="s">
        <v>874</v>
      </c>
      <c r="C358">
        <v>37</v>
      </c>
      <c r="Y358" s="40"/>
      <c r="Z358" s="40"/>
      <c r="AA358" s="40"/>
      <c r="AD358" s="40"/>
    </row>
    <row r="359" spans="1:30">
      <c r="A359">
        <v>2442</v>
      </c>
      <c r="B359" t="s">
        <v>875</v>
      </c>
      <c r="C359">
        <v>6.35</v>
      </c>
      <c r="Y359" s="40"/>
      <c r="Z359" s="40"/>
      <c r="AA359" s="40"/>
      <c r="AD359" s="40"/>
    </row>
    <row r="360" spans="1:30">
      <c r="A360">
        <v>2443</v>
      </c>
      <c r="B360" t="s">
        <v>876</v>
      </c>
      <c r="C360">
        <v>7.11</v>
      </c>
      <c r="Y360" s="40"/>
      <c r="Z360" s="40"/>
      <c r="AA360" s="40"/>
      <c r="AD360" s="40"/>
    </row>
    <row r="361" spans="1:30">
      <c r="A361">
        <v>2444</v>
      </c>
      <c r="B361" t="s">
        <v>877</v>
      </c>
      <c r="C361">
        <v>12.45</v>
      </c>
      <c r="Y361" s="40"/>
      <c r="Z361" s="40"/>
      <c r="AA361" s="40"/>
      <c r="AD361" s="40"/>
    </row>
    <row r="362" spans="1:30">
      <c r="A362">
        <v>2448</v>
      </c>
      <c r="B362" t="s">
        <v>878</v>
      </c>
      <c r="C362">
        <v>27.8</v>
      </c>
      <c r="Y362" s="40"/>
      <c r="Z362" s="40"/>
      <c r="AA362" s="40"/>
      <c r="AD362" s="40"/>
    </row>
    <row r="363" spans="1:30">
      <c r="A363">
        <v>2449</v>
      </c>
      <c r="B363" t="s">
        <v>879</v>
      </c>
      <c r="C363">
        <v>27.45</v>
      </c>
      <c r="Y363" s="40"/>
      <c r="Z363" s="40"/>
      <c r="AD363" s="40"/>
    </row>
    <row r="364" spans="1:30">
      <c r="A364">
        <v>2450</v>
      </c>
      <c r="B364" t="s">
        <v>880</v>
      </c>
      <c r="C364">
        <v>44.5</v>
      </c>
      <c r="Y364" s="40"/>
      <c r="Z364" s="40"/>
      <c r="AA364" s="40"/>
      <c r="AD364" s="40"/>
    </row>
    <row r="365" spans="1:30">
      <c r="A365">
        <v>2451</v>
      </c>
      <c r="B365" t="s">
        <v>881</v>
      </c>
      <c r="C365">
        <v>101</v>
      </c>
      <c r="Y365" s="40"/>
      <c r="Z365" s="40"/>
      <c r="AA365" s="40"/>
      <c r="AD365" s="40"/>
    </row>
    <row r="366" spans="1:30">
      <c r="A366">
        <v>2453</v>
      </c>
      <c r="B366" t="s">
        <v>882</v>
      </c>
      <c r="C366">
        <v>10.6</v>
      </c>
      <c r="Y366" s="40"/>
      <c r="Z366" s="40"/>
      <c r="AA366" s="40"/>
      <c r="AD366" s="40"/>
    </row>
    <row r="367" spans="1:30">
      <c r="A367">
        <v>2454</v>
      </c>
      <c r="B367" t="s">
        <v>883</v>
      </c>
      <c r="C367">
        <v>235</v>
      </c>
      <c r="Y367" s="40"/>
      <c r="Z367" s="40"/>
      <c r="AA367" s="40"/>
      <c r="AD367" s="40"/>
    </row>
    <row r="368" spans="1:30">
      <c r="A368">
        <v>2455</v>
      </c>
      <c r="B368" t="s">
        <v>884</v>
      </c>
      <c r="C368">
        <v>50.6</v>
      </c>
      <c r="Y368" s="40"/>
      <c r="Z368" s="40"/>
      <c r="AA368" s="40"/>
      <c r="AD368" s="40"/>
    </row>
    <row r="369" spans="1:30">
      <c r="A369">
        <v>2456</v>
      </c>
      <c r="B369" t="s">
        <v>885</v>
      </c>
      <c r="C369">
        <v>64.7</v>
      </c>
      <c r="Y369" s="40"/>
      <c r="Z369" s="40"/>
      <c r="AA369" s="40"/>
      <c r="AD369" s="40"/>
    </row>
    <row r="370" spans="1:30">
      <c r="A370">
        <v>2457</v>
      </c>
      <c r="B370" t="s">
        <v>886</v>
      </c>
      <c r="C370">
        <v>13.25</v>
      </c>
      <c r="Y370" s="40"/>
      <c r="Z370" s="40"/>
      <c r="AA370" s="40"/>
      <c r="AD370" s="40"/>
    </row>
    <row r="371" spans="1:30">
      <c r="A371">
        <v>2458</v>
      </c>
      <c r="B371" t="s">
        <v>887</v>
      </c>
      <c r="C371">
        <v>42.2</v>
      </c>
      <c r="Y371" s="40"/>
      <c r="Z371" s="40"/>
      <c r="AA371" s="40"/>
      <c r="AD371" s="40"/>
    </row>
    <row r="372" spans="1:30">
      <c r="A372">
        <v>2459</v>
      </c>
      <c r="B372" t="s">
        <v>888</v>
      </c>
      <c r="C372">
        <v>33.4</v>
      </c>
      <c r="Y372" s="40"/>
      <c r="Z372" s="40"/>
      <c r="AA372" s="40"/>
      <c r="AD372" s="40"/>
    </row>
    <row r="373" spans="1:30">
      <c r="A373">
        <v>2460</v>
      </c>
      <c r="B373" t="s">
        <v>889</v>
      </c>
      <c r="C373">
        <v>10</v>
      </c>
      <c r="Y373" s="40"/>
      <c r="Z373" s="40"/>
      <c r="AD373" s="40"/>
    </row>
    <row r="374" spans="1:30">
      <c r="A374">
        <v>2461</v>
      </c>
      <c r="B374" t="s">
        <v>890</v>
      </c>
      <c r="C374">
        <v>15.05</v>
      </c>
      <c r="Y374" s="40"/>
      <c r="Z374" s="40"/>
      <c r="AD374" s="40"/>
    </row>
    <row r="375" spans="1:30">
      <c r="A375">
        <v>2462</v>
      </c>
      <c r="B375" t="s">
        <v>891</v>
      </c>
      <c r="C375">
        <v>17.75</v>
      </c>
      <c r="Y375" s="40"/>
      <c r="Z375" s="40"/>
      <c r="AA375" s="40"/>
      <c r="AD375" s="40"/>
    </row>
    <row r="376" spans="1:30">
      <c r="A376">
        <v>2464</v>
      </c>
      <c r="B376" t="s">
        <v>892</v>
      </c>
      <c r="C376">
        <v>44</v>
      </c>
      <c r="Y376" s="40"/>
      <c r="Z376" s="40"/>
      <c r="AA376" s="40"/>
      <c r="AD376" s="40"/>
    </row>
    <row r="377" spans="1:30">
      <c r="A377">
        <v>2465</v>
      </c>
      <c r="B377" t="s">
        <v>893</v>
      </c>
      <c r="C377">
        <v>10.35</v>
      </c>
      <c r="Y377" s="40"/>
      <c r="Z377" s="40"/>
      <c r="AA377" s="40"/>
      <c r="AD377" s="40"/>
    </row>
    <row r="378" spans="1:30">
      <c r="A378">
        <v>2466</v>
      </c>
      <c r="B378" t="s">
        <v>894</v>
      </c>
      <c r="C378">
        <v>34.35</v>
      </c>
      <c r="Y378" s="40"/>
      <c r="Z378" s="40"/>
      <c r="AA378" s="40"/>
      <c r="AD378" s="40"/>
    </row>
    <row r="379" spans="1:30">
      <c r="A379">
        <v>2467</v>
      </c>
      <c r="B379" t="s">
        <v>895</v>
      </c>
      <c r="C379">
        <v>15.1</v>
      </c>
      <c r="Y379" s="40"/>
      <c r="Z379" s="40"/>
      <c r="AA379" s="40"/>
      <c r="AD379" s="40"/>
    </row>
    <row r="380" spans="1:30">
      <c r="A380">
        <v>2468</v>
      </c>
      <c r="B380" t="s">
        <v>896</v>
      </c>
      <c r="C380">
        <v>10.4</v>
      </c>
      <c r="Y380" s="40"/>
      <c r="Z380" s="40"/>
      <c r="AA380" s="40"/>
      <c r="AD380" s="40"/>
    </row>
    <row r="381" spans="1:30">
      <c r="A381">
        <v>2471</v>
      </c>
      <c r="B381" t="s">
        <v>897</v>
      </c>
      <c r="C381">
        <v>13.45</v>
      </c>
      <c r="Y381" s="40"/>
      <c r="Z381" s="40"/>
      <c r="AA381" s="40"/>
      <c r="AD381" s="40"/>
    </row>
    <row r="382" spans="1:30">
      <c r="A382">
        <v>2472</v>
      </c>
      <c r="B382" t="s">
        <v>1830</v>
      </c>
      <c r="C382">
        <v>38</v>
      </c>
      <c r="Y382" s="40"/>
      <c r="Z382" s="40"/>
      <c r="AA382" s="40"/>
      <c r="AD382" s="40"/>
    </row>
    <row r="383" spans="1:30">
      <c r="A383">
        <v>2474</v>
      </c>
      <c r="B383" t="s">
        <v>898</v>
      </c>
      <c r="C383">
        <v>272.5</v>
      </c>
      <c r="Y383" s="40"/>
      <c r="Z383" s="40"/>
      <c r="AA383" s="40"/>
      <c r="AD383" s="40"/>
    </row>
    <row r="384" spans="1:30">
      <c r="A384">
        <v>2475</v>
      </c>
      <c r="B384" t="s">
        <v>899</v>
      </c>
      <c r="C384">
        <v>0.71</v>
      </c>
      <c r="Y384" s="40"/>
      <c r="Z384" s="40"/>
      <c r="AA384" s="40"/>
      <c r="AD384" s="40"/>
    </row>
    <row r="385" spans="1:30">
      <c r="A385">
        <v>2476</v>
      </c>
      <c r="B385" t="s">
        <v>900</v>
      </c>
      <c r="C385">
        <v>24.3</v>
      </c>
      <c r="Y385" s="40"/>
      <c r="Z385" s="40"/>
      <c r="AA385" s="40"/>
      <c r="AD385" s="40"/>
    </row>
    <row r="386" spans="1:30">
      <c r="A386">
        <v>2477</v>
      </c>
      <c r="B386" t="s">
        <v>901</v>
      </c>
      <c r="C386">
        <v>12.7</v>
      </c>
      <c r="Y386" s="40"/>
      <c r="Z386" s="40"/>
      <c r="AA386" s="40"/>
      <c r="AD386" s="40"/>
    </row>
    <row r="387" spans="1:30">
      <c r="A387">
        <v>2478</v>
      </c>
      <c r="B387" t="s">
        <v>902</v>
      </c>
      <c r="C387">
        <v>15.85</v>
      </c>
      <c r="Y387" s="40"/>
      <c r="Z387" s="40"/>
      <c r="AA387" s="40"/>
      <c r="AD387" s="40"/>
    </row>
    <row r="388" spans="1:30">
      <c r="A388">
        <v>2480</v>
      </c>
      <c r="B388" t="s">
        <v>903</v>
      </c>
      <c r="C388">
        <v>26.9</v>
      </c>
      <c r="Y388" s="40"/>
      <c r="Z388" s="40"/>
      <c r="AA388" s="40"/>
      <c r="AD388" s="40"/>
    </row>
    <row r="389" spans="1:30">
      <c r="A389">
        <v>2481</v>
      </c>
      <c r="B389" t="s">
        <v>904</v>
      </c>
      <c r="C389">
        <v>17.25</v>
      </c>
      <c r="Y389" s="40"/>
      <c r="Z389" s="40"/>
      <c r="AA389" s="40"/>
      <c r="AD389" s="40"/>
    </row>
    <row r="390" spans="1:30">
      <c r="A390">
        <v>2482</v>
      </c>
      <c r="B390" t="s">
        <v>905</v>
      </c>
      <c r="C390">
        <v>13.15</v>
      </c>
      <c r="Y390" s="40"/>
      <c r="Z390" s="40"/>
      <c r="AA390" s="40"/>
      <c r="AD390" s="40"/>
    </row>
    <row r="391" spans="1:30">
      <c r="A391">
        <v>2483</v>
      </c>
      <c r="B391" t="s">
        <v>906</v>
      </c>
      <c r="C391">
        <v>19.2</v>
      </c>
      <c r="Y391" s="40"/>
      <c r="Z391" s="40"/>
      <c r="AA391" s="40"/>
      <c r="AD391" s="40"/>
    </row>
    <row r="392" spans="1:30">
      <c r="A392">
        <v>2484</v>
      </c>
      <c r="B392" t="s">
        <v>907</v>
      </c>
      <c r="C392">
        <v>20.9</v>
      </c>
      <c r="Y392" s="40"/>
      <c r="Z392" s="40"/>
      <c r="AA392" s="40"/>
      <c r="AD392" s="40"/>
    </row>
    <row r="393" spans="1:30">
      <c r="A393">
        <v>2485</v>
      </c>
      <c r="B393" t="s">
        <v>908</v>
      </c>
      <c r="C393">
        <v>61</v>
      </c>
      <c r="Y393" s="40"/>
      <c r="Z393" s="40"/>
      <c r="AA393" s="40"/>
      <c r="AD393" s="40"/>
    </row>
    <row r="394" spans="1:30">
      <c r="A394">
        <v>2486</v>
      </c>
      <c r="B394" t="s">
        <v>909</v>
      </c>
      <c r="C394">
        <v>10.25</v>
      </c>
      <c r="Y394" s="40"/>
      <c r="Z394" s="40"/>
      <c r="AA394" s="40"/>
      <c r="AD394" s="40"/>
    </row>
    <row r="395" spans="1:30">
      <c r="A395">
        <v>2488</v>
      </c>
      <c r="B395" t="s">
        <v>910</v>
      </c>
      <c r="C395">
        <v>33</v>
      </c>
      <c r="Y395" s="40"/>
      <c r="Z395" s="40"/>
      <c r="AA395" s="40"/>
      <c r="AD395" s="40"/>
    </row>
    <row r="396" spans="1:30">
      <c r="A396">
        <v>2489</v>
      </c>
      <c r="B396" t="s">
        <v>911</v>
      </c>
      <c r="C396">
        <v>16.399999999999999</v>
      </c>
      <c r="Y396" s="40"/>
      <c r="Z396" s="40"/>
      <c r="AA396" s="40"/>
      <c r="AD396" s="40"/>
    </row>
    <row r="397" spans="1:30">
      <c r="A397">
        <v>2491</v>
      </c>
      <c r="B397" t="s">
        <v>912</v>
      </c>
      <c r="C397">
        <v>7</v>
      </c>
      <c r="Y397" s="40"/>
      <c r="Z397" s="40"/>
      <c r="AA397" s="40"/>
      <c r="AD397" s="40"/>
    </row>
    <row r="398" spans="1:30">
      <c r="A398">
        <v>2492</v>
      </c>
      <c r="B398" t="s">
        <v>913</v>
      </c>
      <c r="C398">
        <v>22.75</v>
      </c>
      <c r="Y398" s="40"/>
      <c r="Z398" s="40"/>
      <c r="AA398" s="40"/>
      <c r="AD398" s="40"/>
    </row>
    <row r="399" spans="1:30">
      <c r="A399">
        <v>2493</v>
      </c>
      <c r="B399" t="s">
        <v>914</v>
      </c>
      <c r="C399">
        <v>23.8</v>
      </c>
      <c r="Y399" s="40"/>
      <c r="Z399" s="40"/>
      <c r="AA399" s="40"/>
      <c r="AD399" s="40"/>
    </row>
    <row r="400" spans="1:30">
      <c r="A400">
        <v>2495</v>
      </c>
      <c r="B400" t="s">
        <v>915</v>
      </c>
      <c r="C400">
        <v>17.05</v>
      </c>
      <c r="Y400" s="40"/>
      <c r="Z400" s="40"/>
      <c r="AA400" s="40"/>
      <c r="AD400" s="40"/>
    </row>
    <row r="401" spans="1:30">
      <c r="A401">
        <v>2496</v>
      </c>
      <c r="B401" t="s">
        <v>916</v>
      </c>
      <c r="C401">
        <v>16.2</v>
      </c>
      <c r="Y401" s="40"/>
      <c r="Z401" s="40"/>
      <c r="AD401" s="40"/>
    </row>
    <row r="402" spans="1:30">
      <c r="A402">
        <v>2497</v>
      </c>
      <c r="B402" t="s">
        <v>917</v>
      </c>
      <c r="C402">
        <v>38.049999999999997</v>
      </c>
      <c r="Y402" s="40"/>
      <c r="Z402" s="40"/>
      <c r="AA402" s="40"/>
      <c r="AD402" s="40"/>
    </row>
    <row r="403" spans="1:30">
      <c r="A403">
        <v>2498</v>
      </c>
      <c r="B403" t="s">
        <v>918</v>
      </c>
      <c r="C403">
        <v>99</v>
      </c>
      <c r="M403" s="40"/>
      <c r="Y403" s="40"/>
      <c r="Z403" s="40"/>
      <c r="AD403" s="40"/>
    </row>
    <row r="404" spans="1:30">
      <c r="A404">
        <v>2499</v>
      </c>
      <c r="B404" t="s">
        <v>919</v>
      </c>
      <c r="C404">
        <v>18.850000000000001</v>
      </c>
      <c r="Y404" s="40"/>
      <c r="Z404" s="40"/>
      <c r="AA404" s="40"/>
      <c r="AD404" s="40"/>
    </row>
    <row r="405" spans="1:30">
      <c r="A405">
        <v>2501</v>
      </c>
      <c r="B405" t="s">
        <v>920</v>
      </c>
      <c r="C405">
        <v>14.4</v>
      </c>
      <c r="Y405" s="40"/>
      <c r="Z405" s="40"/>
      <c r="AA405" s="40"/>
      <c r="AD405" s="40"/>
    </row>
    <row r="406" spans="1:30">
      <c r="A406">
        <v>2504</v>
      </c>
      <c r="B406" t="s">
        <v>921</v>
      </c>
      <c r="C406">
        <v>9.23</v>
      </c>
      <c r="Y406" s="40"/>
      <c r="Z406" s="40"/>
      <c r="AA406" s="40"/>
      <c r="AD406" s="40"/>
    </row>
    <row r="407" spans="1:30">
      <c r="A407">
        <v>2505</v>
      </c>
      <c r="B407" t="s">
        <v>922</v>
      </c>
      <c r="C407">
        <v>11.2</v>
      </c>
      <c r="Y407" s="40"/>
      <c r="Z407" s="40"/>
      <c r="AA407" s="40"/>
      <c r="AD407" s="40"/>
    </row>
    <row r="408" spans="1:30">
      <c r="A408">
        <v>2506</v>
      </c>
      <c r="B408" t="s">
        <v>923</v>
      </c>
      <c r="C408">
        <v>14.95</v>
      </c>
      <c r="Y408" s="40"/>
      <c r="Z408" s="40"/>
      <c r="AA408" s="40"/>
      <c r="AD408" s="40"/>
    </row>
    <row r="409" spans="1:30">
      <c r="A409">
        <v>2509</v>
      </c>
      <c r="B409" t="s">
        <v>924</v>
      </c>
      <c r="C409">
        <v>24</v>
      </c>
      <c r="Y409" s="40"/>
      <c r="Z409" s="40"/>
      <c r="AA409" s="40"/>
      <c r="AD409" s="40"/>
    </row>
    <row r="410" spans="1:30">
      <c r="A410">
        <v>2511</v>
      </c>
      <c r="B410" t="s">
        <v>925</v>
      </c>
      <c r="C410">
        <v>10.15</v>
      </c>
      <c r="Y410" s="40"/>
      <c r="Z410" s="40"/>
      <c r="AA410" s="40"/>
      <c r="AD410" s="40"/>
    </row>
    <row r="411" spans="1:30">
      <c r="A411">
        <v>2514</v>
      </c>
      <c r="B411" t="s">
        <v>926</v>
      </c>
      <c r="C411">
        <v>19.2</v>
      </c>
      <c r="Y411" s="40"/>
      <c r="Z411" s="40"/>
      <c r="AA411" s="40"/>
      <c r="AD411" s="40"/>
    </row>
    <row r="412" spans="1:30">
      <c r="A412">
        <v>2515</v>
      </c>
      <c r="B412" t="s">
        <v>927</v>
      </c>
      <c r="C412">
        <v>6.65</v>
      </c>
      <c r="Y412" s="40"/>
      <c r="Z412" s="40"/>
      <c r="AA412" s="40"/>
      <c r="AD412" s="40"/>
    </row>
    <row r="413" spans="1:30">
      <c r="A413">
        <v>2516</v>
      </c>
      <c r="B413" t="s">
        <v>928</v>
      </c>
      <c r="C413">
        <v>6.64</v>
      </c>
      <c r="Y413" s="40"/>
      <c r="Z413" s="40"/>
      <c r="AA413" s="40"/>
      <c r="AD413" s="40"/>
    </row>
    <row r="414" spans="1:30">
      <c r="A414">
        <v>2520</v>
      </c>
      <c r="B414" t="s">
        <v>929</v>
      </c>
      <c r="C414">
        <v>17.399999999999999</v>
      </c>
      <c r="Y414" s="40"/>
      <c r="Z414" s="40"/>
      <c r="AA414" s="40"/>
      <c r="AD414" s="40"/>
    </row>
    <row r="415" spans="1:30">
      <c r="A415">
        <v>2524</v>
      </c>
      <c r="B415" t="s">
        <v>930</v>
      </c>
      <c r="C415">
        <v>18.55</v>
      </c>
      <c r="Y415" s="40"/>
      <c r="Z415" s="40"/>
      <c r="AA415" s="40"/>
      <c r="AD415" s="40"/>
    </row>
    <row r="416" spans="1:30">
      <c r="A416">
        <v>2527</v>
      </c>
      <c r="B416" t="s">
        <v>931</v>
      </c>
      <c r="C416">
        <v>17.600000000000001</v>
      </c>
      <c r="Y416" s="40"/>
      <c r="Z416" s="40"/>
      <c r="AA416" s="40"/>
      <c r="AD416" s="40"/>
    </row>
    <row r="417" spans="1:30">
      <c r="A417">
        <v>2528</v>
      </c>
      <c r="B417" t="s">
        <v>932</v>
      </c>
      <c r="C417">
        <v>6.66</v>
      </c>
      <c r="Y417" s="40"/>
      <c r="Z417" s="40"/>
      <c r="AA417" s="40"/>
      <c r="AD417" s="40"/>
    </row>
    <row r="418" spans="1:30">
      <c r="A418">
        <v>2530</v>
      </c>
      <c r="B418" t="s">
        <v>933</v>
      </c>
      <c r="C418">
        <v>18.75</v>
      </c>
      <c r="Y418" s="40"/>
      <c r="Z418" s="40"/>
      <c r="AA418" s="40"/>
      <c r="AD418" s="40"/>
    </row>
    <row r="419" spans="1:30">
      <c r="A419">
        <v>2534</v>
      </c>
      <c r="B419" t="s">
        <v>934</v>
      </c>
      <c r="C419">
        <v>15.7</v>
      </c>
      <c r="Y419" s="40"/>
      <c r="Z419" s="40"/>
      <c r="AA419" s="40"/>
      <c r="AD419" s="40"/>
    </row>
    <row r="420" spans="1:30">
      <c r="A420">
        <v>2535</v>
      </c>
      <c r="B420" t="s">
        <v>935</v>
      </c>
      <c r="C420">
        <v>16.600000000000001</v>
      </c>
      <c r="Y420" s="40"/>
      <c r="Z420" s="40"/>
      <c r="AA420" s="40"/>
      <c r="AD420" s="40"/>
    </row>
    <row r="421" spans="1:30">
      <c r="A421">
        <v>2536</v>
      </c>
      <c r="B421" t="s">
        <v>936</v>
      </c>
      <c r="C421">
        <v>23.6</v>
      </c>
      <c r="Y421" s="40"/>
      <c r="Z421" s="40"/>
      <c r="AA421" s="40"/>
      <c r="AD421" s="40"/>
    </row>
    <row r="422" spans="1:30">
      <c r="A422">
        <v>2537</v>
      </c>
      <c r="B422" t="s">
        <v>937</v>
      </c>
      <c r="C422">
        <v>9.5</v>
      </c>
      <c r="Y422" s="40"/>
      <c r="Z422" s="40"/>
      <c r="AA422" s="40"/>
      <c r="AD422" s="40"/>
    </row>
    <row r="423" spans="1:30">
      <c r="A423">
        <v>2538</v>
      </c>
      <c r="B423" t="s">
        <v>938</v>
      </c>
      <c r="C423">
        <v>16.350000000000001</v>
      </c>
      <c r="Y423" s="40"/>
      <c r="Z423" s="40"/>
      <c r="AA423" s="40"/>
      <c r="AD423" s="40"/>
    </row>
    <row r="424" spans="1:30">
      <c r="A424">
        <v>2539</v>
      </c>
      <c r="B424" t="s">
        <v>939</v>
      </c>
      <c r="C424">
        <v>25</v>
      </c>
      <c r="Y424" s="40"/>
      <c r="Z424" s="40"/>
      <c r="AA424" s="40"/>
      <c r="AD424" s="40"/>
    </row>
    <row r="425" spans="1:30">
      <c r="A425">
        <v>2540</v>
      </c>
      <c r="B425" t="s">
        <v>940</v>
      </c>
      <c r="C425">
        <v>28.5</v>
      </c>
      <c r="Y425" s="40"/>
      <c r="Z425" s="40"/>
      <c r="AA425" s="40"/>
      <c r="AD425" s="40"/>
    </row>
    <row r="426" spans="1:30">
      <c r="A426">
        <v>2542</v>
      </c>
      <c r="B426" t="s">
        <v>941</v>
      </c>
      <c r="C426">
        <v>39.6</v>
      </c>
      <c r="Y426" s="40"/>
      <c r="Z426" s="40"/>
      <c r="AD426" s="40"/>
    </row>
    <row r="427" spans="1:30">
      <c r="A427">
        <v>2543</v>
      </c>
      <c r="B427" t="s">
        <v>942</v>
      </c>
      <c r="C427">
        <v>8.3000000000000007</v>
      </c>
      <c r="Y427" s="40"/>
      <c r="Z427" s="40"/>
      <c r="AA427" s="40"/>
      <c r="AD427" s="40"/>
    </row>
    <row r="428" spans="1:30">
      <c r="A428">
        <v>2545</v>
      </c>
      <c r="B428" t="s">
        <v>943</v>
      </c>
      <c r="C428">
        <v>32.299999999999997</v>
      </c>
      <c r="Y428" s="40"/>
      <c r="Z428" s="40"/>
      <c r="AA428" s="40"/>
      <c r="AD428" s="40"/>
    </row>
    <row r="429" spans="1:30">
      <c r="A429">
        <v>2546</v>
      </c>
      <c r="B429" t="s">
        <v>944</v>
      </c>
      <c r="C429">
        <v>16.600000000000001</v>
      </c>
      <c r="Y429" s="40"/>
      <c r="Z429" s="40"/>
      <c r="AA429" s="40"/>
      <c r="AD429" s="40"/>
    </row>
    <row r="430" spans="1:30">
      <c r="A430">
        <v>2547</v>
      </c>
      <c r="B430" t="s">
        <v>945</v>
      </c>
      <c r="C430">
        <v>11.2</v>
      </c>
      <c r="Y430" s="40"/>
      <c r="Z430" s="40"/>
      <c r="AA430" s="40"/>
      <c r="AD430" s="40"/>
    </row>
    <row r="431" spans="1:30">
      <c r="A431">
        <v>2548</v>
      </c>
      <c r="B431" t="s">
        <v>946</v>
      </c>
      <c r="C431">
        <v>58.8</v>
      </c>
      <c r="Y431" s="40"/>
      <c r="Z431" s="40"/>
      <c r="AD431" s="40"/>
    </row>
    <row r="432" spans="1:30">
      <c r="A432">
        <v>2597</v>
      </c>
      <c r="B432" t="s">
        <v>947</v>
      </c>
      <c r="C432">
        <v>48.3</v>
      </c>
      <c r="Y432" s="40"/>
      <c r="Z432" s="40"/>
      <c r="AA432" s="40"/>
      <c r="AD432" s="40"/>
    </row>
    <row r="433" spans="1:30">
      <c r="A433">
        <v>2601</v>
      </c>
      <c r="B433" t="s">
        <v>948</v>
      </c>
      <c r="C433">
        <v>9.34</v>
      </c>
      <c r="Y433" s="40"/>
      <c r="Z433" s="40"/>
      <c r="AA433" s="40"/>
      <c r="AD433" s="40"/>
    </row>
    <row r="434" spans="1:30">
      <c r="A434">
        <v>2603</v>
      </c>
      <c r="B434" t="s">
        <v>949</v>
      </c>
      <c r="C434">
        <v>13.35</v>
      </c>
      <c r="Y434" s="40"/>
      <c r="Z434" s="40"/>
      <c r="AD434" s="40"/>
    </row>
    <row r="435" spans="1:30">
      <c r="A435">
        <v>2605</v>
      </c>
      <c r="B435" t="s">
        <v>950</v>
      </c>
      <c r="C435">
        <v>22.25</v>
      </c>
      <c r="Y435" s="40"/>
      <c r="Z435" s="40"/>
      <c r="AD435" s="40"/>
    </row>
    <row r="436" spans="1:30">
      <c r="A436">
        <v>2606</v>
      </c>
      <c r="B436" t="s">
        <v>951</v>
      </c>
      <c r="C436">
        <v>30</v>
      </c>
      <c r="Y436" s="40"/>
      <c r="Z436" s="40"/>
      <c r="AA436" s="40"/>
      <c r="AD436" s="40"/>
    </row>
    <row r="437" spans="1:30">
      <c r="A437">
        <v>2607</v>
      </c>
      <c r="B437" t="s">
        <v>952</v>
      </c>
      <c r="C437">
        <v>13.7</v>
      </c>
      <c r="Y437" s="40"/>
      <c r="Z437" s="40"/>
      <c r="AA437" s="40"/>
      <c r="AD437" s="40"/>
    </row>
    <row r="438" spans="1:30">
      <c r="A438">
        <v>2608</v>
      </c>
      <c r="B438" t="s">
        <v>953</v>
      </c>
      <c r="C438">
        <v>38.700000000000003</v>
      </c>
      <c r="Y438" s="40"/>
      <c r="Z438" s="40"/>
      <c r="AA438" s="40"/>
      <c r="AD438" s="40"/>
    </row>
    <row r="439" spans="1:30">
      <c r="A439">
        <v>2609</v>
      </c>
      <c r="B439" t="s">
        <v>954</v>
      </c>
      <c r="C439">
        <v>9.19</v>
      </c>
      <c r="Y439" s="40"/>
      <c r="Z439" s="40"/>
      <c r="AD439" s="40"/>
    </row>
    <row r="440" spans="1:30">
      <c r="A440">
        <v>2610</v>
      </c>
      <c r="B440" t="s">
        <v>955</v>
      </c>
      <c r="C440">
        <v>11.65</v>
      </c>
      <c r="O440" s="40"/>
      <c r="Y440" s="40"/>
      <c r="Z440" s="40"/>
      <c r="AD440" s="40"/>
    </row>
    <row r="441" spans="1:30">
      <c r="A441">
        <v>2611</v>
      </c>
      <c r="B441" t="s">
        <v>956</v>
      </c>
      <c r="C441">
        <v>7.74</v>
      </c>
      <c r="Y441" s="40"/>
      <c r="Z441" s="40"/>
      <c r="AA441" s="40"/>
      <c r="AD441" s="40"/>
    </row>
    <row r="442" spans="1:30">
      <c r="A442">
        <v>2612</v>
      </c>
      <c r="B442" t="s">
        <v>957</v>
      </c>
      <c r="C442">
        <v>27.45</v>
      </c>
      <c r="Y442" s="40"/>
      <c r="Z442" s="40"/>
      <c r="AA442" s="40"/>
      <c r="AD442" s="40"/>
    </row>
    <row r="443" spans="1:30">
      <c r="A443">
        <v>2613</v>
      </c>
      <c r="B443" t="s">
        <v>958</v>
      </c>
      <c r="C443">
        <v>13.3</v>
      </c>
      <c r="Y443" s="40"/>
      <c r="Z443" s="40"/>
      <c r="AD443" s="40"/>
    </row>
    <row r="444" spans="1:30">
      <c r="A444">
        <v>2614</v>
      </c>
      <c r="B444" t="s">
        <v>959</v>
      </c>
      <c r="C444">
        <v>7.01</v>
      </c>
      <c r="Y444" s="40"/>
      <c r="Z444" s="40"/>
      <c r="AD444" s="40"/>
    </row>
    <row r="445" spans="1:30">
      <c r="A445">
        <v>2615</v>
      </c>
      <c r="B445" t="s">
        <v>960</v>
      </c>
      <c r="C445">
        <v>20</v>
      </c>
      <c r="Y445" s="40"/>
      <c r="Z445" s="40"/>
      <c r="AA445" s="40"/>
      <c r="AD445" s="40"/>
    </row>
    <row r="446" spans="1:30">
      <c r="A446">
        <v>2616</v>
      </c>
      <c r="B446" t="s">
        <v>961</v>
      </c>
      <c r="C446">
        <v>23.85</v>
      </c>
      <c r="Y446" s="40"/>
      <c r="Z446" s="40"/>
      <c r="AD446" s="40"/>
    </row>
    <row r="447" spans="1:30">
      <c r="A447">
        <v>2617</v>
      </c>
      <c r="B447" t="s">
        <v>962</v>
      </c>
      <c r="C447">
        <v>14.75</v>
      </c>
      <c r="Y447" s="40"/>
      <c r="Z447" s="40"/>
      <c r="AD447" s="40"/>
    </row>
    <row r="448" spans="1:30">
      <c r="A448">
        <v>2618</v>
      </c>
      <c r="B448" t="s">
        <v>963</v>
      </c>
      <c r="C448">
        <v>18</v>
      </c>
      <c r="Y448" s="40"/>
      <c r="Z448" s="40"/>
      <c r="AA448" s="40"/>
      <c r="AD448" s="40"/>
    </row>
    <row r="449" spans="1:30">
      <c r="A449">
        <v>2634</v>
      </c>
      <c r="B449" t="s">
        <v>964</v>
      </c>
      <c r="C449">
        <v>38.9</v>
      </c>
      <c r="Y449" s="40"/>
      <c r="Z449" s="40"/>
      <c r="AD449" s="40"/>
    </row>
    <row r="450" spans="1:30">
      <c r="A450">
        <v>2637</v>
      </c>
      <c r="B450" t="s">
        <v>965</v>
      </c>
      <c r="C450">
        <v>37.35</v>
      </c>
      <c r="Y450" s="40"/>
      <c r="Z450" s="40"/>
      <c r="AA450" s="40"/>
      <c r="AD450" s="40"/>
    </row>
    <row r="451" spans="1:30">
      <c r="A451">
        <v>2642</v>
      </c>
      <c r="B451" t="s">
        <v>966</v>
      </c>
      <c r="C451">
        <v>29.1</v>
      </c>
      <c r="Y451" s="40"/>
      <c r="Z451" s="40"/>
      <c r="AD451" s="40"/>
    </row>
    <row r="452" spans="1:30">
      <c r="A452">
        <v>2701</v>
      </c>
      <c r="B452" t="s">
        <v>967</v>
      </c>
      <c r="C452">
        <v>14.7</v>
      </c>
      <c r="Y452" s="40"/>
      <c r="Z452" s="40"/>
      <c r="AA452" s="40"/>
      <c r="AD452" s="40"/>
    </row>
    <row r="453" spans="1:30">
      <c r="A453">
        <v>2702</v>
      </c>
      <c r="B453" t="s">
        <v>968</v>
      </c>
      <c r="C453">
        <v>17.100000000000001</v>
      </c>
      <c r="Y453" s="40"/>
      <c r="Z453" s="40"/>
      <c r="AD453" s="40"/>
    </row>
    <row r="454" spans="1:30">
      <c r="A454">
        <v>2704</v>
      </c>
      <c r="B454" t="s">
        <v>969</v>
      </c>
      <c r="C454">
        <v>26.6</v>
      </c>
      <c r="Y454" s="40"/>
      <c r="Z454" s="40"/>
      <c r="AD454" s="40"/>
    </row>
    <row r="455" spans="1:30">
      <c r="A455">
        <v>2705</v>
      </c>
      <c r="B455" t="s">
        <v>970</v>
      </c>
      <c r="C455">
        <v>10.5</v>
      </c>
      <c r="Y455" s="40"/>
      <c r="Z455" s="40"/>
      <c r="AA455" s="40"/>
      <c r="AD455" s="40"/>
    </row>
    <row r="456" spans="1:30">
      <c r="A456">
        <v>2706</v>
      </c>
      <c r="B456" t="s">
        <v>971</v>
      </c>
      <c r="C456">
        <v>18.899999999999999</v>
      </c>
      <c r="Y456" s="40"/>
      <c r="Z456" s="40"/>
      <c r="AA456" s="40"/>
      <c r="AD456" s="40"/>
    </row>
    <row r="457" spans="1:30">
      <c r="A457">
        <v>2707</v>
      </c>
      <c r="B457" t="s">
        <v>972</v>
      </c>
      <c r="C457">
        <v>212.5</v>
      </c>
      <c r="Y457" s="40"/>
      <c r="Z457" s="40"/>
      <c r="AA457" s="40"/>
      <c r="AD457" s="40"/>
    </row>
    <row r="458" spans="1:30">
      <c r="A458">
        <v>2712</v>
      </c>
      <c r="B458" t="s">
        <v>973</v>
      </c>
      <c r="C458">
        <v>25.5</v>
      </c>
      <c r="Y458" s="40"/>
      <c r="Z458" s="40"/>
      <c r="AA458" s="40"/>
      <c r="AD458" s="40"/>
    </row>
    <row r="459" spans="1:30">
      <c r="A459">
        <v>2722</v>
      </c>
      <c r="B459" t="s">
        <v>974</v>
      </c>
      <c r="C459">
        <v>44.85</v>
      </c>
      <c r="Y459" s="40"/>
      <c r="Z459" s="40"/>
      <c r="AA459" s="40"/>
      <c r="AD459" s="40"/>
    </row>
    <row r="460" spans="1:30">
      <c r="A460">
        <v>2723</v>
      </c>
      <c r="B460" t="s">
        <v>975</v>
      </c>
      <c r="C460">
        <v>205.5</v>
      </c>
      <c r="Y460" s="40"/>
      <c r="Z460" s="40"/>
      <c r="AD460" s="40"/>
    </row>
    <row r="461" spans="1:30">
      <c r="A461">
        <v>2727</v>
      </c>
      <c r="B461" t="s">
        <v>976</v>
      </c>
      <c r="C461">
        <v>141.5</v>
      </c>
      <c r="Y461" s="40"/>
      <c r="Z461" s="40"/>
      <c r="AA461" s="40"/>
      <c r="AD461" s="40"/>
    </row>
    <row r="462" spans="1:30">
      <c r="A462">
        <v>2731</v>
      </c>
      <c r="B462" t="s">
        <v>977</v>
      </c>
      <c r="C462">
        <v>114.5</v>
      </c>
      <c r="Y462" s="40"/>
      <c r="Z462" s="40"/>
      <c r="AD462" s="40"/>
    </row>
    <row r="463" spans="1:30">
      <c r="A463">
        <v>2801</v>
      </c>
      <c r="B463" t="s">
        <v>978</v>
      </c>
      <c r="C463">
        <v>16.55</v>
      </c>
      <c r="O463" s="40"/>
      <c r="Y463" s="40"/>
      <c r="Z463" s="40"/>
      <c r="AA463" s="40"/>
      <c r="AD463" s="40"/>
    </row>
    <row r="464" spans="1:30">
      <c r="A464">
        <v>2809</v>
      </c>
      <c r="B464" t="s">
        <v>979</v>
      </c>
      <c r="C464">
        <v>21.8</v>
      </c>
      <c r="Y464" s="40"/>
      <c r="Z464" s="40"/>
      <c r="AA464" s="40"/>
      <c r="AD464" s="40"/>
    </row>
    <row r="465" spans="1:30">
      <c r="A465">
        <v>2812</v>
      </c>
      <c r="B465" t="s">
        <v>980</v>
      </c>
      <c r="C465">
        <v>9.34</v>
      </c>
      <c r="Y465" s="40"/>
      <c r="Z465" s="40"/>
      <c r="AA465" s="40"/>
      <c r="AD465" s="40"/>
    </row>
    <row r="466" spans="1:30">
      <c r="A466">
        <v>2816</v>
      </c>
      <c r="B466" t="s">
        <v>981</v>
      </c>
      <c r="C466">
        <v>15.6</v>
      </c>
      <c r="Y466" s="40"/>
      <c r="Z466" s="40"/>
      <c r="AA466" s="40"/>
      <c r="AD466" s="40"/>
    </row>
    <row r="467" spans="1:30">
      <c r="A467">
        <v>2820</v>
      </c>
      <c r="B467" t="s">
        <v>982</v>
      </c>
      <c r="C467">
        <v>12.2</v>
      </c>
      <c r="Y467" s="40"/>
      <c r="Z467" s="40"/>
      <c r="AD467" s="40"/>
    </row>
    <row r="468" spans="1:30">
      <c r="A468">
        <v>2823</v>
      </c>
      <c r="B468" t="s">
        <v>983</v>
      </c>
      <c r="C468">
        <v>24.8</v>
      </c>
      <c r="Y468" s="40"/>
      <c r="Z468" s="40"/>
      <c r="AA468" s="40"/>
      <c r="AD468" s="40"/>
    </row>
    <row r="469" spans="1:30">
      <c r="A469">
        <v>2832</v>
      </c>
      <c r="B469" t="s">
        <v>984</v>
      </c>
      <c r="C469">
        <v>21.25</v>
      </c>
      <c r="Y469" s="40"/>
      <c r="Z469" s="40"/>
      <c r="AA469" s="40"/>
      <c r="AD469" s="40"/>
    </row>
    <row r="470" spans="1:30">
      <c r="A470">
        <v>2834</v>
      </c>
      <c r="B470" t="s">
        <v>985</v>
      </c>
      <c r="C470">
        <v>8.4600000000000009</v>
      </c>
      <c r="Y470" s="40"/>
      <c r="Z470" s="40"/>
      <c r="AA470" s="40"/>
      <c r="AD470" s="40"/>
    </row>
    <row r="471" spans="1:30">
      <c r="A471">
        <v>2836</v>
      </c>
      <c r="B471" t="s">
        <v>986</v>
      </c>
      <c r="C471">
        <v>8.82</v>
      </c>
      <c r="Y471" s="40"/>
      <c r="Z471" s="40"/>
      <c r="AD471" s="40"/>
    </row>
    <row r="472" spans="1:30">
      <c r="A472">
        <v>2838</v>
      </c>
      <c r="B472" t="s">
        <v>987</v>
      </c>
      <c r="C472">
        <v>9.5399999999999991</v>
      </c>
      <c r="Y472" s="40"/>
      <c r="Z472" s="40"/>
      <c r="AD472" s="40"/>
    </row>
    <row r="473" spans="1:30">
      <c r="A473">
        <v>2841</v>
      </c>
      <c r="B473" t="s">
        <v>988</v>
      </c>
      <c r="C473">
        <v>12.2</v>
      </c>
      <c r="Y473" s="40"/>
      <c r="Z473" s="40"/>
      <c r="AD473" s="40"/>
    </row>
    <row r="474" spans="1:30">
      <c r="A474">
        <v>2845</v>
      </c>
      <c r="B474" t="s">
        <v>989</v>
      </c>
      <c r="C474">
        <v>9.7899999999999991</v>
      </c>
      <c r="Y474" s="40"/>
      <c r="Z474" s="40"/>
      <c r="AD474" s="40"/>
    </row>
    <row r="475" spans="1:30">
      <c r="A475">
        <v>2847</v>
      </c>
      <c r="B475" t="s">
        <v>990</v>
      </c>
      <c r="C475">
        <v>13.5</v>
      </c>
      <c r="Y475" s="40"/>
      <c r="Z475" s="40"/>
      <c r="AA475" s="40"/>
      <c r="AD475" s="40"/>
    </row>
    <row r="476" spans="1:30">
      <c r="A476">
        <v>2849</v>
      </c>
      <c r="B476" t="s">
        <v>991</v>
      </c>
      <c r="C476">
        <v>15</v>
      </c>
      <c r="Y476" s="40"/>
      <c r="Z476" s="40"/>
      <c r="AA476" s="40"/>
      <c r="AD476" s="40"/>
    </row>
    <row r="477" spans="1:30">
      <c r="A477">
        <v>2850</v>
      </c>
      <c r="B477" t="s">
        <v>992</v>
      </c>
      <c r="C477">
        <v>23.6</v>
      </c>
      <c r="Y477" s="40"/>
      <c r="Z477" s="40"/>
      <c r="AA477" s="40"/>
      <c r="AD477" s="40"/>
    </row>
    <row r="478" spans="1:30">
      <c r="A478">
        <v>2851</v>
      </c>
      <c r="B478" t="s">
        <v>993</v>
      </c>
      <c r="C478">
        <v>15.25</v>
      </c>
      <c r="Y478" s="40"/>
      <c r="Z478" s="40"/>
      <c r="AA478" s="40"/>
      <c r="AD478" s="40"/>
    </row>
    <row r="479" spans="1:30">
      <c r="A479">
        <v>2852</v>
      </c>
      <c r="B479" t="s">
        <v>994</v>
      </c>
      <c r="C479">
        <v>11.75</v>
      </c>
      <c r="Y479" s="40"/>
      <c r="Z479" s="40"/>
      <c r="AA479" s="40"/>
      <c r="AD479" s="40"/>
    </row>
    <row r="480" spans="1:30">
      <c r="A480">
        <v>2855</v>
      </c>
      <c r="B480" t="s">
        <v>995</v>
      </c>
      <c r="C480">
        <v>14</v>
      </c>
      <c r="Y480" s="40"/>
      <c r="Z480" s="40"/>
      <c r="AA480" s="40"/>
      <c r="AD480" s="40"/>
    </row>
    <row r="481" spans="1:30">
      <c r="A481">
        <v>2856</v>
      </c>
      <c r="B481" t="s">
        <v>996</v>
      </c>
      <c r="C481">
        <v>9.27</v>
      </c>
      <c r="Y481" s="40"/>
      <c r="Z481" s="40"/>
      <c r="AA481" s="40"/>
      <c r="AD481" s="40"/>
    </row>
    <row r="482" spans="1:30">
      <c r="A482">
        <v>2867</v>
      </c>
      <c r="B482" t="s">
        <v>997</v>
      </c>
      <c r="C482">
        <v>17.2</v>
      </c>
      <c r="Y482" s="40"/>
      <c r="Z482" s="40"/>
      <c r="AA482" s="40"/>
      <c r="AD482" s="40"/>
    </row>
    <row r="483" spans="1:30">
      <c r="A483">
        <v>2880</v>
      </c>
      <c r="B483" t="s">
        <v>998</v>
      </c>
      <c r="C483">
        <v>15.9</v>
      </c>
      <c r="O483" s="40"/>
      <c r="Y483" s="40"/>
      <c r="Z483" s="40"/>
      <c r="AD483" s="40"/>
    </row>
    <row r="484" spans="1:30">
      <c r="A484">
        <v>2881</v>
      </c>
      <c r="B484" t="s">
        <v>999</v>
      </c>
      <c r="C484">
        <v>41</v>
      </c>
      <c r="Y484" s="40"/>
      <c r="Z484" s="40"/>
      <c r="AA484" s="40"/>
      <c r="AD484" s="40"/>
    </row>
    <row r="485" spans="1:30">
      <c r="A485">
        <v>2882</v>
      </c>
      <c r="B485" t="s">
        <v>1000</v>
      </c>
      <c r="C485">
        <v>39.6</v>
      </c>
      <c r="Y485" s="40"/>
      <c r="Z485" s="40"/>
      <c r="AD485" s="40"/>
    </row>
    <row r="486" spans="1:30">
      <c r="A486">
        <v>2883</v>
      </c>
      <c r="B486" t="s">
        <v>1001</v>
      </c>
      <c r="C486">
        <v>8.35</v>
      </c>
      <c r="Y486" s="40"/>
      <c r="Z486" s="40"/>
      <c r="AA486" s="40"/>
      <c r="AD486" s="40"/>
    </row>
    <row r="487" spans="1:30">
      <c r="A487">
        <v>2884</v>
      </c>
      <c r="B487" t="s">
        <v>1002</v>
      </c>
      <c r="C487">
        <v>18.25</v>
      </c>
      <c r="O487" s="40"/>
      <c r="Y487" s="40"/>
      <c r="Z487" s="40"/>
      <c r="AA487" s="40"/>
      <c r="AD487" s="40"/>
    </row>
    <row r="488" spans="1:30">
      <c r="A488">
        <v>2885</v>
      </c>
      <c r="B488" t="s">
        <v>1003</v>
      </c>
      <c r="C488">
        <v>11.9</v>
      </c>
      <c r="Y488" s="40"/>
      <c r="Z488" s="40"/>
      <c r="AD488" s="40"/>
    </row>
    <row r="489" spans="1:30">
      <c r="A489">
        <v>2886</v>
      </c>
      <c r="B489" t="s">
        <v>1004</v>
      </c>
      <c r="C489">
        <v>23</v>
      </c>
      <c r="O489" s="40"/>
      <c r="Y489" s="40"/>
      <c r="Z489" s="40"/>
      <c r="AD489" s="40"/>
    </row>
    <row r="490" spans="1:30">
      <c r="A490">
        <v>2887</v>
      </c>
      <c r="B490" t="s">
        <v>1005</v>
      </c>
      <c r="C490">
        <v>11.55</v>
      </c>
      <c r="O490" s="40"/>
      <c r="Y490" s="40"/>
      <c r="Z490" s="40"/>
      <c r="AA490" s="40"/>
      <c r="AD490" s="40"/>
    </row>
    <row r="491" spans="1:30">
      <c r="A491">
        <v>2888</v>
      </c>
      <c r="B491" t="s">
        <v>1006</v>
      </c>
      <c r="C491">
        <v>6.82</v>
      </c>
      <c r="Y491" s="40"/>
      <c r="Z491" s="40"/>
      <c r="AD491" s="40"/>
    </row>
    <row r="492" spans="1:30">
      <c r="A492">
        <v>2889</v>
      </c>
      <c r="B492" t="s">
        <v>1007</v>
      </c>
      <c r="C492">
        <v>7.76</v>
      </c>
      <c r="Y492" s="40"/>
      <c r="Z492" s="40"/>
      <c r="AA492" s="40"/>
      <c r="AD492" s="40"/>
    </row>
    <row r="493" spans="1:30">
      <c r="A493">
        <v>2890</v>
      </c>
      <c r="B493" t="s">
        <v>1008</v>
      </c>
      <c r="C493">
        <v>9.6</v>
      </c>
      <c r="Y493" s="40"/>
      <c r="Z493" s="40"/>
      <c r="AA493" s="40"/>
      <c r="AD493" s="40"/>
    </row>
    <row r="494" spans="1:30">
      <c r="A494">
        <v>2891</v>
      </c>
      <c r="B494" t="s">
        <v>1009</v>
      </c>
      <c r="C494">
        <v>16.850000000000001</v>
      </c>
      <c r="Y494" s="40"/>
      <c r="Z494" s="40"/>
      <c r="AA494" s="40"/>
      <c r="AD494" s="40"/>
    </row>
    <row r="495" spans="1:30">
      <c r="A495">
        <v>2892</v>
      </c>
      <c r="B495" t="s">
        <v>1010</v>
      </c>
      <c r="C495">
        <v>15.95</v>
      </c>
      <c r="O495" s="40"/>
      <c r="Y495" s="40"/>
      <c r="Z495" s="40"/>
      <c r="AA495" s="40"/>
      <c r="AD495" s="40"/>
    </row>
    <row r="496" spans="1:30">
      <c r="A496">
        <v>2901</v>
      </c>
      <c r="B496" t="s">
        <v>1011</v>
      </c>
      <c r="C496">
        <v>27</v>
      </c>
      <c r="Y496" s="40"/>
      <c r="Z496" s="40"/>
      <c r="AA496" s="40"/>
      <c r="AD496" s="40"/>
    </row>
    <row r="497" spans="1:30">
      <c r="A497">
        <v>2903</v>
      </c>
      <c r="B497" t="s">
        <v>1012</v>
      </c>
      <c r="C497">
        <v>17.850000000000001</v>
      </c>
      <c r="Y497" s="40"/>
      <c r="Z497" s="40"/>
      <c r="AA497" s="40"/>
      <c r="AD497" s="40"/>
    </row>
    <row r="498" spans="1:30">
      <c r="A498">
        <v>2904</v>
      </c>
      <c r="B498" t="s">
        <v>1013</v>
      </c>
      <c r="C498">
        <v>28</v>
      </c>
      <c r="Y498" s="40"/>
      <c r="Z498" s="40"/>
      <c r="AA498" s="40"/>
      <c r="AD498" s="40"/>
    </row>
    <row r="499" spans="1:30">
      <c r="A499">
        <v>2905</v>
      </c>
      <c r="B499" t="s">
        <v>1014</v>
      </c>
      <c r="C499">
        <v>20.6</v>
      </c>
      <c r="Y499" s="40"/>
      <c r="Z499" s="40"/>
      <c r="AA499" s="40"/>
      <c r="AD499" s="40"/>
    </row>
    <row r="500" spans="1:30">
      <c r="A500">
        <v>2906</v>
      </c>
      <c r="B500" t="s">
        <v>1015</v>
      </c>
      <c r="C500">
        <v>12.2</v>
      </c>
      <c r="Y500" s="40"/>
      <c r="Z500" s="40"/>
      <c r="AA500" s="40"/>
      <c r="AD500" s="40"/>
    </row>
    <row r="501" spans="1:30">
      <c r="A501">
        <v>2908</v>
      </c>
      <c r="B501" t="s">
        <v>1016</v>
      </c>
      <c r="C501">
        <v>20.25</v>
      </c>
      <c r="Y501" s="40"/>
      <c r="Z501" s="40"/>
      <c r="AA501" s="40"/>
      <c r="AD501" s="40"/>
    </row>
    <row r="502" spans="1:30">
      <c r="A502">
        <v>2910</v>
      </c>
      <c r="B502" t="s">
        <v>1017</v>
      </c>
      <c r="C502">
        <v>23.8</v>
      </c>
      <c r="Y502" s="40"/>
      <c r="Z502" s="40"/>
      <c r="AA502" s="40"/>
      <c r="AD502" s="40"/>
    </row>
    <row r="503" spans="1:30">
      <c r="A503">
        <v>2911</v>
      </c>
      <c r="B503" t="s">
        <v>1018</v>
      </c>
      <c r="C503">
        <v>17.149999999999999</v>
      </c>
      <c r="Y503" s="40"/>
      <c r="Z503" s="40"/>
      <c r="AA503" s="40"/>
      <c r="AD503" s="40"/>
    </row>
    <row r="504" spans="1:30">
      <c r="A504">
        <v>2912</v>
      </c>
      <c r="B504" t="s">
        <v>1019</v>
      </c>
      <c r="C504">
        <v>228.5</v>
      </c>
      <c r="Y504" s="40"/>
      <c r="Z504" s="40"/>
      <c r="AA504" s="40"/>
      <c r="AD504" s="40"/>
    </row>
    <row r="505" spans="1:30">
      <c r="A505">
        <v>2913</v>
      </c>
      <c r="B505" t="s">
        <v>1020</v>
      </c>
      <c r="C505">
        <v>14.65</v>
      </c>
      <c r="Y505" s="40"/>
      <c r="Z505" s="40"/>
      <c r="AA505" s="40"/>
      <c r="AD505" s="40"/>
    </row>
    <row r="506" spans="1:30">
      <c r="A506">
        <v>2915</v>
      </c>
      <c r="B506" t="s">
        <v>1021</v>
      </c>
      <c r="C506">
        <v>60.5</v>
      </c>
      <c r="Y506" s="40"/>
      <c r="Z506" s="40"/>
      <c r="AA506" s="40"/>
      <c r="AD506" s="40"/>
    </row>
    <row r="507" spans="1:30">
      <c r="A507">
        <v>2923</v>
      </c>
      <c r="B507" t="s">
        <v>1022</v>
      </c>
      <c r="C507">
        <v>23.6</v>
      </c>
      <c r="Y507" s="40"/>
      <c r="Z507" s="40"/>
      <c r="AA507" s="40"/>
      <c r="AD507" s="40"/>
    </row>
    <row r="508" spans="1:30">
      <c r="A508">
        <v>2929</v>
      </c>
      <c r="B508" t="s">
        <v>1023</v>
      </c>
      <c r="C508">
        <v>131.5</v>
      </c>
      <c r="Y508" s="40"/>
      <c r="Z508" s="40"/>
      <c r="AD508" s="40"/>
    </row>
    <row r="509" spans="1:30">
      <c r="A509">
        <v>3002</v>
      </c>
      <c r="B509" t="s">
        <v>1024</v>
      </c>
      <c r="C509">
        <v>10.25</v>
      </c>
      <c r="Y509" s="40"/>
      <c r="Z509" s="40"/>
      <c r="AA509" s="40"/>
      <c r="AD509" s="40"/>
    </row>
    <row r="510" spans="1:30">
      <c r="A510">
        <v>3003</v>
      </c>
      <c r="B510" t="s">
        <v>1025</v>
      </c>
      <c r="C510">
        <v>37.9</v>
      </c>
      <c r="Y510" s="40"/>
      <c r="Z510" s="40"/>
      <c r="AA510" s="40"/>
      <c r="AD510" s="40"/>
    </row>
    <row r="511" spans="1:30">
      <c r="A511">
        <v>3004</v>
      </c>
      <c r="B511" t="s">
        <v>1026</v>
      </c>
      <c r="C511">
        <v>61.4</v>
      </c>
      <c r="Y511" s="40"/>
      <c r="Z511" s="40"/>
      <c r="AA511" s="40"/>
      <c r="AD511" s="40"/>
    </row>
    <row r="512" spans="1:30">
      <c r="A512">
        <v>3005</v>
      </c>
      <c r="B512" t="s">
        <v>1027</v>
      </c>
      <c r="C512">
        <v>21.45</v>
      </c>
      <c r="Y512" s="40"/>
      <c r="Z512" s="40"/>
      <c r="AD512" s="40"/>
    </row>
    <row r="513" spans="1:30">
      <c r="A513">
        <v>3006</v>
      </c>
      <c r="B513" t="s">
        <v>1028</v>
      </c>
      <c r="C513">
        <v>29.5</v>
      </c>
      <c r="Y513" s="40"/>
      <c r="Z513" s="40"/>
      <c r="AD513" s="40"/>
    </row>
    <row r="514" spans="1:30">
      <c r="A514">
        <v>3008</v>
      </c>
      <c r="B514" t="s">
        <v>1029</v>
      </c>
      <c r="C514">
        <v>2695</v>
      </c>
      <c r="Y514" s="40"/>
      <c r="Z514" s="40"/>
      <c r="AA514" s="40"/>
      <c r="AD514" s="40"/>
    </row>
    <row r="515" spans="1:30">
      <c r="A515">
        <v>3010</v>
      </c>
      <c r="B515" t="s">
        <v>1030</v>
      </c>
      <c r="C515">
        <v>45.85</v>
      </c>
      <c r="Y515" s="40"/>
      <c r="Z515" s="40"/>
      <c r="AD515" s="40"/>
    </row>
    <row r="516" spans="1:30">
      <c r="A516">
        <v>3011</v>
      </c>
      <c r="B516" t="s">
        <v>1031</v>
      </c>
      <c r="C516">
        <v>7.5</v>
      </c>
      <c r="Y516" s="40"/>
      <c r="Z516" s="40"/>
      <c r="AA516" s="40"/>
      <c r="AD516" s="40"/>
    </row>
    <row r="517" spans="1:30">
      <c r="A517">
        <v>3013</v>
      </c>
      <c r="B517" t="s">
        <v>1032</v>
      </c>
      <c r="C517">
        <v>17.5</v>
      </c>
      <c r="Y517" s="40"/>
      <c r="Z517" s="40"/>
      <c r="AA517" s="40"/>
      <c r="AD517" s="40"/>
    </row>
    <row r="518" spans="1:30">
      <c r="A518">
        <v>3014</v>
      </c>
      <c r="B518" t="s">
        <v>1033</v>
      </c>
      <c r="C518">
        <v>29.8</v>
      </c>
      <c r="Y518" s="40"/>
      <c r="Z518" s="40"/>
      <c r="AD518" s="40"/>
    </row>
    <row r="519" spans="1:30">
      <c r="A519">
        <v>3015</v>
      </c>
      <c r="B519" t="s">
        <v>1831</v>
      </c>
      <c r="C519">
        <v>23</v>
      </c>
      <c r="Y519" s="40"/>
      <c r="Z519" s="40"/>
      <c r="AA519" s="40"/>
      <c r="AD519" s="40"/>
    </row>
    <row r="520" spans="1:30">
      <c r="A520">
        <v>3016</v>
      </c>
      <c r="B520" t="s">
        <v>1034</v>
      </c>
      <c r="C520">
        <v>17.850000000000001</v>
      </c>
      <c r="Y520" s="40"/>
      <c r="Z520" s="40"/>
      <c r="AA520" s="40"/>
      <c r="AD520" s="40"/>
    </row>
    <row r="521" spans="1:30">
      <c r="A521">
        <v>3017</v>
      </c>
      <c r="B521" t="s">
        <v>1035</v>
      </c>
      <c r="C521">
        <v>29.8</v>
      </c>
      <c r="Y521" s="40"/>
      <c r="Z521" s="40"/>
      <c r="AA521" s="40"/>
      <c r="AD521" s="40"/>
    </row>
    <row r="522" spans="1:30">
      <c r="A522">
        <v>3018</v>
      </c>
      <c r="B522" t="s">
        <v>1036</v>
      </c>
      <c r="C522">
        <v>17.45</v>
      </c>
      <c r="Y522" s="40"/>
      <c r="Z522" s="40"/>
      <c r="AD522" s="40"/>
    </row>
    <row r="523" spans="1:30">
      <c r="A523">
        <v>3019</v>
      </c>
      <c r="B523" t="s">
        <v>1037</v>
      </c>
      <c r="C523">
        <v>30.3</v>
      </c>
      <c r="Y523" s="40"/>
      <c r="Z523" s="40"/>
      <c r="AD523" s="40"/>
    </row>
    <row r="524" spans="1:30">
      <c r="A524">
        <v>3021</v>
      </c>
      <c r="B524" t="s">
        <v>1038</v>
      </c>
      <c r="C524">
        <v>11.7</v>
      </c>
      <c r="Y524" s="40"/>
      <c r="Z524" s="40"/>
      <c r="AA524" s="40"/>
      <c r="AD524" s="40"/>
    </row>
    <row r="525" spans="1:30">
      <c r="A525">
        <v>3022</v>
      </c>
      <c r="B525" t="s">
        <v>1039</v>
      </c>
      <c r="C525">
        <v>40.5</v>
      </c>
      <c r="Y525" s="40"/>
      <c r="Z525" s="40"/>
      <c r="AA525" s="40"/>
      <c r="AD525" s="40"/>
    </row>
    <row r="526" spans="1:30">
      <c r="A526">
        <v>3023</v>
      </c>
      <c r="B526" t="s">
        <v>1040</v>
      </c>
      <c r="C526">
        <v>65</v>
      </c>
      <c r="Y526" s="40"/>
      <c r="Z526" s="40"/>
      <c r="AD526" s="40"/>
    </row>
    <row r="527" spans="1:30">
      <c r="A527">
        <v>3024</v>
      </c>
      <c r="B527" t="s">
        <v>1041</v>
      </c>
      <c r="C527">
        <v>3.82</v>
      </c>
      <c r="Y527" s="40"/>
      <c r="Z527" s="40"/>
      <c r="AD527" s="40"/>
    </row>
    <row r="528" spans="1:30">
      <c r="A528">
        <v>3025</v>
      </c>
      <c r="B528" t="s">
        <v>1042</v>
      </c>
      <c r="C528">
        <v>11.75</v>
      </c>
      <c r="Y528" s="40"/>
      <c r="Z528" s="40"/>
      <c r="AA528" s="40"/>
      <c r="AD528" s="40"/>
    </row>
    <row r="529" spans="1:30">
      <c r="A529">
        <v>3026</v>
      </c>
      <c r="B529" t="s">
        <v>1043</v>
      </c>
      <c r="C529">
        <v>35.299999999999997</v>
      </c>
      <c r="Y529" s="40"/>
      <c r="Z529" s="40"/>
      <c r="AA529" s="40"/>
      <c r="AD529" s="40"/>
    </row>
    <row r="530" spans="1:30">
      <c r="A530">
        <v>3027</v>
      </c>
      <c r="B530" t="s">
        <v>1044</v>
      </c>
      <c r="C530">
        <v>14.65</v>
      </c>
      <c r="Y530" s="40"/>
      <c r="Z530" s="40"/>
      <c r="AA530" s="40"/>
      <c r="AD530" s="40"/>
    </row>
    <row r="531" spans="1:30">
      <c r="A531">
        <v>3028</v>
      </c>
      <c r="B531" t="s">
        <v>1045</v>
      </c>
      <c r="C531">
        <v>17.100000000000001</v>
      </c>
      <c r="Y531" s="40"/>
      <c r="Z531" s="40"/>
      <c r="AA531" s="40"/>
      <c r="AD531" s="40"/>
    </row>
    <row r="532" spans="1:30">
      <c r="A532">
        <v>3029</v>
      </c>
      <c r="B532" t="s">
        <v>1046</v>
      </c>
      <c r="C532">
        <v>18.55</v>
      </c>
      <c r="Y532" s="40"/>
      <c r="Z532" s="40"/>
      <c r="AA532" s="40"/>
      <c r="AD532" s="40"/>
    </row>
    <row r="533" spans="1:30">
      <c r="A533">
        <v>3030</v>
      </c>
      <c r="B533" t="s">
        <v>1047</v>
      </c>
      <c r="C533">
        <v>50.2</v>
      </c>
      <c r="Y533" s="40"/>
      <c r="Z533" s="40"/>
      <c r="AA533" s="40"/>
      <c r="AD533" s="40"/>
    </row>
    <row r="534" spans="1:30">
      <c r="A534">
        <v>3031</v>
      </c>
      <c r="B534" t="s">
        <v>1048</v>
      </c>
      <c r="C534">
        <v>9.23</v>
      </c>
      <c r="Y534" s="40"/>
      <c r="Z534" s="40"/>
      <c r="AA534" s="40"/>
      <c r="AD534" s="40"/>
    </row>
    <row r="535" spans="1:30">
      <c r="A535">
        <v>3032</v>
      </c>
      <c r="B535" t="s">
        <v>1049</v>
      </c>
      <c r="C535">
        <v>29.45</v>
      </c>
      <c r="Y535" s="40"/>
      <c r="Z535" s="40"/>
      <c r="AA535" s="40"/>
      <c r="AD535" s="40"/>
    </row>
    <row r="536" spans="1:30">
      <c r="A536">
        <v>3033</v>
      </c>
      <c r="B536" t="s">
        <v>1050</v>
      </c>
      <c r="C536">
        <v>19.95</v>
      </c>
      <c r="Y536" s="40"/>
      <c r="Z536" s="40"/>
      <c r="AA536" s="40"/>
      <c r="AD536" s="40"/>
    </row>
    <row r="537" spans="1:30">
      <c r="A537">
        <v>3034</v>
      </c>
      <c r="B537" t="s">
        <v>1051</v>
      </c>
      <c r="C537">
        <v>135</v>
      </c>
      <c r="Y537" s="40"/>
      <c r="Z537" s="40"/>
      <c r="AA537" s="40"/>
      <c r="AD537" s="40"/>
    </row>
    <row r="538" spans="1:30">
      <c r="A538">
        <v>3035</v>
      </c>
      <c r="B538" t="s">
        <v>1052</v>
      </c>
      <c r="C538">
        <v>47</v>
      </c>
      <c r="Y538" s="40"/>
      <c r="Z538" s="40"/>
      <c r="AA538" s="40"/>
      <c r="AD538" s="40"/>
    </row>
    <row r="539" spans="1:30">
      <c r="A539">
        <v>3036</v>
      </c>
      <c r="B539" t="s">
        <v>1053</v>
      </c>
      <c r="C539">
        <v>38.5</v>
      </c>
      <c r="Y539" s="40"/>
      <c r="Z539" s="40"/>
      <c r="AA539" s="40"/>
      <c r="AD539" s="40"/>
    </row>
    <row r="540" spans="1:30">
      <c r="A540">
        <v>3037</v>
      </c>
      <c r="B540" t="s">
        <v>1054</v>
      </c>
      <c r="C540">
        <v>16.7</v>
      </c>
      <c r="Y540" s="40"/>
      <c r="Z540" s="40"/>
      <c r="AA540" s="40"/>
      <c r="AD540" s="40"/>
    </row>
    <row r="541" spans="1:30">
      <c r="A541">
        <v>3038</v>
      </c>
      <c r="B541" t="s">
        <v>1055</v>
      </c>
      <c r="C541">
        <v>12.2</v>
      </c>
      <c r="Y541" s="40"/>
      <c r="Z541" s="40"/>
      <c r="AA541" s="40"/>
      <c r="AD541" s="40"/>
    </row>
    <row r="542" spans="1:30">
      <c r="A542">
        <v>3040</v>
      </c>
      <c r="B542" t="s">
        <v>1056</v>
      </c>
      <c r="C542">
        <v>32.549999999999997</v>
      </c>
      <c r="Y542" s="40"/>
      <c r="Z542" s="40"/>
      <c r="AA542" s="40"/>
      <c r="AD542" s="40"/>
    </row>
    <row r="543" spans="1:30">
      <c r="A543">
        <v>3041</v>
      </c>
      <c r="B543" t="s">
        <v>1057</v>
      </c>
      <c r="C543">
        <v>25.6</v>
      </c>
      <c r="Y543" s="40"/>
      <c r="Z543" s="40"/>
      <c r="AA543" s="40"/>
      <c r="AD543" s="40"/>
    </row>
    <row r="544" spans="1:30">
      <c r="A544">
        <v>3042</v>
      </c>
      <c r="B544" t="s">
        <v>1058</v>
      </c>
      <c r="C544">
        <v>39.450000000000003</v>
      </c>
      <c r="Y544" s="40"/>
      <c r="Z544" s="40"/>
      <c r="AA544" s="40"/>
      <c r="AD544" s="40"/>
    </row>
    <row r="545" spans="1:30">
      <c r="A545">
        <v>3043</v>
      </c>
      <c r="B545" t="s">
        <v>1059</v>
      </c>
      <c r="C545">
        <v>2.77</v>
      </c>
      <c r="Y545" s="40"/>
      <c r="Z545" s="40"/>
      <c r="AA545" s="40"/>
      <c r="AD545" s="40"/>
    </row>
    <row r="546" spans="1:30">
      <c r="A546">
        <v>3044</v>
      </c>
      <c r="B546" t="s">
        <v>1060</v>
      </c>
      <c r="C546">
        <v>59</v>
      </c>
      <c r="Y546" s="40"/>
      <c r="Z546" s="40"/>
      <c r="AA546" s="40"/>
      <c r="AD546" s="40"/>
    </row>
    <row r="547" spans="1:30">
      <c r="A547">
        <v>3045</v>
      </c>
      <c r="B547" t="s">
        <v>1061</v>
      </c>
      <c r="C547">
        <v>103.5</v>
      </c>
      <c r="O547" s="40"/>
      <c r="Y547" s="40"/>
      <c r="Z547" s="40"/>
      <c r="AA547" s="40"/>
      <c r="AD547" s="40"/>
    </row>
    <row r="548" spans="1:30">
      <c r="A548">
        <v>3046</v>
      </c>
      <c r="B548" t="s">
        <v>1062</v>
      </c>
      <c r="C548">
        <v>8.84</v>
      </c>
      <c r="Y548" s="40"/>
      <c r="Z548" s="40"/>
      <c r="AA548" s="40"/>
      <c r="AD548" s="40"/>
    </row>
    <row r="549" spans="1:30">
      <c r="A549">
        <v>3047</v>
      </c>
      <c r="B549" t="s">
        <v>1063</v>
      </c>
      <c r="C549">
        <v>12</v>
      </c>
      <c r="Y549" s="40"/>
      <c r="Z549" s="40"/>
      <c r="AA549" s="40"/>
      <c r="AD549" s="40"/>
    </row>
    <row r="550" spans="1:30">
      <c r="A550">
        <v>3048</v>
      </c>
      <c r="B550" t="s">
        <v>1064</v>
      </c>
      <c r="C550">
        <v>18.95</v>
      </c>
      <c r="Y550" s="40"/>
      <c r="Z550" s="40"/>
      <c r="AD550" s="40"/>
    </row>
    <row r="551" spans="1:30">
      <c r="A551">
        <v>3049</v>
      </c>
      <c r="B551" t="s">
        <v>1065</v>
      </c>
      <c r="C551">
        <v>8.5</v>
      </c>
      <c r="Y551" s="40"/>
      <c r="Z551" s="40"/>
      <c r="AA551" s="40"/>
      <c r="AD551" s="40"/>
    </row>
    <row r="552" spans="1:30">
      <c r="A552">
        <v>3050</v>
      </c>
      <c r="B552" t="s">
        <v>1066</v>
      </c>
      <c r="C552">
        <v>8.52</v>
      </c>
      <c r="Y552" s="40"/>
      <c r="Z552" s="40"/>
      <c r="AD552" s="40"/>
    </row>
    <row r="553" spans="1:30">
      <c r="A553">
        <v>3051</v>
      </c>
      <c r="B553" t="s">
        <v>1067</v>
      </c>
      <c r="C553">
        <v>6.35</v>
      </c>
      <c r="Y553" s="40"/>
      <c r="Z553" s="40"/>
      <c r="AA553" s="40"/>
      <c r="AD553" s="40"/>
    </row>
    <row r="554" spans="1:30">
      <c r="A554">
        <v>3052</v>
      </c>
      <c r="B554" t="s">
        <v>1068</v>
      </c>
      <c r="C554">
        <v>9.6</v>
      </c>
      <c r="Y554" s="40"/>
      <c r="Z554" s="40"/>
      <c r="AA554" s="40"/>
      <c r="AD554" s="40"/>
    </row>
    <row r="555" spans="1:30">
      <c r="A555">
        <v>3054</v>
      </c>
      <c r="B555" t="s">
        <v>1069</v>
      </c>
      <c r="C555">
        <v>20.75</v>
      </c>
      <c r="Y555" s="40"/>
      <c r="Z555" s="40"/>
      <c r="AA555" s="40"/>
      <c r="AD555" s="40"/>
    </row>
    <row r="556" spans="1:30">
      <c r="A556">
        <v>3055</v>
      </c>
      <c r="B556" t="s">
        <v>1070</v>
      </c>
      <c r="C556">
        <v>20.85</v>
      </c>
      <c r="Y556" s="40"/>
      <c r="Z556" s="40"/>
      <c r="AA556" s="40"/>
      <c r="AD556" s="40"/>
    </row>
    <row r="557" spans="1:30">
      <c r="A557">
        <v>3056</v>
      </c>
      <c r="B557" t="s">
        <v>1071</v>
      </c>
      <c r="C557">
        <v>14.6</v>
      </c>
      <c r="Y557" s="40"/>
      <c r="Z557" s="40"/>
      <c r="AA557" s="40"/>
      <c r="AD557" s="40"/>
    </row>
    <row r="558" spans="1:30">
      <c r="A558">
        <v>3057</v>
      </c>
      <c r="B558" t="s">
        <v>1072</v>
      </c>
      <c r="C558">
        <v>19.25</v>
      </c>
      <c r="Y558" s="40"/>
      <c r="Z558" s="40"/>
      <c r="AA558" s="40"/>
      <c r="AD558" s="40"/>
    </row>
    <row r="559" spans="1:30">
      <c r="A559">
        <v>3058</v>
      </c>
      <c r="B559" t="s">
        <v>1073</v>
      </c>
      <c r="C559">
        <v>9.1300000000000008</v>
      </c>
      <c r="Y559" s="40"/>
      <c r="Z559" s="40"/>
      <c r="AA559" s="40"/>
      <c r="AD559" s="40"/>
    </row>
    <row r="560" spans="1:30">
      <c r="A560">
        <v>3059</v>
      </c>
      <c r="B560" t="s">
        <v>1074</v>
      </c>
      <c r="C560">
        <v>29</v>
      </c>
      <c r="Y560" s="40"/>
      <c r="Z560" s="40"/>
      <c r="AA560" s="40"/>
      <c r="AD560" s="40"/>
    </row>
    <row r="561" spans="1:30">
      <c r="A561">
        <v>3060</v>
      </c>
      <c r="B561" t="s">
        <v>1075</v>
      </c>
      <c r="C561">
        <v>54.6</v>
      </c>
      <c r="Y561" s="40"/>
      <c r="Z561" s="40"/>
      <c r="AA561" s="40"/>
      <c r="AD561" s="40"/>
    </row>
    <row r="562" spans="1:30">
      <c r="A562">
        <v>3062</v>
      </c>
      <c r="B562" t="s">
        <v>1076</v>
      </c>
      <c r="C562">
        <v>20.7</v>
      </c>
      <c r="Y562" s="40"/>
      <c r="Z562" s="40"/>
      <c r="AA562" s="40"/>
      <c r="AD562" s="40"/>
    </row>
    <row r="563" spans="1:30">
      <c r="A563">
        <v>3090</v>
      </c>
      <c r="B563" t="s">
        <v>1077</v>
      </c>
      <c r="C563">
        <v>23.8</v>
      </c>
      <c r="Y563" s="40"/>
      <c r="Z563" s="40"/>
      <c r="AA563" s="40"/>
      <c r="AD563" s="40"/>
    </row>
    <row r="564" spans="1:30">
      <c r="A564">
        <v>3094</v>
      </c>
      <c r="B564" t="s">
        <v>1078</v>
      </c>
      <c r="C564">
        <v>25.95</v>
      </c>
      <c r="Y564" s="40"/>
      <c r="Z564" s="40"/>
      <c r="AA564" s="40"/>
      <c r="AD564" s="40"/>
    </row>
    <row r="565" spans="1:30">
      <c r="A565">
        <v>3130</v>
      </c>
      <c r="B565" t="s">
        <v>1079</v>
      </c>
      <c r="C565">
        <v>142</v>
      </c>
      <c r="Y565" s="40"/>
      <c r="Z565" s="40"/>
      <c r="AA565" s="40"/>
      <c r="AD565" s="40"/>
    </row>
    <row r="566" spans="1:30">
      <c r="A566">
        <v>3149</v>
      </c>
      <c r="B566" t="s">
        <v>1080</v>
      </c>
      <c r="C566">
        <v>12.9</v>
      </c>
      <c r="Y566" s="40"/>
      <c r="Z566" s="40"/>
      <c r="AA566" s="40"/>
      <c r="AD566" s="40"/>
    </row>
    <row r="567" spans="1:30">
      <c r="A567">
        <v>3164</v>
      </c>
      <c r="B567" t="s">
        <v>1081</v>
      </c>
      <c r="C567">
        <v>26.75</v>
      </c>
      <c r="Y567" s="40"/>
      <c r="Z567" s="40"/>
      <c r="AA567" s="40"/>
      <c r="AD567" s="40"/>
    </row>
    <row r="568" spans="1:30">
      <c r="A568">
        <v>3167</v>
      </c>
      <c r="B568" t="s">
        <v>1082</v>
      </c>
      <c r="C568">
        <v>29.1</v>
      </c>
      <c r="Y568" s="40"/>
      <c r="Z568" s="40"/>
      <c r="AA568" s="40"/>
      <c r="AD568" s="40"/>
    </row>
    <row r="569" spans="1:30">
      <c r="A569">
        <v>3189</v>
      </c>
      <c r="B569" t="s">
        <v>1083</v>
      </c>
      <c r="C569">
        <v>75.8</v>
      </c>
      <c r="Y569" s="40"/>
      <c r="Z569" s="40"/>
      <c r="AA569" s="40"/>
      <c r="AD569" s="40"/>
    </row>
    <row r="570" spans="1:30">
      <c r="A570">
        <v>3209</v>
      </c>
      <c r="B570" t="s">
        <v>1084</v>
      </c>
      <c r="C570">
        <v>28.75</v>
      </c>
      <c r="Y570" s="40"/>
      <c r="Z570" s="40"/>
      <c r="AA570" s="40"/>
      <c r="AD570" s="40"/>
    </row>
    <row r="571" spans="1:30">
      <c r="A571">
        <v>3229</v>
      </c>
      <c r="B571" t="s">
        <v>1085</v>
      </c>
      <c r="C571">
        <v>15.25</v>
      </c>
      <c r="Y571" s="40"/>
      <c r="Z571" s="40"/>
      <c r="AA571" s="40"/>
      <c r="AD571" s="40"/>
    </row>
    <row r="572" spans="1:30">
      <c r="A572">
        <v>3231</v>
      </c>
      <c r="B572" t="s">
        <v>1086</v>
      </c>
      <c r="C572">
        <v>21</v>
      </c>
      <c r="O572" s="40"/>
      <c r="Y572" s="40"/>
      <c r="Z572" s="40"/>
      <c r="AA572" s="40"/>
      <c r="AD572" s="40"/>
    </row>
    <row r="573" spans="1:30">
      <c r="A573">
        <v>3257</v>
      </c>
      <c r="B573" t="s">
        <v>1087</v>
      </c>
      <c r="C573">
        <v>43.4</v>
      </c>
      <c r="Y573" s="40"/>
      <c r="Z573" s="40"/>
      <c r="AA573" s="40"/>
      <c r="AD573" s="40"/>
    </row>
    <row r="574" spans="1:30">
      <c r="A574">
        <v>3266</v>
      </c>
      <c r="B574" t="s">
        <v>1088</v>
      </c>
      <c r="C574">
        <v>13.8</v>
      </c>
      <c r="Y574" s="40"/>
      <c r="Z574" s="40"/>
      <c r="AA574" s="40"/>
      <c r="AD574" s="40"/>
    </row>
    <row r="575" spans="1:30">
      <c r="A575">
        <v>3296</v>
      </c>
      <c r="B575" t="s">
        <v>1089</v>
      </c>
      <c r="C575">
        <v>13.75</v>
      </c>
      <c r="Y575" s="40"/>
      <c r="Z575" s="40"/>
      <c r="AA575" s="40"/>
      <c r="AD575" s="40"/>
    </row>
    <row r="576" spans="1:30">
      <c r="A576">
        <v>3305</v>
      </c>
      <c r="B576" t="s">
        <v>1090</v>
      </c>
      <c r="C576">
        <v>25.2</v>
      </c>
      <c r="Y576" s="40"/>
      <c r="Z576" s="40"/>
      <c r="AD576" s="40"/>
    </row>
    <row r="577" spans="1:30">
      <c r="A577">
        <v>3308</v>
      </c>
      <c r="B577" t="s">
        <v>1091</v>
      </c>
      <c r="C577">
        <v>7.64</v>
      </c>
      <c r="Y577" s="40"/>
      <c r="Z577" s="40"/>
      <c r="AA577" s="40"/>
      <c r="AD577" s="40"/>
    </row>
    <row r="578" spans="1:30">
      <c r="A578">
        <v>3311</v>
      </c>
      <c r="B578" t="s">
        <v>1092</v>
      </c>
      <c r="C578">
        <v>18.600000000000001</v>
      </c>
      <c r="Y578" s="40"/>
      <c r="Z578" s="40"/>
      <c r="AA578" s="40"/>
      <c r="AD578" s="40"/>
    </row>
    <row r="579" spans="1:30">
      <c r="A579">
        <v>3312</v>
      </c>
      <c r="B579" t="s">
        <v>1093</v>
      </c>
      <c r="C579">
        <v>6.51</v>
      </c>
      <c r="Y579" s="40"/>
      <c r="Z579" s="40"/>
      <c r="AA579" s="40"/>
      <c r="AD579" s="40"/>
    </row>
    <row r="580" spans="1:30">
      <c r="A580">
        <v>3315</v>
      </c>
      <c r="B580" t="s">
        <v>1094</v>
      </c>
      <c r="C580">
        <v>16.649999999999999</v>
      </c>
      <c r="Y580" s="40"/>
      <c r="Z580" s="40"/>
      <c r="AA580" s="40"/>
      <c r="AD580" s="40"/>
    </row>
    <row r="581" spans="1:30">
      <c r="A581">
        <v>3321</v>
      </c>
      <c r="B581" t="s">
        <v>2015</v>
      </c>
      <c r="C581">
        <v>28.1</v>
      </c>
      <c r="Y581" s="40"/>
      <c r="Z581" s="40"/>
      <c r="AA581" s="40"/>
      <c r="AD581" s="40"/>
    </row>
    <row r="582" spans="1:30">
      <c r="A582">
        <v>3338</v>
      </c>
      <c r="B582" t="s">
        <v>1095</v>
      </c>
      <c r="C582">
        <v>26.35</v>
      </c>
      <c r="Y582" s="40"/>
      <c r="Z582" s="40"/>
      <c r="AA582" s="40"/>
      <c r="AD582" s="40"/>
    </row>
    <row r="583" spans="1:30">
      <c r="A583">
        <v>3356</v>
      </c>
      <c r="B583" t="s">
        <v>1096</v>
      </c>
      <c r="C583">
        <v>76.099999999999994</v>
      </c>
      <c r="Y583" s="40"/>
      <c r="Z583" s="40"/>
      <c r="AD583" s="40"/>
    </row>
    <row r="584" spans="1:30">
      <c r="A584">
        <v>3376</v>
      </c>
      <c r="B584" t="s">
        <v>1097</v>
      </c>
      <c r="C584">
        <v>102</v>
      </c>
      <c r="Y584" s="40"/>
      <c r="Z584" s="40"/>
      <c r="AA584" s="40"/>
      <c r="AD584" s="40"/>
    </row>
    <row r="585" spans="1:30">
      <c r="A585">
        <v>3380</v>
      </c>
      <c r="B585" t="s">
        <v>1098</v>
      </c>
      <c r="C585">
        <v>16.2</v>
      </c>
      <c r="Y585" s="40"/>
      <c r="Z585" s="40"/>
      <c r="AA585" s="40"/>
      <c r="AD585" s="40"/>
    </row>
    <row r="586" spans="1:30">
      <c r="A586">
        <v>3383</v>
      </c>
      <c r="B586" t="s">
        <v>1099</v>
      </c>
      <c r="C586">
        <v>7.72</v>
      </c>
      <c r="Y586" s="40"/>
      <c r="Z586" s="40"/>
      <c r="AD586" s="40"/>
    </row>
    <row r="587" spans="1:30">
      <c r="A587">
        <v>3406</v>
      </c>
      <c r="B587" t="s">
        <v>1100</v>
      </c>
      <c r="C587">
        <v>60.6</v>
      </c>
      <c r="Y587" s="40"/>
      <c r="Z587" s="40"/>
      <c r="AA587" s="40"/>
      <c r="AD587" s="40"/>
    </row>
    <row r="588" spans="1:30">
      <c r="A588">
        <v>3413</v>
      </c>
      <c r="B588" t="s">
        <v>1101</v>
      </c>
      <c r="C588">
        <v>99.8</v>
      </c>
      <c r="Y588" s="40"/>
      <c r="Z588" s="40"/>
      <c r="AA588" s="40"/>
      <c r="AD588" s="40"/>
    </row>
    <row r="589" spans="1:30">
      <c r="A589">
        <v>3416</v>
      </c>
      <c r="B589" t="s">
        <v>1102</v>
      </c>
      <c r="C589">
        <v>54.4</v>
      </c>
      <c r="Y589" s="40"/>
      <c r="Z589" s="40"/>
      <c r="AA589" s="40"/>
      <c r="AD589" s="40"/>
    </row>
    <row r="590" spans="1:30">
      <c r="A590">
        <v>3419</v>
      </c>
      <c r="B590" t="s">
        <v>1103</v>
      </c>
      <c r="C590">
        <v>17.399999999999999</v>
      </c>
      <c r="Y590" s="40"/>
      <c r="Z590" s="40"/>
      <c r="AA590" s="40"/>
      <c r="AD590" s="40"/>
    </row>
    <row r="591" spans="1:30">
      <c r="A591">
        <v>3432</v>
      </c>
      <c r="B591" t="s">
        <v>1104</v>
      </c>
      <c r="C591">
        <v>12.5</v>
      </c>
      <c r="Y591" s="40"/>
      <c r="Z591" s="40"/>
      <c r="AA591" s="40"/>
      <c r="AD591" s="40"/>
    </row>
    <row r="592" spans="1:30">
      <c r="A592">
        <v>3437</v>
      </c>
      <c r="B592" t="s">
        <v>1105</v>
      </c>
      <c r="C592">
        <v>28.6</v>
      </c>
      <c r="Y592" s="40"/>
      <c r="Z592" s="40"/>
      <c r="AA592" s="40"/>
      <c r="AD592" s="40"/>
    </row>
    <row r="593" spans="1:30">
      <c r="A593">
        <v>3443</v>
      </c>
      <c r="B593" t="s">
        <v>1106</v>
      </c>
      <c r="C593">
        <v>88.6</v>
      </c>
      <c r="Y593" s="40"/>
      <c r="Z593" s="40"/>
      <c r="AA593" s="40"/>
      <c r="AD593" s="40"/>
    </row>
    <row r="594" spans="1:30">
      <c r="A594">
        <v>3450</v>
      </c>
      <c r="B594" t="s">
        <v>1107</v>
      </c>
      <c r="C594">
        <v>134.5</v>
      </c>
      <c r="Y594" s="40"/>
      <c r="Z594" s="40"/>
      <c r="AA594" s="40"/>
      <c r="AD594" s="40"/>
    </row>
    <row r="595" spans="1:30">
      <c r="A595">
        <v>3454</v>
      </c>
      <c r="B595" t="s">
        <v>1108</v>
      </c>
      <c r="C595">
        <v>86.7</v>
      </c>
      <c r="Y595" s="40"/>
      <c r="Z595" s="40"/>
      <c r="AA595" s="40"/>
      <c r="AD595" s="40"/>
    </row>
    <row r="596" spans="1:30">
      <c r="A596">
        <v>3474</v>
      </c>
      <c r="B596" t="s">
        <v>1109</v>
      </c>
      <c r="C596">
        <v>28.7</v>
      </c>
      <c r="Y596" s="40"/>
      <c r="Z596" s="40"/>
      <c r="AD596" s="40"/>
    </row>
    <row r="597" spans="1:30">
      <c r="A597">
        <v>3481</v>
      </c>
      <c r="B597" t="s">
        <v>1110</v>
      </c>
      <c r="C597">
        <v>10.25</v>
      </c>
      <c r="Y597" s="40"/>
      <c r="Z597" s="40"/>
      <c r="AA597" s="40"/>
      <c r="AD597" s="40"/>
    </row>
    <row r="598" spans="1:30">
      <c r="A598">
        <v>3494</v>
      </c>
      <c r="B598" t="s">
        <v>1111</v>
      </c>
      <c r="C598">
        <v>17.649999999999999</v>
      </c>
      <c r="Y598" s="40"/>
      <c r="Z598" s="40"/>
      <c r="AA598" s="40"/>
      <c r="AD598" s="40"/>
    </row>
    <row r="599" spans="1:30">
      <c r="A599">
        <v>3501</v>
      </c>
      <c r="B599" t="s">
        <v>1112</v>
      </c>
      <c r="C599">
        <v>52</v>
      </c>
      <c r="Y599" s="40"/>
      <c r="Z599" s="40"/>
      <c r="AD599" s="40"/>
    </row>
    <row r="600" spans="1:30">
      <c r="A600">
        <v>3504</v>
      </c>
      <c r="B600" t="s">
        <v>1113</v>
      </c>
      <c r="C600">
        <v>34.9</v>
      </c>
      <c r="Y600" s="40"/>
      <c r="Z600" s="40"/>
      <c r="AA600" s="40"/>
      <c r="AD600" s="40"/>
    </row>
    <row r="601" spans="1:30">
      <c r="A601">
        <v>3514</v>
      </c>
      <c r="B601" t="s">
        <v>1114</v>
      </c>
      <c r="C601">
        <v>30</v>
      </c>
      <c r="Y601" s="40"/>
      <c r="Z601" s="40"/>
      <c r="AA601" s="40"/>
      <c r="AD601" s="40"/>
    </row>
    <row r="602" spans="1:30">
      <c r="A602">
        <v>3515</v>
      </c>
      <c r="B602" t="s">
        <v>1115</v>
      </c>
      <c r="C602">
        <v>42.55</v>
      </c>
      <c r="Y602" s="40"/>
      <c r="Z602" s="40"/>
      <c r="AA602" s="40"/>
      <c r="AD602" s="40"/>
    </row>
    <row r="603" spans="1:30">
      <c r="A603">
        <v>3518</v>
      </c>
      <c r="B603" t="s">
        <v>1116</v>
      </c>
      <c r="C603">
        <v>29.5</v>
      </c>
      <c r="Y603" s="40"/>
      <c r="Z603" s="40"/>
      <c r="AA603" s="40"/>
      <c r="AD603" s="40"/>
    </row>
    <row r="604" spans="1:30">
      <c r="A604">
        <v>3519</v>
      </c>
      <c r="B604" t="s">
        <v>1117</v>
      </c>
      <c r="C604">
        <v>22.5</v>
      </c>
      <c r="Y604" s="40"/>
      <c r="Z604" s="40"/>
      <c r="AA604" s="40"/>
      <c r="AD604" s="40"/>
    </row>
    <row r="605" spans="1:30">
      <c r="A605">
        <v>3532</v>
      </c>
      <c r="B605" t="s">
        <v>1118</v>
      </c>
      <c r="C605">
        <v>38</v>
      </c>
      <c r="Y605" s="40"/>
      <c r="Z605" s="40"/>
      <c r="AA605" s="40"/>
      <c r="AD605" s="40"/>
    </row>
    <row r="606" spans="1:30">
      <c r="A606">
        <v>3533</v>
      </c>
      <c r="B606" t="s">
        <v>1119</v>
      </c>
      <c r="C606">
        <v>109.5</v>
      </c>
      <c r="Y606" s="40"/>
      <c r="Z606" s="40"/>
      <c r="AA606" s="40"/>
      <c r="AD606" s="40"/>
    </row>
    <row r="607" spans="1:30">
      <c r="A607">
        <v>3535</v>
      </c>
      <c r="B607" t="s">
        <v>1120</v>
      </c>
      <c r="C607">
        <v>9.5</v>
      </c>
      <c r="Y607" s="40"/>
      <c r="Z607" s="40"/>
      <c r="AA607" s="40"/>
      <c r="AD607" s="40"/>
    </row>
    <row r="608" spans="1:30">
      <c r="A608">
        <v>3536</v>
      </c>
      <c r="B608" t="s">
        <v>1121</v>
      </c>
      <c r="C608">
        <v>5.14</v>
      </c>
      <c r="Y608" s="40"/>
      <c r="Z608" s="40"/>
      <c r="AA608" s="40"/>
      <c r="AD608" s="40"/>
    </row>
    <row r="609" spans="1:30">
      <c r="A609">
        <v>3545</v>
      </c>
      <c r="B609" t="s">
        <v>1122</v>
      </c>
      <c r="C609">
        <v>31.4</v>
      </c>
      <c r="Y609" s="40"/>
      <c r="Z609" s="40"/>
      <c r="AA609" s="40"/>
      <c r="AD609" s="40"/>
    </row>
    <row r="610" spans="1:30">
      <c r="A610">
        <v>3550</v>
      </c>
      <c r="B610" t="s">
        <v>1123</v>
      </c>
      <c r="C610">
        <v>12.35</v>
      </c>
      <c r="Y610" s="40"/>
      <c r="Z610" s="40"/>
      <c r="AA610" s="40"/>
      <c r="AD610" s="40"/>
    </row>
    <row r="611" spans="1:30">
      <c r="A611">
        <v>3557</v>
      </c>
      <c r="B611" t="s">
        <v>1124</v>
      </c>
      <c r="C611">
        <v>4.3</v>
      </c>
      <c r="Y611" s="40"/>
      <c r="Z611" s="40"/>
      <c r="AA611" s="40"/>
      <c r="AD611" s="40"/>
    </row>
    <row r="612" spans="1:30">
      <c r="A612">
        <v>3559</v>
      </c>
      <c r="B612" t="s">
        <v>1125</v>
      </c>
      <c r="C612">
        <v>20.65</v>
      </c>
      <c r="Y612" s="40"/>
      <c r="Z612" s="40"/>
      <c r="AA612" s="40"/>
      <c r="AD612" s="40"/>
    </row>
    <row r="613" spans="1:30">
      <c r="A613">
        <v>3561</v>
      </c>
      <c r="B613" t="s">
        <v>1126</v>
      </c>
      <c r="C613">
        <v>19</v>
      </c>
      <c r="Y613" s="40"/>
      <c r="Z613" s="40"/>
      <c r="AD613" s="40"/>
    </row>
    <row r="614" spans="1:30">
      <c r="A614">
        <v>3573</v>
      </c>
      <c r="B614" t="s">
        <v>1127</v>
      </c>
      <c r="C614">
        <v>25.95</v>
      </c>
      <c r="Y614" s="40"/>
      <c r="Z614" s="40"/>
      <c r="AA614" s="40"/>
      <c r="AD614" s="40"/>
    </row>
    <row r="615" spans="1:30">
      <c r="A615">
        <v>3576</v>
      </c>
      <c r="B615" t="s">
        <v>1128</v>
      </c>
      <c r="C615">
        <v>22.35</v>
      </c>
      <c r="Y615" s="40"/>
      <c r="Z615" s="40"/>
      <c r="AA615" s="40"/>
      <c r="AD615" s="40"/>
    </row>
    <row r="616" spans="1:30">
      <c r="A616">
        <v>3579</v>
      </c>
      <c r="B616" t="s">
        <v>1129</v>
      </c>
      <c r="C616">
        <v>15.45</v>
      </c>
      <c r="Y616" s="40"/>
      <c r="Z616" s="40"/>
      <c r="AA616" s="40"/>
      <c r="AD616" s="40"/>
    </row>
    <row r="617" spans="1:30">
      <c r="A617">
        <v>3583</v>
      </c>
      <c r="B617" t="s">
        <v>1130</v>
      </c>
      <c r="C617">
        <v>76</v>
      </c>
      <c r="Y617" s="40"/>
      <c r="Z617" s="40"/>
      <c r="AA617" s="40"/>
      <c r="AD617" s="40"/>
    </row>
    <row r="618" spans="1:30">
      <c r="A618">
        <v>3584</v>
      </c>
      <c r="B618" t="s">
        <v>1131</v>
      </c>
      <c r="C618">
        <v>4.2</v>
      </c>
      <c r="Y618" s="40"/>
      <c r="Z618" s="40"/>
      <c r="AA618" s="40"/>
      <c r="AD618" s="40"/>
    </row>
    <row r="619" spans="1:30">
      <c r="A619">
        <v>3588</v>
      </c>
      <c r="B619" t="s">
        <v>1132</v>
      </c>
      <c r="C619">
        <v>30.9</v>
      </c>
      <c r="Y619" s="40"/>
      <c r="Z619" s="40"/>
      <c r="AA619" s="40"/>
      <c r="AD619" s="40"/>
    </row>
    <row r="620" spans="1:30">
      <c r="A620">
        <v>3591</v>
      </c>
      <c r="B620" t="s">
        <v>1133</v>
      </c>
      <c r="C620">
        <v>16.75</v>
      </c>
      <c r="Y620" s="40"/>
      <c r="Z620" s="40"/>
      <c r="AA620" s="40"/>
      <c r="AD620" s="40"/>
    </row>
    <row r="621" spans="1:30">
      <c r="A621">
        <v>3593</v>
      </c>
      <c r="B621" t="s">
        <v>1134</v>
      </c>
      <c r="C621">
        <v>8.52</v>
      </c>
      <c r="Y621" s="40"/>
      <c r="Z621" s="40"/>
      <c r="AD621" s="40"/>
    </row>
    <row r="622" spans="1:30">
      <c r="A622">
        <v>3596</v>
      </c>
      <c r="B622" t="s">
        <v>1135</v>
      </c>
      <c r="C622">
        <v>49.2</v>
      </c>
      <c r="Y622" s="40"/>
      <c r="Z622" s="40"/>
      <c r="AD622" s="40"/>
    </row>
    <row r="623" spans="1:30">
      <c r="A623">
        <v>3598</v>
      </c>
      <c r="B623" t="s">
        <v>1136</v>
      </c>
      <c r="C623">
        <v>49.55</v>
      </c>
      <c r="Y623" s="40"/>
      <c r="Z623" s="40"/>
      <c r="AA623" s="40"/>
      <c r="AD623" s="40"/>
    </row>
    <row r="624" spans="1:30">
      <c r="A624">
        <v>3605</v>
      </c>
      <c r="B624" t="s">
        <v>1137</v>
      </c>
      <c r="C624">
        <v>39.15</v>
      </c>
      <c r="Y624" s="40"/>
      <c r="Z624" s="40"/>
      <c r="AA624" s="40"/>
      <c r="AD624" s="40"/>
    </row>
    <row r="625" spans="1:30">
      <c r="A625">
        <v>3607</v>
      </c>
      <c r="B625" t="s">
        <v>1138</v>
      </c>
      <c r="C625">
        <v>48.3</v>
      </c>
      <c r="Y625" s="40"/>
      <c r="Z625" s="40"/>
      <c r="AA625" s="40"/>
      <c r="AD625" s="40"/>
    </row>
    <row r="626" spans="1:30">
      <c r="A626">
        <v>3617</v>
      </c>
      <c r="B626" t="s">
        <v>1139</v>
      </c>
      <c r="C626">
        <v>103.5</v>
      </c>
      <c r="Y626" s="40"/>
      <c r="Z626" s="40"/>
      <c r="AA626" s="40"/>
      <c r="AD626" s="40"/>
    </row>
    <row r="627" spans="1:30">
      <c r="A627">
        <v>3622</v>
      </c>
      <c r="B627" t="s">
        <v>1140</v>
      </c>
      <c r="C627">
        <v>11.5</v>
      </c>
      <c r="Y627" s="40"/>
      <c r="Z627" s="40"/>
      <c r="AA627" s="40"/>
      <c r="AD627" s="40"/>
    </row>
    <row r="628" spans="1:30">
      <c r="A628">
        <v>3645</v>
      </c>
      <c r="B628" t="s">
        <v>1141</v>
      </c>
      <c r="C628">
        <v>27.5</v>
      </c>
      <c r="Y628" s="40"/>
      <c r="Z628" s="40"/>
      <c r="AA628" s="40"/>
      <c r="AD628" s="40"/>
    </row>
    <row r="629" spans="1:30">
      <c r="A629">
        <v>3653</v>
      </c>
      <c r="B629" t="s">
        <v>1142</v>
      </c>
      <c r="C629">
        <v>47.5</v>
      </c>
      <c r="Y629" s="40"/>
      <c r="Z629" s="40"/>
      <c r="AA629" s="40"/>
      <c r="AD629" s="40"/>
    </row>
    <row r="630" spans="1:30">
      <c r="A630">
        <v>3661</v>
      </c>
      <c r="B630" t="s">
        <v>1143</v>
      </c>
      <c r="C630">
        <v>37.4</v>
      </c>
      <c r="Y630" s="40"/>
      <c r="Z630" s="40"/>
      <c r="AA630" s="40"/>
      <c r="AD630" s="40"/>
    </row>
    <row r="631" spans="1:30">
      <c r="A631">
        <v>3665</v>
      </c>
      <c r="B631" t="s">
        <v>1144</v>
      </c>
      <c r="C631">
        <v>153</v>
      </c>
      <c r="Y631" s="40"/>
      <c r="Z631" s="40"/>
      <c r="AA631" s="40"/>
      <c r="AD631" s="40"/>
    </row>
    <row r="632" spans="1:30">
      <c r="A632">
        <v>3669</v>
      </c>
      <c r="B632" t="s">
        <v>1145</v>
      </c>
      <c r="C632">
        <v>16.2</v>
      </c>
      <c r="Y632" s="40"/>
      <c r="Z632" s="40"/>
      <c r="AA632" s="40"/>
      <c r="AD632" s="40"/>
    </row>
    <row r="633" spans="1:30">
      <c r="A633">
        <v>3673</v>
      </c>
      <c r="B633" t="s">
        <v>1146</v>
      </c>
      <c r="C633">
        <v>74</v>
      </c>
      <c r="Y633" s="40"/>
      <c r="Z633" s="40"/>
      <c r="AA633" s="40"/>
      <c r="AD633" s="40"/>
    </row>
    <row r="634" spans="1:30">
      <c r="A634">
        <v>3679</v>
      </c>
      <c r="B634" t="s">
        <v>1147</v>
      </c>
      <c r="C634">
        <v>47.45</v>
      </c>
      <c r="Y634" s="40"/>
      <c r="Z634" s="40"/>
      <c r="AA634" s="40"/>
      <c r="AD634" s="40"/>
    </row>
    <row r="635" spans="1:30">
      <c r="A635">
        <v>3682</v>
      </c>
      <c r="B635" t="s">
        <v>1148</v>
      </c>
      <c r="C635">
        <v>11.65</v>
      </c>
      <c r="M635" s="40"/>
      <c r="Y635" s="40"/>
      <c r="Z635" s="40"/>
      <c r="AA635" s="40"/>
      <c r="AD635" s="40"/>
    </row>
    <row r="636" spans="1:30">
      <c r="A636">
        <v>3686</v>
      </c>
      <c r="B636" t="s">
        <v>1149</v>
      </c>
      <c r="C636">
        <v>10.35</v>
      </c>
      <c r="Y636" s="40"/>
      <c r="Z636" s="40"/>
      <c r="AA636" s="40"/>
      <c r="AD636" s="40"/>
    </row>
    <row r="637" spans="1:30">
      <c r="A637">
        <v>3694</v>
      </c>
      <c r="B637" t="s">
        <v>1150</v>
      </c>
      <c r="C637">
        <v>16.899999999999999</v>
      </c>
      <c r="Y637" s="40"/>
      <c r="Z637" s="40"/>
      <c r="AA637" s="40"/>
      <c r="AD637" s="40"/>
    </row>
    <row r="638" spans="1:30">
      <c r="A638">
        <v>3698</v>
      </c>
      <c r="B638" t="s">
        <v>1151</v>
      </c>
      <c r="C638">
        <v>17.45</v>
      </c>
      <c r="Y638" s="40"/>
      <c r="Z638" s="40"/>
      <c r="AA638" s="40"/>
      <c r="AD638" s="40"/>
    </row>
    <row r="639" spans="1:30">
      <c r="A639">
        <v>3701</v>
      </c>
      <c r="B639" t="s">
        <v>1152</v>
      </c>
      <c r="C639">
        <v>8</v>
      </c>
      <c r="Y639" s="40"/>
      <c r="Z639" s="40"/>
      <c r="AD639" s="40"/>
    </row>
    <row r="640" spans="1:30">
      <c r="A640">
        <v>3702</v>
      </c>
      <c r="B640" t="s">
        <v>1153</v>
      </c>
      <c r="C640">
        <v>34.299999999999997</v>
      </c>
      <c r="Y640" s="40"/>
      <c r="Z640" s="40"/>
      <c r="AA640" s="40"/>
      <c r="AD640" s="40"/>
    </row>
    <row r="641" spans="1:30">
      <c r="A641">
        <v>3703</v>
      </c>
      <c r="B641" t="s">
        <v>1154</v>
      </c>
      <c r="C641">
        <v>11.6</v>
      </c>
      <c r="Y641" s="40"/>
      <c r="Z641" s="40"/>
      <c r="AA641" s="40"/>
      <c r="AD641" s="40"/>
    </row>
    <row r="642" spans="1:30">
      <c r="A642">
        <v>3704</v>
      </c>
      <c r="B642" t="s">
        <v>1155</v>
      </c>
      <c r="C642">
        <v>16.05</v>
      </c>
      <c r="Y642" s="40"/>
      <c r="Z642" s="40"/>
      <c r="AA642" s="40"/>
      <c r="AD642" s="40"/>
    </row>
    <row r="643" spans="1:30">
      <c r="A643">
        <v>3705</v>
      </c>
      <c r="B643" t="s">
        <v>1156</v>
      </c>
      <c r="C643">
        <v>49.3</v>
      </c>
      <c r="Y643" s="40"/>
      <c r="Z643" s="40"/>
      <c r="AA643" s="40"/>
      <c r="AD643" s="40"/>
    </row>
    <row r="644" spans="1:30">
      <c r="A644">
        <v>3706</v>
      </c>
      <c r="B644" t="s">
        <v>1157</v>
      </c>
      <c r="C644">
        <v>23.5</v>
      </c>
      <c r="Y644" s="40"/>
      <c r="Z644" s="40"/>
      <c r="AA644" s="40"/>
      <c r="AD644" s="40"/>
    </row>
    <row r="645" spans="1:30">
      <c r="A645">
        <v>4104</v>
      </c>
      <c r="B645" t="s">
        <v>1158</v>
      </c>
      <c r="C645">
        <v>51.2</v>
      </c>
      <c r="Y645" s="40"/>
      <c r="Z645" s="40"/>
      <c r="AA645" s="40"/>
      <c r="AD645" s="40"/>
    </row>
    <row r="646" spans="1:30">
      <c r="A646">
        <v>4106</v>
      </c>
      <c r="B646" t="s">
        <v>1159</v>
      </c>
      <c r="C646">
        <v>42.85</v>
      </c>
      <c r="Y646" s="40"/>
      <c r="Z646" s="40"/>
      <c r="AD646" s="40"/>
    </row>
    <row r="647" spans="1:30">
      <c r="A647">
        <v>4108</v>
      </c>
      <c r="B647" t="s">
        <v>1160</v>
      </c>
      <c r="C647">
        <v>27.5</v>
      </c>
      <c r="Y647" s="40"/>
      <c r="Z647" s="40"/>
      <c r="AA647" s="40"/>
      <c r="AD647" s="40"/>
    </row>
    <row r="648" spans="1:30">
      <c r="A648">
        <v>4119</v>
      </c>
      <c r="B648" t="s">
        <v>1161</v>
      </c>
      <c r="C648">
        <v>77.900000000000006</v>
      </c>
      <c r="Y648" s="40"/>
      <c r="Z648" s="40"/>
      <c r="AA648" s="40"/>
      <c r="AD648" s="40"/>
    </row>
    <row r="649" spans="1:30">
      <c r="A649">
        <v>4133</v>
      </c>
      <c r="B649" t="s">
        <v>1162</v>
      </c>
      <c r="C649">
        <v>30.75</v>
      </c>
      <c r="Y649" s="40"/>
      <c r="Z649" s="40"/>
      <c r="AA649" s="40"/>
      <c r="AD649" s="40"/>
    </row>
    <row r="650" spans="1:30">
      <c r="A650">
        <v>4137</v>
      </c>
      <c r="B650" t="s">
        <v>1163</v>
      </c>
      <c r="C650">
        <v>303</v>
      </c>
      <c r="Y650" s="40"/>
      <c r="Z650" s="40"/>
      <c r="AA650" s="40"/>
      <c r="AD650" s="40"/>
    </row>
    <row r="651" spans="1:30">
      <c r="A651">
        <v>4141</v>
      </c>
      <c r="B651" t="s">
        <v>1164</v>
      </c>
      <c r="C651">
        <v>35.299999999999997</v>
      </c>
      <c r="Y651" s="40"/>
      <c r="Z651" s="40"/>
      <c r="AA651" s="40"/>
      <c r="AD651" s="40"/>
    </row>
    <row r="652" spans="1:30">
      <c r="A652">
        <v>4142</v>
      </c>
      <c r="B652" t="s">
        <v>1165</v>
      </c>
      <c r="C652">
        <v>24.85</v>
      </c>
      <c r="Y652" s="40"/>
      <c r="Z652" s="40"/>
      <c r="AA652" s="40"/>
      <c r="AD652" s="40"/>
    </row>
    <row r="653" spans="1:30">
      <c r="A653">
        <v>4144</v>
      </c>
      <c r="B653" t="s">
        <v>1166</v>
      </c>
      <c r="C653">
        <v>52.1</v>
      </c>
      <c r="Y653" s="40"/>
      <c r="Z653" s="40"/>
      <c r="AA653" s="40"/>
      <c r="AD653" s="40"/>
    </row>
    <row r="654" spans="1:30">
      <c r="A654">
        <v>4164</v>
      </c>
      <c r="B654" t="s">
        <v>1167</v>
      </c>
      <c r="C654">
        <v>57.6</v>
      </c>
      <c r="Y654" s="40"/>
      <c r="Z654" s="40"/>
      <c r="AA654" s="40"/>
      <c r="AD654" s="40"/>
    </row>
    <row r="655" spans="1:30">
      <c r="A655">
        <v>4190</v>
      </c>
      <c r="B655" t="s">
        <v>1845</v>
      </c>
      <c r="C655">
        <v>124</v>
      </c>
      <c r="Y655" s="40"/>
      <c r="Z655" s="40"/>
      <c r="AA655" s="40"/>
      <c r="AD655" s="40"/>
    </row>
    <row r="656" spans="1:30">
      <c r="A656">
        <v>4306</v>
      </c>
      <c r="B656" t="s">
        <v>1168</v>
      </c>
      <c r="C656">
        <v>12.85</v>
      </c>
      <c r="Y656" s="40"/>
      <c r="Z656" s="40"/>
      <c r="AA656" s="40"/>
      <c r="AD656" s="40"/>
    </row>
    <row r="657" spans="1:30">
      <c r="A657">
        <v>4414</v>
      </c>
      <c r="B657" t="s">
        <v>1169</v>
      </c>
      <c r="C657">
        <v>25.4</v>
      </c>
      <c r="Y657" s="40"/>
      <c r="Z657" s="40"/>
      <c r="AA657" s="40"/>
      <c r="AD657" s="40"/>
    </row>
    <row r="658" spans="1:30">
      <c r="A658">
        <v>4426</v>
      </c>
      <c r="B658" t="s">
        <v>1170</v>
      </c>
      <c r="C658">
        <v>195.5</v>
      </c>
      <c r="Y658" s="40"/>
      <c r="Z658" s="40"/>
      <c r="AA658" s="40"/>
      <c r="AD658" s="40"/>
    </row>
    <row r="659" spans="1:30">
      <c r="A659">
        <v>4526</v>
      </c>
      <c r="B659" t="s">
        <v>1171</v>
      </c>
      <c r="C659">
        <v>24.8</v>
      </c>
      <c r="Y659" s="40"/>
      <c r="Z659" s="40"/>
      <c r="AD659" s="40"/>
    </row>
    <row r="660" spans="1:30">
      <c r="A660">
        <v>4532</v>
      </c>
      <c r="B660" t="s">
        <v>1172</v>
      </c>
      <c r="C660">
        <v>27.1</v>
      </c>
      <c r="Y660" s="40"/>
      <c r="Z660" s="40"/>
      <c r="AA660" s="40"/>
      <c r="AD660" s="40"/>
    </row>
    <row r="661" spans="1:30">
      <c r="A661">
        <v>4536</v>
      </c>
      <c r="B661" t="s">
        <v>1173</v>
      </c>
      <c r="C661">
        <v>112</v>
      </c>
      <c r="Y661" s="40"/>
      <c r="Z661" s="40"/>
      <c r="AA661" s="40"/>
      <c r="AD661" s="40"/>
    </row>
    <row r="662" spans="1:30">
      <c r="A662">
        <v>4545</v>
      </c>
      <c r="B662" t="s">
        <v>2453</v>
      </c>
      <c r="C662">
        <v>83.2</v>
      </c>
      <c r="Y662" s="40"/>
      <c r="Z662" s="40"/>
      <c r="AA662" s="40"/>
      <c r="AD662" s="40"/>
    </row>
    <row r="663" spans="1:30">
      <c r="A663">
        <v>4551</v>
      </c>
      <c r="B663" t="s">
        <v>1174</v>
      </c>
      <c r="C663">
        <v>84</v>
      </c>
      <c r="Y663" s="40"/>
      <c r="Z663" s="40"/>
      <c r="AD663" s="40"/>
    </row>
    <row r="664" spans="1:30">
      <c r="A664">
        <v>4555</v>
      </c>
      <c r="B664" t="s">
        <v>1856</v>
      </c>
      <c r="C664">
        <v>76</v>
      </c>
      <c r="Y664" s="40"/>
      <c r="Z664" s="40"/>
      <c r="AA664" s="40"/>
      <c r="AD664" s="40"/>
    </row>
    <row r="665" spans="1:30">
      <c r="A665">
        <v>4557</v>
      </c>
      <c r="B665" t="s">
        <v>1175</v>
      </c>
      <c r="C665">
        <v>76.3</v>
      </c>
      <c r="Y665" s="40"/>
      <c r="Z665" s="40"/>
      <c r="AA665" s="40"/>
      <c r="AD665" s="40"/>
    </row>
    <row r="666" spans="1:30">
      <c r="A666">
        <v>4720</v>
      </c>
      <c r="B666" t="s">
        <v>1176</v>
      </c>
      <c r="C666">
        <v>17.149999999999999</v>
      </c>
      <c r="Y666" s="40"/>
      <c r="Z666" s="40"/>
      <c r="AA666" s="40"/>
      <c r="AD666" s="40"/>
    </row>
    <row r="667" spans="1:30">
      <c r="A667">
        <v>4722</v>
      </c>
      <c r="B667" t="s">
        <v>1177</v>
      </c>
      <c r="C667">
        <v>34.6</v>
      </c>
      <c r="Y667" s="40"/>
      <c r="Z667" s="40"/>
      <c r="AA667" s="40"/>
      <c r="AD667" s="40"/>
    </row>
    <row r="668" spans="1:30">
      <c r="A668">
        <v>4725</v>
      </c>
      <c r="B668" t="s">
        <v>1178</v>
      </c>
      <c r="C668">
        <v>16.899999999999999</v>
      </c>
      <c r="Y668" s="40"/>
      <c r="Z668" s="40"/>
      <c r="AA668" s="40"/>
      <c r="AD668" s="40"/>
    </row>
    <row r="669" spans="1:30">
      <c r="A669">
        <v>4733</v>
      </c>
      <c r="B669" t="s">
        <v>1179</v>
      </c>
      <c r="C669">
        <v>153</v>
      </c>
      <c r="Y669" s="40"/>
      <c r="Z669" s="40"/>
      <c r="AD669" s="40"/>
    </row>
    <row r="670" spans="1:30">
      <c r="A670">
        <v>4737</v>
      </c>
      <c r="B670" t="s">
        <v>1180</v>
      </c>
      <c r="C670">
        <v>55</v>
      </c>
      <c r="Y670" s="40"/>
      <c r="Z670" s="40"/>
      <c r="AD670" s="40"/>
    </row>
    <row r="671" spans="1:30">
      <c r="A671">
        <v>4746</v>
      </c>
      <c r="B671" t="s">
        <v>1181</v>
      </c>
      <c r="C671">
        <v>73.599999999999994</v>
      </c>
      <c r="Y671" s="40"/>
      <c r="Z671" s="40"/>
      <c r="AA671" s="40"/>
      <c r="AD671" s="40"/>
    </row>
    <row r="672" spans="1:30">
      <c r="A672">
        <v>4755</v>
      </c>
      <c r="B672" t="s">
        <v>1182</v>
      </c>
      <c r="C672">
        <v>23.9</v>
      </c>
      <c r="Y672" s="40"/>
      <c r="Z672" s="40"/>
      <c r="AA672" s="40"/>
      <c r="AD672" s="40"/>
    </row>
    <row r="673" spans="1:30">
      <c r="A673">
        <v>4763</v>
      </c>
      <c r="B673" t="s">
        <v>1884</v>
      </c>
      <c r="C673">
        <v>112.5</v>
      </c>
      <c r="Y673" s="40"/>
      <c r="Z673" s="40"/>
      <c r="AD673" s="40"/>
    </row>
    <row r="674" spans="1:30">
      <c r="A674">
        <v>4904</v>
      </c>
      <c r="B674" t="s">
        <v>1183</v>
      </c>
      <c r="C674">
        <v>70.3</v>
      </c>
      <c r="Y674" s="40"/>
      <c r="Z674" s="40"/>
      <c r="AA674" s="40"/>
      <c r="AD674" s="40"/>
    </row>
    <row r="675" spans="1:30">
      <c r="A675">
        <v>4906</v>
      </c>
      <c r="B675" t="s">
        <v>1184</v>
      </c>
      <c r="C675">
        <v>19.100000000000001</v>
      </c>
      <c r="Y675" s="40"/>
      <c r="Z675" s="40"/>
      <c r="AA675" s="40"/>
      <c r="AD675" s="40"/>
    </row>
    <row r="676" spans="1:30">
      <c r="A676">
        <v>4912</v>
      </c>
      <c r="B676" t="s">
        <v>1185</v>
      </c>
      <c r="C676">
        <v>88.3</v>
      </c>
      <c r="Y676" s="40"/>
      <c r="Z676" s="40"/>
      <c r="AA676" s="40"/>
      <c r="AD676" s="40"/>
    </row>
    <row r="677" spans="1:30">
      <c r="A677">
        <v>4915</v>
      </c>
      <c r="B677" t="s">
        <v>1186</v>
      </c>
      <c r="C677">
        <v>41</v>
      </c>
      <c r="Y677" s="40"/>
      <c r="Z677" s="40"/>
      <c r="AD677" s="40"/>
    </row>
    <row r="678" spans="1:30">
      <c r="A678">
        <v>4916</v>
      </c>
      <c r="B678" t="s">
        <v>1187</v>
      </c>
      <c r="C678">
        <v>25.2</v>
      </c>
      <c r="Y678" s="40"/>
      <c r="Z678" s="40"/>
      <c r="AA678" s="40"/>
      <c r="AD678" s="40"/>
    </row>
    <row r="679" spans="1:30">
      <c r="A679">
        <v>4919</v>
      </c>
      <c r="B679" t="s">
        <v>1188</v>
      </c>
      <c r="C679">
        <v>33.15</v>
      </c>
      <c r="Y679" s="40"/>
      <c r="Z679" s="40"/>
      <c r="AA679" s="40"/>
      <c r="AD679" s="40"/>
    </row>
    <row r="680" spans="1:30">
      <c r="A680">
        <v>4927</v>
      </c>
      <c r="B680" t="s">
        <v>1189</v>
      </c>
      <c r="C680">
        <v>37.65</v>
      </c>
      <c r="Y680" s="40"/>
      <c r="Z680" s="40"/>
      <c r="AA680" s="40"/>
      <c r="AD680" s="40"/>
    </row>
    <row r="681" spans="1:30">
      <c r="A681">
        <v>4930</v>
      </c>
      <c r="B681" t="s">
        <v>1190</v>
      </c>
      <c r="C681">
        <v>15.65</v>
      </c>
      <c r="Y681" s="40"/>
      <c r="Z681" s="40"/>
      <c r="AA681" s="40"/>
      <c r="AD681" s="40"/>
    </row>
    <row r="682" spans="1:30">
      <c r="A682">
        <v>4934</v>
      </c>
      <c r="B682" t="s">
        <v>1191</v>
      </c>
      <c r="C682">
        <v>21.3</v>
      </c>
      <c r="Y682" s="40"/>
      <c r="Z682" s="40"/>
      <c r="AD682" s="40"/>
    </row>
    <row r="683" spans="1:30">
      <c r="A683">
        <v>4935</v>
      </c>
      <c r="B683" t="s">
        <v>1192</v>
      </c>
      <c r="C683">
        <v>72.5</v>
      </c>
      <c r="Y683" s="40"/>
      <c r="Z683" s="40"/>
      <c r="AA683" s="40"/>
      <c r="AD683" s="40"/>
    </row>
    <row r="684" spans="1:30">
      <c r="A684">
        <v>4938</v>
      </c>
      <c r="B684" t="s">
        <v>1193</v>
      </c>
      <c r="C684">
        <v>79.099999999999994</v>
      </c>
      <c r="Y684" s="40"/>
      <c r="Z684" s="40"/>
      <c r="AD684" s="40"/>
    </row>
    <row r="685" spans="1:30">
      <c r="A685">
        <v>4942</v>
      </c>
      <c r="B685" t="s">
        <v>1194</v>
      </c>
      <c r="C685">
        <v>20.75</v>
      </c>
      <c r="Y685" s="40"/>
      <c r="Z685" s="40"/>
      <c r="AA685" s="40"/>
      <c r="AD685" s="40"/>
    </row>
    <row r="686" spans="1:30">
      <c r="A686">
        <v>4952</v>
      </c>
      <c r="B686" t="s">
        <v>1195</v>
      </c>
      <c r="C686">
        <v>39.75</v>
      </c>
      <c r="Y686" s="40"/>
      <c r="Z686" s="40"/>
      <c r="AA686" s="40"/>
      <c r="AD686" s="40"/>
    </row>
    <row r="687" spans="1:30">
      <c r="A687">
        <v>4956</v>
      </c>
      <c r="B687" t="s">
        <v>1196</v>
      </c>
      <c r="C687">
        <v>13.15</v>
      </c>
      <c r="Y687" s="40"/>
      <c r="Z687" s="40"/>
      <c r="AD687" s="40"/>
    </row>
    <row r="688" spans="1:30">
      <c r="A688">
        <v>4958</v>
      </c>
      <c r="B688" t="s">
        <v>1197</v>
      </c>
      <c r="C688">
        <v>79.099999999999994</v>
      </c>
      <c r="Y688" s="40"/>
      <c r="Z688" s="40"/>
      <c r="AD688" s="40"/>
    </row>
    <row r="689" spans="1:30">
      <c r="A689">
        <v>4960</v>
      </c>
      <c r="B689" t="s">
        <v>1198</v>
      </c>
      <c r="C689">
        <v>21.6</v>
      </c>
      <c r="Y689" s="40"/>
      <c r="Z689" s="40"/>
      <c r="AD689" s="40"/>
    </row>
    <row r="690" spans="1:30">
      <c r="A690">
        <v>4968</v>
      </c>
      <c r="B690" t="s">
        <v>1889</v>
      </c>
      <c r="C690">
        <v>87</v>
      </c>
      <c r="Y690" s="40"/>
      <c r="Z690" s="40"/>
      <c r="AD690" s="40"/>
    </row>
    <row r="691" spans="1:30">
      <c r="A691">
        <v>4976</v>
      </c>
      <c r="B691" t="s">
        <v>1199</v>
      </c>
      <c r="C691">
        <v>16.55</v>
      </c>
      <c r="Y691" s="40"/>
      <c r="Z691" s="40"/>
      <c r="AA691" s="40"/>
      <c r="AD691" s="40"/>
    </row>
    <row r="692" spans="1:30">
      <c r="A692">
        <v>4977</v>
      </c>
      <c r="B692" t="s">
        <v>1200</v>
      </c>
      <c r="C692">
        <v>65.5</v>
      </c>
      <c r="Y692" s="40"/>
      <c r="Z692" s="40"/>
      <c r="AD692" s="40"/>
    </row>
    <row r="693" spans="1:30">
      <c r="A693">
        <v>4984</v>
      </c>
      <c r="B693" t="s">
        <v>1201</v>
      </c>
      <c r="C693">
        <v>51</v>
      </c>
      <c r="Y693" s="40"/>
      <c r="Z693" s="40"/>
      <c r="AD693" s="40"/>
    </row>
    <row r="694" spans="1:30">
      <c r="A694">
        <v>4994</v>
      </c>
      <c r="B694" t="s">
        <v>1202</v>
      </c>
      <c r="C694">
        <v>75</v>
      </c>
      <c r="Y694" s="40"/>
      <c r="Z694" s="40"/>
      <c r="AD694" s="40"/>
    </row>
    <row r="695" spans="1:30">
      <c r="A695">
        <v>4999</v>
      </c>
      <c r="B695" t="s">
        <v>1203</v>
      </c>
      <c r="C695">
        <v>47</v>
      </c>
      <c r="Y695" s="40"/>
      <c r="Z695" s="40"/>
      <c r="AD695" s="40"/>
    </row>
    <row r="696" spans="1:30">
      <c r="A696">
        <v>5007</v>
      </c>
      <c r="B696" t="s">
        <v>1204</v>
      </c>
      <c r="C696">
        <v>63.4</v>
      </c>
      <c r="Y696" s="40"/>
      <c r="Z696" s="40"/>
      <c r="AD696" s="40"/>
    </row>
    <row r="697" spans="1:30">
      <c r="A697">
        <v>5203</v>
      </c>
      <c r="B697" t="s">
        <v>1205</v>
      </c>
      <c r="C697">
        <v>73.7</v>
      </c>
      <c r="Y697" s="40"/>
      <c r="Z697" s="40"/>
      <c r="AD697" s="40"/>
    </row>
    <row r="698" spans="1:30">
      <c r="A698">
        <v>5215</v>
      </c>
      <c r="B698" t="s">
        <v>1206</v>
      </c>
      <c r="C698">
        <v>40.15</v>
      </c>
      <c r="Y698" s="40"/>
      <c r="Z698" s="40"/>
      <c r="AD698" s="40"/>
    </row>
    <row r="699" spans="1:30">
      <c r="A699">
        <v>5225</v>
      </c>
      <c r="B699" t="s">
        <v>1207</v>
      </c>
      <c r="C699">
        <v>47.95</v>
      </c>
      <c r="Y699" s="40"/>
      <c r="Z699" s="40"/>
      <c r="AD699" s="40"/>
    </row>
    <row r="700" spans="1:30">
      <c r="A700">
        <v>5234</v>
      </c>
      <c r="B700" t="s">
        <v>1208</v>
      </c>
      <c r="C700">
        <v>31.7</v>
      </c>
      <c r="Y700" s="40"/>
      <c r="Z700" s="40"/>
      <c r="AD700" s="40"/>
    </row>
    <row r="701" spans="1:30">
      <c r="A701">
        <v>5243</v>
      </c>
      <c r="B701" t="s">
        <v>1209</v>
      </c>
      <c r="C701">
        <v>32.9</v>
      </c>
      <c r="Y701" s="40"/>
      <c r="Z701" s="40"/>
      <c r="AD701" s="40"/>
    </row>
    <row r="702" spans="1:30">
      <c r="A702">
        <v>5259</v>
      </c>
      <c r="B702" t="s">
        <v>1210</v>
      </c>
      <c r="C702">
        <v>6.12</v>
      </c>
      <c r="Y702" s="40"/>
      <c r="Z702" s="40"/>
      <c r="AD702" s="40"/>
    </row>
    <row r="703" spans="1:30">
      <c r="A703">
        <v>5264</v>
      </c>
      <c r="B703" t="s">
        <v>1211</v>
      </c>
      <c r="C703">
        <v>174.5</v>
      </c>
      <c r="Y703" s="40"/>
      <c r="Z703" s="40"/>
      <c r="AD703" s="40"/>
    </row>
    <row r="704" spans="1:30">
      <c r="A704">
        <v>5269</v>
      </c>
      <c r="B704" t="s">
        <v>1212</v>
      </c>
      <c r="C704">
        <v>179</v>
      </c>
      <c r="Y704" s="40"/>
      <c r="Z704" s="40"/>
      <c r="AD704" s="40"/>
    </row>
    <row r="705" spans="1:30">
      <c r="A705">
        <v>5285</v>
      </c>
      <c r="B705" t="s">
        <v>1213</v>
      </c>
      <c r="C705">
        <v>31.5</v>
      </c>
      <c r="Y705" s="40"/>
      <c r="Z705" s="40"/>
      <c r="AD705" s="40"/>
    </row>
    <row r="706" spans="1:30">
      <c r="A706">
        <v>5288</v>
      </c>
      <c r="B706" t="s">
        <v>1214</v>
      </c>
      <c r="C706">
        <v>105</v>
      </c>
      <c r="Y706" s="40"/>
      <c r="Z706" s="40"/>
      <c r="AD706" s="40"/>
    </row>
    <row r="707" spans="1:30">
      <c r="A707">
        <v>5305</v>
      </c>
      <c r="B707" t="s">
        <v>1215</v>
      </c>
      <c r="C707">
        <v>22.7</v>
      </c>
      <c r="Y707" s="40"/>
      <c r="Z707" s="40"/>
      <c r="AD707" s="40"/>
    </row>
    <row r="708" spans="1:30">
      <c r="A708">
        <v>5388</v>
      </c>
      <c r="B708" t="s">
        <v>1216</v>
      </c>
      <c r="C708">
        <v>81.8</v>
      </c>
      <c r="Y708" s="40"/>
      <c r="Z708" s="40"/>
      <c r="AA708" s="40"/>
      <c r="AD708" s="40"/>
    </row>
    <row r="709" spans="1:30">
      <c r="A709">
        <v>5434</v>
      </c>
      <c r="B709" t="s">
        <v>1217</v>
      </c>
      <c r="C709">
        <v>59.7</v>
      </c>
      <c r="Y709" s="40"/>
      <c r="Z709" s="40"/>
      <c r="AD709" s="40"/>
    </row>
    <row r="710" spans="1:30">
      <c r="A710">
        <v>5469</v>
      </c>
      <c r="B710" t="s">
        <v>1218</v>
      </c>
      <c r="C710">
        <v>10.55</v>
      </c>
      <c r="Y710" s="40"/>
      <c r="Z710" s="40"/>
      <c r="AA710" s="40"/>
      <c r="AD710" s="40"/>
    </row>
    <row r="711" spans="1:30">
      <c r="A711">
        <v>5471</v>
      </c>
      <c r="B711" t="s">
        <v>1219</v>
      </c>
      <c r="C711">
        <v>36.799999999999997</v>
      </c>
      <c r="Y711" s="40"/>
      <c r="Z711" s="40"/>
      <c r="AD711" s="40"/>
    </row>
    <row r="712" spans="1:30">
      <c r="A712">
        <v>5484</v>
      </c>
      <c r="B712" t="s">
        <v>1220</v>
      </c>
      <c r="C712">
        <v>4.0999999999999996</v>
      </c>
      <c r="Y712" s="40"/>
      <c r="Z712" s="40"/>
      <c r="AD712" s="40"/>
    </row>
    <row r="713" spans="1:30">
      <c r="A713">
        <v>5515</v>
      </c>
      <c r="B713" t="s">
        <v>1221</v>
      </c>
      <c r="C713">
        <v>8.92</v>
      </c>
      <c r="Y713" s="40"/>
      <c r="Z713" s="40"/>
      <c r="AD713" s="40"/>
    </row>
    <row r="714" spans="1:30">
      <c r="A714">
        <v>5519</v>
      </c>
      <c r="B714" t="s">
        <v>1222</v>
      </c>
      <c r="C714">
        <v>13</v>
      </c>
      <c r="Y714" s="40"/>
      <c r="Z714" s="40"/>
      <c r="AD714" s="40"/>
    </row>
    <row r="715" spans="1:30">
      <c r="A715">
        <v>5521</v>
      </c>
      <c r="B715" t="s">
        <v>1223</v>
      </c>
      <c r="C715">
        <v>11.6</v>
      </c>
      <c r="Y715" s="40"/>
      <c r="Z715" s="40"/>
      <c r="AD715" s="40"/>
    </row>
    <row r="716" spans="1:30">
      <c r="A716">
        <v>5522</v>
      </c>
      <c r="B716" t="s">
        <v>1224</v>
      </c>
      <c r="C716">
        <v>35.6</v>
      </c>
      <c r="Y716" s="40"/>
      <c r="Z716" s="40"/>
      <c r="AD716" s="40"/>
    </row>
    <row r="717" spans="1:30">
      <c r="A717">
        <v>5525</v>
      </c>
      <c r="B717" t="s">
        <v>1225</v>
      </c>
      <c r="C717">
        <v>16</v>
      </c>
      <c r="Y717" s="40"/>
      <c r="Z717" s="40"/>
      <c r="AD717" s="40"/>
    </row>
    <row r="718" spans="1:30">
      <c r="A718">
        <v>5531</v>
      </c>
      <c r="B718" t="s">
        <v>1226</v>
      </c>
      <c r="C718">
        <v>12.9</v>
      </c>
      <c r="Y718" s="40"/>
      <c r="Z718" s="40"/>
      <c r="AD718" s="40"/>
    </row>
    <row r="719" spans="1:30">
      <c r="A719">
        <v>5533</v>
      </c>
      <c r="B719" t="s">
        <v>1227</v>
      </c>
      <c r="C719">
        <v>17.350000000000001</v>
      </c>
      <c r="Y719" s="40"/>
      <c r="Z719" s="40"/>
      <c r="AD719" s="40"/>
    </row>
    <row r="720" spans="1:30">
      <c r="A720">
        <v>5534</v>
      </c>
      <c r="B720" t="s">
        <v>1228</v>
      </c>
      <c r="C720">
        <v>47.9</v>
      </c>
      <c r="Y720" s="40"/>
      <c r="Z720" s="40"/>
      <c r="AD720" s="40"/>
    </row>
    <row r="721" spans="1:15">
      <c r="A721">
        <v>5538</v>
      </c>
      <c r="B721" t="s">
        <v>1229</v>
      </c>
      <c r="C721">
        <v>25.8</v>
      </c>
    </row>
    <row r="722" spans="1:15">
      <c r="A722">
        <v>5607</v>
      </c>
      <c r="B722" t="s">
        <v>1230</v>
      </c>
      <c r="C722">
        <v>15.3</v>
      </c>
    </row>
    <row r="723" spans="1:15">
      <c r="A723">
        <v>5608</v>
      </c>
      <c r="B723" t="s">
        <v>1231</v>
      </c>
      <c r="C723">
        <v>13.2</v>
      </c>
    </row>
    <row r="724" spans="1:15">
      <c r="A724">
        <v>5706</v>
      </c>
      <c r="B724" t="s">
        <v>1232</v>
      </c>
      <c r="C724">
        <v>38.85</v>
      </c>
    </row>
    <row r="725" spans="1:15">
      <c r="A725">
        <v>5871</v>
      </c>
      <c r="B725" t="s">
        <v>1233</v>
      </c>
      <c r="C725">
        <v>58.2</v>
      </c>
    </row>
    <row r="726" spans="1:15">
      <c r="A726">
        <v>5880</v>
      </c>
      <c r="B726" t="s">
        <v>1234</v>
      </c>
      <c r="C726">
        <v>14.4</v>
      </c>
      <c r="O726" s="40"/>
    </row>
    <row r="727" spans="1:15">
      <c r="A727">
        <v>5906</v>
      </c>
      <c r="B727" t="s">
        <v>1235</v>
      </c>
      <c r="C727">
        <v>2.2999999999999998</v>
      </c>
    </row>
    <row r="728" spans="1:15">
      <c r="A728">
        <v>5907</v>
      </c>
      <c r="B728" t="s">
        <v>1236</v>
      </c>
      <c r="C728">
        <v>25.75</v>
      </c>
    </row>
    <row r="729" spans="1:15">
      <c r="A729">
        <v>6005</v>
      </c>
      <c r="B729" t="s">
        <v>1237</v>
      </c>
      <c r="C729">
        <v>9.11</v>
      </c>
    </row>
    <row r="730" spans="1:15">
      <c r="A730">
        <v>6108</v>
      </c>
      <c r="B730" t="s">
        <v>1238</v>
      </c>
      <c r="C730">
        <v>14.7</v>
      </c>
    </row>
    <row r="731" spans="1:15">
      <c r="A731">
        <v>6112</v>
      </c>
      <c r="B731" t="s">
        <v>1239</v>
      </c>
      <c r="C731">
        <v>27.65</v>
      </c>
    </row>
    <row r="732" spans="1:15">
      <c r="A732">
        <v>6115</v>
      </c>
      <c r="B732" t="s">
        <v>1240</v>
      </c>
      <c r="C732">
        <v>36.799999999999997</v>
      </c>
    </row>
    <row r="733" spans="1:15">
      <c r="A733">
        <v>6116</v>
      </c>
      <c r="B733" t="s">
        <v>1241</v>
      </c>
      <c r="C733">
        <v>4.16</v>
      </c>
    </row>
    <row r="734" spans="1:15">
      <c r="A734">
        <v>6117</v>
      </c>
      <c r="B734" t="s">
        <v>1242</v>
      </c>
      <c r="C734">
        <v>13.9</v>
      </c>
    </row>
    <row r="735" spans="1:15">
      <c r="A735">
        <v>6120</v>
      </c>
      <c r="B735" t="s">
        <v>1243</v>
      </c>
      <c r="C735">
        <v>10.85</v>
      </c>
    </row>
    <row r="736" spans="1:15">
      <c r="A736">
        <v>6128</v>
      </c>
      <c r="B736" t="s">
        <v>1244</v>
      </c>
      <c r="C736">
        <v>36.5</v>
      </c>
    </row>
    <row r="737" spans="1:3">
      <c r="A737">
        <v>6131</v>
      </c>
      <c r="B737" t="s">
        <v>1245</v>
      </c>
      <c r="C737">
        <v>10.45</v>
      </c>
    </row>
    <row r="738" spans="1:3">
      <c r="A738">
        <v>6133</v>
      </c>
      <c r="B738" t="s">
        <v>1246</v>
      </c>
      <c r="C738">
        <v>10.15</v>
      </c>
    </row>
    <row r="739" spans="1:3">
      <c r="A739">
        <v>6136</v>
      </c>
      <c r="B739" t="s">
        <v>1247</v>
      </c>
      <c r="C739">
        <v>24.05</v>
      </c>
    </row>
    <row r="740" spans="1:3">
      <c r="A740">
        <v>6139</v>
      </c>
      <c r="B740" t="s">
        <v>1248</v>
      </c>
      <c r="C740">
        <v>29.3</v>
      </c>
    </row>
    <row r="741" spans="1:3">
      <c r="A741">
        <v>6141</v>
      </c>
      <c r="B741" t="s">
        <v>1249</v>
      </c>
      <c r="C741">
        <v>8.85</v>
      </c>
    </row>
    <row r="742" spans="1:3">
      <c r="A742">
        <v>6142</v>
      </c>
      <c r="B742" t="s">
        <v>1250</v>
      </c>
      <c r="C742">
        <v>5.75</v>
      </c>
    </row>
    <row r="743" spans="1:3">
      <c r="A743">
        <v>6145</v>
      </c>
      <c r="B743" t="s">
        <v>1251</v>
      </c>
      <c r="C743">
        <v>11</v>
      </c>
    </row>
    <row r="744" spans="1:3">
      <c r="A744">
        <v>6152</v>
      </c>
      <c r="B744" t="s">
        <v>1252</v>
      </c>
      <c r="C744">
        <v>8.1</v>
      </c>
    </row>
    <row r="745" spans="1:3">
      <c r="A745">
        <v>6153</v>
      </c>
      <c r="B745" t="s">
        <v>1253</v>
      </c>
      <c r="C745">
        <v>22.6</v>
      </c>
    </row>
    <row r="746" spans="1:3">
      <c r="A746">
        <v>6155</v>
      </c>
      <c r="B746" t="s">
        <v>1254</v>
      </c>
      <c r="C746">
        <v>19.25</v>
      </c>
    </row>
    <row r="747" spans="1:3">
      <c r="A747">
        <v>6164</v>
      </c>
      <c r="B747" t="s">
        <v>1255</v>
      </c>
      <c r="C747">
        <v>10.35</v>
      </c>
    </row>
    <row r="748" spans="1:3">
      <c r="A748">
        <v>6165</v>
      </c>
      <c r="B748" t="s">
        <v>1256</v>
      </c>
      <c r="C748">
        <v>10.85</v>
      </c>
    </row>
    <row r="749" spans="1:3">
      <c r="A749">
        <v>6166</v>
      </c>
      <c r="B749" t="s">
        <v>1257</v>
      </c>
      <c r="C749">
        <v>78.2</v>
      </c>
    </row>
    <row r="750" spans="1:3">
      <c r="A750">
        <v>6168</v>
      </c>
      <c r="B750" t="s">
        <v>1258</v>
      </c>
      <c r="C750">
        <v>13.05</v>
      </c>
    </row>
    <row r="751" spans="1:3">
      <c r="A751">
        <v>6172</v>
      </c>
      <c r="B751" t="s">
        <v>1259</v>
      </c>
      <c r="C751">
        <v>7.78</v>
      </c>
    </row>
    <row r="752" spans="1:3">
      <c r="A752">
        <v>6176</v>
      </c>
      <c r="B752" t="s">
        <v>1260</v>
      </c>
      <c r="C752">
        <v>69.599999999999994</v>
      </c>
    </row>
    <row r="753" spans="1:3">
      <c r="A753">
        <v>6177</v>
      </c>
      <c r="B753" t="s">
        <v>1261</v>
      </c>
      <c r="C753">
        <v>21.65</v>
      </c>
    </row>
    <row r="754" spans="1:3">
      <c r="A754">
        <v>6183</v>
      </c>
      <c r="B754" t="s">
        <v>1262</v>
      </c>
      <c r="C754">
        <v>26.2</v>
      </c>
    </row>
    <row r="755" spans="1:3">
      <c r="A755">
        <v>6184</v>
      </c>
      <c r="B755" t="s">
        <v>1263</v>
      </c>
      <c r="C755">
        <v>48.2</v>
      </c>
    </row>
    <row r="756" spans="1:3">
      <c r="A756">
        <v>6189</v>
      </c>
      <c r="B756" t="s">
        <v>1264</v>
      </c>
      <c r="C756">
        <v>34.700000000000003</v>
      </c>
    </row>
    <row r="757" spans="1:3">
      <c r="A757">
        <v>6191</v>
      </c>
      <c r="B757" t="s">
        <v>1265</v>
      </c>
      <c r="C757">
        <v>7.27</v>
      </c>
    </row>
    <row r="758" spans="1:3">
      <c r="A758">
        <v>6192</v>
      </c>
      <c r="B758" t="s">
        <v>1266</v>
      </c>
      <c r="C758">
        <v>46.7</v>
      </c>
    </row>
    <row r="759" spans="1:3">
      <c r="A759">
        <v>6196</v>
      </c>
      <c r="B759" t="s">
        <v>1267</v>
      </c>
      <c r="C759">
        <v>27.05</v>
      </c>
    </row>
    <row r="760" spans="1:3">
      <c r="A760">
        <v>6197</v>
      </c>
      <c r="B760" t="s">
        <v>1268</v>
      </c>
      <c r="C760">
        <v>28.8</v>
      </c>
    </row>
    <row r="761" spans="1:3">
      <c r="A761">
        <v>6201</v>
      </c>
      <c r="B761" t="s">
        <v>1269</v>
      </c>
      <c r="C761">
        <v>26.95</v>
      </c>
    </row>
    <row r="762" spans="1:3">
      <c r="A762">
        <v>6202</v>
      </c>
      <c r="B762" t="s">
        <v>1270</v>
      </c>
      <c r="C762">
        <v>52.5</v>
      </c>
    </row>
    <row r="763" spans="1:3">
      <c r="A763">
        <v>6205</v>
      </c>
      <c r="B763" t="s">
        <v>1271</v>
      </c>
      <c r="C763">
        <v>30.8</v>
      </c>
    </row>
    <row r="764" spans="1:3">
      <c r="A764">
        <v>6206</v>
      </c>
      <c r="B764" t="s">
        <v>1272</v>
      </c>
      <c r="C764">
        <v>110</v>
      </c>
    </row>
    <row r="765" spans="1:3">
      <c r="A765">
        <v>6209</v>
      </c>
      <c r="B765" t="s">
        <v>1273</v>
      </c>
      <c r="C765">
        <v>17.95</v>
      </c>
    </row>
    <row r="766" spans="1:3">
      <c r="A766">
        <v>6213</v>
      </c>
      <c r="B766" t="s">
        <v>1274</v>
      </c>
      <c r="C766">
        <v>26.5</v>
      </c>
    </row>
    <row r="767" spans="1:3">
      <c r="A767">
        <v>6214</v>
      </c>
      <c r="B767" t="s">
        <v>1275</v>
      </c>
      <c r="C767">
        <v>55.8</v>
      </c>
    </row>
    <row r="768" spans="1:3">
      <c r="A768">
        <v>6215</v>
      </c>
      <c r="B768" t="s">
        <v>1276</v>
      </c>
      <c r="C768">
        <v>13.45</v>
      </c>
    </row>
    <row r="769" spans="1:13">
      <c r="A769">
        <v>6216</v>
      </c>
      <c r="B769" t="s">
        <v>1277</v>
      </c>
      <c r="C769">
        <v>28.85</v>
      </c>
    </row>
    <row r="770" spans="1:13">
      <c r="A770">
        <v>6224</v>
      </c>
      <c r="B770" t="s">
        <v>1278</v>
      </c>
      <c r="C770">
        <v>66</v>
      </c>
    </row>
    <row r="771" spans="1:13">
      <c r="A771">
        <v>6225</v>
      </c>
      <c r="B771" t="s">
        <v>1279</v>
      </c>
      <c r="C771">
        <v>2.4900000000000002</v>
      </c>
    </row>
    <row r="772" spans="1:13">
      <c r="A772">
        <v>6226</v>
      </c>
      <c r="B772" t="s">
        <v>1280</v>
      </c>
      <c r="C772">
        <v>6.13</v>
      </c>
    </row>
    <row r="773" spans="1:13">
      <c r="A773">
        <v>6230</v>
      </c>
      <c r="B773" t="s">
        <v>1281</v>
      </c>
      <c r="C773">
        <v>161.5</v>
      </c>
    </row>
    <row r="774" spans="1:13">
      <c r="A774">
        <v>6235</v>
      </c>
      <c r="B774" t="s">
        <v>1282</v>
      </c>
      <c r="C774">
        <v>11.1</v>
      </c>
    </row>
    <row r="775" spans="1:13">
      <c r="A775">
        <v>6239</v>
      </c>
      <c r="B775" t="s">
        <v>1283</v>
      </c>
      <c r="C775">
        <v>70.099999999999994</v>
      </c>
    </row>
    <row r="776" spans="1:13">
      <c r="A776">
        <v>6243</v>
      </c>
      <c r="B776" t="s">
        <v>1284</v>
      </c>
      <c r="C776">
        <v>17.45</v>
      </c>
    </row>
    <row r="777" spans="1:13">
      <c r="A777">
        <v>6251</v>
      </c>
      <c r="B777" t="s">
        <v>1285</v>
      </c>
      <c r="C777">
        <v>9.6300000000000008</v>
      </c>
    </row>
    <row r="778" spans="1:13">
      <c r="A778">
        <v>6257</v>
      </c>
      <c r="B778" t="s">
        <v>1286</v>
      </c>
      <c r="C778">
        <v>24.15</v>
      </c>
    </row>
    <row r="779" spans="1:13">
      <c r="A779">
        <v>6269</v>
      </c>
      <c r="B779" t="s">
        <v>1287</v>
      </c>
      <c r="C779">
        <v>87.6</v>
      </c>
    </row>
    <row r="780" spans="1:13">
      <c r="A780">
        <v>6271</v>
      </c>
      <c r="B780" t="s">
        <v>1288</v>
      </c>
      <c r="C780">
        <v>90.9</v>
      </c>
      <c r="M780" s="40"/>
    </row>
    <row r="781" spans="1:13">
      <c r="A781">
        <v>6277</v>
      </c>
      <c r="B781" t="s">
        <v>1289</v>
      </c>
      <c r="C781">
        <v>74.7</v>
      </c>
    </row>
    <row r="782" spans="1:13">
      <c r="A782">
        <v>6278</v>
      </c>
      <c r="B782" t="s">
        <v>1290</v>
      </c>
      <c r="C782">
        <v>31.15</v>
      </c>
    </row>
    <row r="783" spans="1:13">
      <c r="A783">
        <v>6281</v>
      </c>
      <c r="B783" t="s">
        <v>1291</v>
      </c>
      <c r="C783">
        <v>59.2</v>
      </c>
    </row>
    <row r="784" spans="1:13">
      <c r="A784">
        <v>6282</v>
      </c>
      <c r="B784" t="s">
        <v>1292</v>
      </c>
      <c r="C784">
        <v>26.15</v>
      </c>
    </row>
    <row r="785" spans="1:3">
      <c r="A785">
        <v>6283</v>
      </c>
      <c r="B785" t="s">
        <v>1293</v>
      </c>
      <c r="C785">
        <v>4.62</v>
      </c>
    </row>
    <row r="786" spans="1:3">
      <c r="A786">
        <v>6285</v>
      </c>
      <c r="B786" t="s">
        <v>1294</v>
      </c>
      <c r="C786">
        <v>83.1</v>
      </c>
    </row>
    <row r="787" spans="1:3">
      <c r="A787">
        <v>6286</v>
      </c>
      <c r="B787" t="s">
        <v>1295</v>
      </c>
      <c r="C787">
        <v>193</v>
      </c>
    </row>
    <row r="788" spans="1:3">
      <c r="A788">
        <v>6289</v>
      </c>
      <c r="B788" t="s">
        <v>1296</v>
      </c>
      <c r="C788">
        <v>1.1299999999999999</v>
      </c>
    </row>
    <row r="789" spans="1:3">
      <c r="A789">
        <v>6405</v>
      </c>
      <c r="B789" t="s">
        <v>1297</v>
      </c>
      <c r="C789">
        <v>19.649999999999999</v>
      </c>
    </row>
    <row r="790" spans="1:3">
      <c r="A790">
        <v>6409</v>
      </c>
      <c r="B790" t="s">
        <v>1298</v>
      </c>
      <c r="C790">
        <v>485.5</v>
      </c>
    </row>
    <row r="791" spans="1:3">
      <c r="A791">
        <v>6412</v>
      </c>
      <c r="B791" t="s">
        <v>1299</v>
      </c>
      <c r="C791">
        <v>37.4</v>
      </c>
    </row>
    <row r="792" spans="1:3">
      <c r="A792">
        <v>6414</v>
      </c>
      <c r="B792" t="s">
        <v>1300</v>
      </c>
      <c r="C792">
        <v>362</v>
      </c>
    </row>
    <row r="793" spans="1:3">
      <c r="A793">
        <v>6415</v>
      </c>
      <c r="B793" t="s">
        <v>1301</v>
      </c>
      <c r="C793">
        <v>422.5</v>
      </c>
    </row>
    <row r="794" spans="1:3">
      <c r="A794">
        <v>6422</v>
      </c>
      <c r="B794" t="s">
        <v>1302</v>
      </c>
      <c r="C794">
        <v>66.8</v>
      </c>
    </row>
    <row r="795" spans="1:3">
      <c r="A795">
        <v>6431</v>
      </c>
      <c r="B795" t="s">
        <v>1303</v>
      </c>
      <c r="C795">
        <v>10.1</v>
      </c>
    </row>
    <row r="796" spans="1:3">
      <c r="A796">
        <v>6442</v>
      </c>
      <c r="B796" t="s">
        <v>1304</v>
      </c>
      <c r="C796">
        <v>60.1</v>
      </c>
    </row>
    <row r="797" spans="1:3">
      <c r="A797">
        <v>6443</v>
      </c>
      <c r="B797" t="s">
        <v>1305</v>
      </c>
      <c r="C797">
        <v>16.850000000000001</v>
      </c>
    </row>
    <row r="798" spans="1:3">
      <c r="A798">
        <v>6449</v>
      </c>
      <c r="B798" t="s">
        <v>1306</v>
      </c>
      <c r="C798">
        <v>29.85</v>
      </c>
    </row>
    <row r="799" spans="1:3">
      <c r="A799">
        <v>6451</v>
      </c>
      <c r="B799" t="s">
        <v>1307</v>
      </c>
      <c r="C799">
        <v>107</v>
      </c>
    </row>
    <row r="800" spans="1:3">
      <c r="A800">
        <v>6452</v>
      </c>
      <c r="B800" t="s">
        <v>1308</v>
      </c>
      <c r="C800">
        <v>352</v>
      </c>
    </row>
    <row r="801" spans="1:3">
      <c r="A801">
        <v>6456</v>
      </c>
      <c r="B801" t="s">
        <v>1309</v>
      </c>
      <c r="C801">
        <v>116</v>
      </c>
    </row>
    <row r="802" spans="1:3">
      <c r="A802">
        <v>6464</v>
      </c>
      <c r="B802" t="s">
        <v>2016</v>
      </c>
      <c r="C802">
        <v>131</v>
      </c>
    </row>
    <row r="803" spans="1:3">
      <c r="A803">
        <v>6504</v>
      </c>
      <c r="B803" t="s">
        <v>1310</v>
      </c>
      <c r="C803">
        <v>145</v>
      </c>
    </row>
    <row r="804" spans="1:3">
      <c r="A804">
        <v>6505</v>
      </c>
      <c r="B804" t="s">
        <v>1311</v>
      </c>
      <c r="C804">
        <v>89.2</v>
      </c>
    </row>
    <row r="805" spans="1:3">
      <c r="A805">
        <v>6605</v>
      </c>
      <c r="B805" t="s">
        <v>1312</v>
      </c>
      <c r="C805">
        <v>114.5</v>
      </c>
    </row>
    <row r="806" spans="1:3">
      <c r="A806">
        <v>6702</v>
      </c>
      <c r="B806" t="s">
        <v>1313</v>
      </c>
      <c r="C806">
        <v>7.48</v>
      </c>
    </row>
    <row r="807" spans="1:3">
      <c r="A807">
        <v>8011</v>
      </c>
      <c r="B807" t="s">
        <v>1314</v>
      </c>
      <c r="C807">
        <v>20.6</v>
      </c>
    </row>
    <row r="808" spans="1:3">
      <c r="A808">
        <v>8016</v>
      </c>
      <c r="B808" t="s">
        <v>1315</v>
      </c>
      <c r="C808">
        <v>91.8</v>
      </c>
    </row>
    <row r="809" spans="1:3">
      <c r="A809">
        <v>8021</v>
      </c>
      <c r="B809" t="s">
        <v>1316</v>
      </c>
      <c r="C809">
        <v>23.3</v>
      </c>
    </row>
    <row r="810" spans="1:3">
      <c r="A810">
        <v>8033</v>
      </c>
      <c r="B810" t="s">
        <v>1317</v>
      </c>
      <c r="C810">
        <v>9.1</v>
      </c>
    </row>
    <row r="811" spans="1:3">
      <c r="A811">
        <v>8039</v>
      </c>
      <c r="B811" t="s">
        <v>1318</v>
      </c>
      <c r="C811">
        <v>38</v>
      </c>
    </row>
    <row r="812" spans="1:3">
      <c r="A812">
        <v>8046</v>
      </c>
      <c r="B812" t="s">
        <v>1319</v>
      </c>
      <c r="C812">
        <v>35.25</v>
      </c>
    </row>
    <row r="813" spans="1:3">
      <c r="A813">
        <v>8070</v>
      </c>
      <c r="B813" t="s">
        <v>1320</v>
      </c>
      <c r="C813">
        <v>89.4</v>
      </c>
    </row>
    <row r="814" spans="1:3">
      <c r="A814">
        <v>8072</v>
      </c>
      <c r="B814" t="s">
        <v>1321</v>
      </c>
      <c r="C814">
        <v>26.55</v>
      </c>
    </row>
    <row r="815" spans="1:3">
      <c r="A815">
        <v>8081</v>
      </c>
      <c r="B815" t="s">
        <v>1322</v>
      </c>
      <c r="C815">
        <v>78.2</v>
      </c>
    </row>
    <row r="816" spans="1:3">
      <c r="A816">
        <v>8101</v>
      </c>
      <c r="B816" t="s">
        <v>1323</v>
      </c>
      <c r="C816">
        <v>7.9</v>
      </c>
    </row>
    <row r="817" spans="1:3">
      <c r="A817">
        <v>8103</v>
      </c>
      <c r="B817" t="s">
        <v>1324</v>
      </c>
      <c r="C817">
        <v>28.3</v>
      </c>
    </row>
    <row r="818" spans="1:3">
      <c r="A818">
        <v>8105</v>
      </c>
      <c r="B818" t="s">
        <v>1325</v>
      </c>
      <c r="C818">
        <v>19.3</v>
      </c>
    </row>
    <row r="819" spans="1:3">
      <c r="A819">
        <v>8110</v>
      </c>
      <c r="B819" t="s">
        <v>1326</v>
      </c>
      <c r="C819">
        <v>9.35</v>
      </c>
    </row>
    <row r="820" spans="1:3">
      <c r="A820">
        <v>8112</v>
      </c>
      <c r="B820" t="s">
        <v>1327</v>
      </c>
      <c r="C820">
        <v>15.4</v>
      </c>
    </row>
    <row r="821" spans="1:3">
      <c r="A821">
        <v>8114</v>
      </c>
      <c r="B821" t="s">
        <v>1328</v>
      </c>
      <c r="C821">
        <v>158.5</v>
      </c>
    </row>
    <row r="822" spans="1:3">
      <c r="A822">
        <v>8131</v>
      </c>
      <c r="B822" t="s">
        <v>1329</v>
      </c>
      <c r="C822">
        <v>21.3</v>
      </c>
    </row>
    <row r="823" spans="1:3">
      <c r="A823">
        <v>8150</v>
      </c>
      <c r="B823" t="s">
        <v>1330</v>
      </c>
      <c r="C823">
        <v>34</v>
      </c>
    </row>
    <row r="824" spans="1:3">
      <c r="A824">
        <v>8163</v>
      </c>
      <c r="B824" t="s">
        <v>1331</v>
      </c>
      <c r="C824">
        <v>20.2</v>
      </c>
    </row>
    <row r="825" spans="1:3">
      <c r="A825">
        <v>8201</v>
      </c>
      <c r="B825" t="s">
        <v>1332</v>
      </c>
      <c r="C825">
        <v>8.25</v>
      </c>
    </row>
    <row r="826" spans="1:3">
      <c r="A826">
        <v>8210</v>
      </c>
      <c r="B826" t="s">
        <v>1333</v>
      </c>
      <c r="C826">
        <v>42</v>
      </c>
    </row>
    <row r="827" spans="1:3">
      <c r="A827">
        <v>8213</v>
      </c>
      <c r="B827" t="s">
        <v>1334</v>
      </c>
      <c r="C827">
        <v>34.299999999999997</v>
      </c>
    </row>
    <row r="828" spans="1:3">
      <c r="A828">
        <v>8215</v>
      </c>
      <c r="B828" t="s">
        <v>1335</v>
      </c>
      <c r="C828">
        <v>20.6</v>
      </c>
    </row>
    <row r="829" spans="1:3">
      <c r="A829">
        <v>8222</v>
      </c>
      <c r="B829" t="s">
        <v>1336</v>
      </c>
      <c r="C829">
        <v>28.15</v>
      </c>
    </row>
    <row r="830" spans="1:3">
      <c r="A830">
        <v>8249</v>
      </c>
      <c r="B830" t="s">
        <v>1337</v>
      </c>
      <c r="C830">
        <v>22.55</v>
      </c>
    </row>
    <row r="831" spans="1:3">
      <c r="A831">
        <v>8261</v>
      </c>
      <c r="B831" t="s">
        <v>1338</v>
      </c>
      <c r="C831">
        <v>26</v>
      </c>
    </row>
    <row r="832" spans="1:3">
      <c r="A832">
        <v>8271</v>
      </c>
      <c r="B832" t="s">
        <v>1339</v>
      </c>
      <c r="C832">
        <v>19.2</v>
      </c>
    </row>
    <row r="833" spans="1:3">
      <c r="A833">
        <v>8341</v>
      </c>
      <c r="B833" t="s">
        <v>1340</v>
      </c>
      <c r="C833">
        <v>140</v>
      </c>
    </row>
    <row r="834" spans="1:3">
      <c r="A834">
        <v>8374</v>
      </c>
      <c r="B834" t="s">
        <v>1341</v>
      </c>
      <c r="C834">
        <v>9.99</v>
      </c>
    </row>
    <row r="835" spans="1:3">
      <c r="A835">
        <v>8404</v>
      </c>
      <c r="B835" t="s">
        <v>1342</v>
      </c>
      <c r="C835">
        <v>34.200000000000003</v>
      </c>
    </row>
    <row r="836" spans="1:3">
      <c r="A836">
        <v>8411</v>
      </c>
      <c r="B836" t="s">
        <v>1343</v>
      </c>
      <c r="C836">
        <v>30</v>
      </c>
    </row>
    <row r="837" spans="1:3">
      <c r="A837">
        <v>8422</v>
      </c>
      <c r="B837" t="s">
        <v>1344</v>
      </c>
      <c r="C837">
        <v>178</v>
      </c>
    </row>
    <row r="838" spans="1:3">
      <c r="A838">
        <v>8427</v>
      </c>
      <c r="B838" t="s">
        <v>1345</v>
      </c>
      <c r="C838">
        <v>51.4</v>
      </c>
    </row>
    <row r="839" spans="1:3">
      <c r="A839">
        <v>8429</v>
      </c>
      <c r="B839" t="s">
        <v>1346</v>
      </c>
      <c r="C839">
        <v>61.5</v>
      </c>
    </row>
    <row r="840" spans="1:3">
      <c r="A840">
        <v>8443</v>
      </c>
      <c r="B840" t="s">
        <v>1347</v>
      </c>
      <c r="C840">
        <v>21.25</v>
      </c>
    </row>
    <row r="841" spans="1:3">
      <c r="A841">
        <v>8454</v>
      </c>
      <c r="B841" t="s">
        <v>1348</v>
      </c>
      <c r="C841">
        <v>212.5</v>
      </c>
    </row>
    <row r="842" spans="1:3">
      <c r="A842">
        <v>8463</v>
      </c>
      <c r="B842" t="s">
        <v>1349</v>
      </c>
      <c r="C842">
        <v>23.65</v>
      </c>
    </row>
    <row r="843" spans="1:3">
      <c r="A843">
        <v>8464</v>
      </c>
      <c r="B843" t="s">
        <v>2038</v>
      </c>
      <c r="C843">
        <v>235</v>
      </c>
    </row>
    <row r="844" spans="1:3">
      <c r="A844">
        <v>8467</v>
      </c>
      <c r="B844" t="s">
        <v>2017</v>
      </c>
      <c r="C844">
        <v>66</v>
      </c>
    </row>
    <row r="845" spans="1:3">
      <c r="A845">
        <v>8926</v>
      </c>
      <c r="B845" t="s">
        <v>1350</v>
      </c>
      <c r="C845">
        <v>24.65</v>
      </c>
    </row>
    <row r="846" spans="1:3">
      <c r="A846">
        <v>8940</v>
      </c>
      <c r="B846" t="s">
        <v>1351</v>
      </c>
      <c r="C846">
        <v>15.9</v>
      </c>
    </row>
    <row r="847" spans="1:3">
      <c r="A847">
        <v>8996</v>
      </c>
      <c r="B847" t="s">
        <v>1352</v>
      </c>
      <c r="C847">
        <v>60.2</v>
      </c>
    </row>
    <row r="848" spans="1:3">
      <c r="A848">
        <v>9103</v>
      </c>
      <c r="B848" t="s">
        <v>1353</v>
      </c>
      <c r="C848">
        <v>1.77</v>
      </c>
    </row>
    <row r="849" spans="1:3">
      <c r="A849">
        <v>910322</v>
      </c>
      <c r="B849" t="s">
        <v>1354</v>
      </c>
      <c r="C849">
        <v>16.649999999999999</v>
      </c>
    </row>
    <row r="850" spans="1:3">
      <c r="A850">
        <v>910482</v>
      </c>
      <c r="B850" t="s">
        <v>1355</v>
      </c>
      <c r="C850">
        <v>2.89</v>
      </c>
    </row>
    <row r="851" spans="1:3">
      <c r="A851">
        <v>9105</v>
      </c>
      <c r="B851" t="s">
        <v>1356</v>
      </c>
      <c r="C851">
        <v>3.35</v>
      </c>
    </row>
    <row r="852" spans="1:3">
      <c r="A852">
        <v>9106</v>
      </c>
      <c r="B852" t="s">
        <v>1357</v>
      </c>
      <c r="C852" t="s">
        <v>1862</v>
      </c>
    </row>
    <row r="853" spans="1:3">
      <c r="A853">
        <v>910708</v>
      </c>
      <c r="B853" t="s">
        <v>1358</v>
      </c>
      <c r="C853" t="s">
        <v>1862</v>
      </c>
    </row>
    <row r="854" spans="1:3">
      <c r="A854">
        <v>910801</v>
      </c>
      <c r="B854" t="s">
        <v>1359</v>
      </c>
      <c r="C854">
        <v>4.49</v>
      </c>
    </row>
    <row r="855" spans="1:3">
      <c r="A855">
        <v>910861</v>
      </c>
      <c r="B855" t="s">
        <v>1360</v>
      </c>
      <c r="C855">
        <v>19.149999999999999</v>
      </c>
    </row>
    <row r="856" spans="1:3">
      <c r="A856">
        <v>9110</v>
      </c>
      <c r="B856" t="s">
        <v>1361</v>
      </c>
      <c r="C856">
        <v>3.85</v>
      </c>
    </row>
    <row r="857" spans="1:3">
      <c r="A857">
        <v>911608</v>
      </c>
      <c r="B857" t="s">
        <v>1362</v>
      </c>
      <c r="C857">
        <v>3.08</v>
      </c>
    </row>
    <row r="858" spans="1:3">
      <c r="A858">
        <v>911611</v>
      </c>
      <c r="B858" t="s">
        <v>1363</v>
      </c>
      <c r="C858">
        <v>0.63</v>
      </c>
    </row>
    <row r="859" spans="1:3">
      <c r="A859">
        <v>911616</v>
      </c>
      <c r="B859" t="s">
        <v>1364</v>
      </c>
      <c r="C859">
        <v>2.4</v>
      </c>
    </row>
    <row r="860" spans="1:3">
      <c r="A860">
        <v>911619</v>
      </c>
      <c r="B860" t="s">
        <v>1365</v>
      </c>
      <c r="C860">
        <v>1.17</v>
      </c>
    </row>
    <row r="861" spans="1:3">
      <c r="A861">
        <v>911622</v>
      </c>
      <c r="B861" t="s">
        <v>1366</v>
      </c>
      <c r="C861" t="s">
        <v>1862</v>
      </c>
    </row>
    <row r="862" spans="1:3">
      <c r="A862">
        <v>911626</v>
      </c>
      <c r="B862" t="s">
        <v>1367</v>
      </c>
      <c r="C862" t="s">
        <v>1862</v>
      </c>
    </row>
    <row r="863" spans="1:3">
      <c r="A863">
        <v>911868</v>
      </c>
      <c r="B863" t="s">
        <v>1368</v>
      </c>
      <c r="C863">
        <v>2.08</v>
      </c>
    </row>
    <row r="864" spans="1:3">
      <c r="A864">
        <v>912000</v>
      </c>
      <c r="B864" t="s">
        <v>1369</v>
      </c>
      <c r="C864">
        <v>3.15</v>
      </c>
    </row>
    <row r="865" spans="1:3">
      <c r="A865">
        <v>912398</v>
      </c>
      <c r="B865" t="s">
        <v>1370</v>
      </c>
      <c r="C865">
        <v>7.87</v>
      </c>
    </row>
    <row r="866" spans="1:3">
      <c r="A866">
        <v>9136</v>
      </c>
      <c r="B866" t="s">
        <v>1371</v>
      </c>
      <c r="C866">
        <v>14.45</v>
      </c>
    </row>
    <row r="867" spans="1:3">
      <c r="A867">
        <v>9157</v>
      </c>
      <c r="B867" t="s">
        <v>1372</v>
      </c>
      <c r="C867">
        <v>1.33</v>
      </c>
    </row>
    <row r="868" spans="1:3">
      <c r="A868">
        <v>9188</v>
      </c>
      <c r="B868" t="s">
        <v>1373</v>
      </c>
      <c r="C868">
        <v>3.9</v>
      </c>
    </row>
    <row r="869" spans="1:3">
      <c r="A869">
        <v>9802</v>
      </c>
      <c r="B869" t="s">
        <v>1374</v>
      </c>
      <c r="C869">
        <v>53</v>
      </c>
    </row>
    <row r="870" spans="1:3">
      <c r="A870">
        <v>9902</v>
      </c>
      <c r="B870" t="s">
        <v>1375</v>
      </c>
      <c r="C870">
        <v>10.3</v>
      </c>
    </row>
    <row r="871" spans="1:3">
      <c r="A871">
        <v>9904</v>
      </c>
      <c r="B871" t="s">
        <v>1376</v>
      </c>
      <c r="C871">
        <v>41.9</v>
      </c>
    </row>
    <row r="872" spans="1:3">
      <c r="A872">
        <v>9905</v>
      </c>
      <c r="B872" t="s">
        <v>1377</v>
      </c>
      <c r="C872">
        <v>29.35</v>
      </c>
    </row>
    <row r="873" spans="1:3">
      <c r="A873">
        <v>9906</v>
      </c>
      <c r="B873" t="s">
        <v>1378</v>
      </c>
      <c r="C873">
        <v>13.5</v>
      </c>
    </row>
    <row r="874" spans="1:3">
      <c r="A874">
        <v>9907</v>
      </c>
      <c r="B874" t="s">
        <v>1379</v>
      </c>
      <c r="C874">
        <v>16.2</v>
      </c>
    </row>
    <row r="875" spans="1:3">
      <c r="A875">
        <v>9908</v>
      </c>
      <c r="B875" t="s">
        <v>1380</v>
      </c>
      <c r="C875">
        <v>23.1</v>
      </c>
    </row>
    <row r="876" spans="1:3">
      <c r="A876">
        <v>9910</v>
      </c>
      <c r="B876" t="s">
        <v>1381</v>
      </c>
      <c r="C876">
        <v>177</v>
      </c>
    </row>
    <row r="877" spans="1:3">
      <c r="A877">
        <v>9911</v>
      </c>
      <c r="B877" t="s">
        <v>1382</v>
      </c>
      <c r="C877">
        <v>19.149999999999999</v>
      </c>
    </row>
    <row r="878" spans="1:3">
      <c r="A878">
        <v>9912</v>
      </c>
      <c r="B878" t="s">
        <v>1383</v>
      </c>
      <c r="C878">
        <v>8.66</v>
      </c>
    </row>
    <row r="879" spans="1:3">
      <c r="A879">
        <v>9914</v>
      </c>
      <c r="B879" t="s">
        <v>1384</v>
      </c>
      <c r="C879">
        <v>156.5</v>
      </c>
    </row>
    <row r="880" spans="1:3">
      <c r="A880">
        <v>9917</v>
      </c>
      <c r="B880" t="s">
        <v>1385</v>
      </c>
      <c r="C880">
        <v>92.6</v>
      </c>
    </row>
    <row r="881" spans="1:3">
      <c r="A881">
        <v>9918</v>
      </c>
      <c r="B881" t="s">
        <v>1386</v>
      </c>
      <c r="C881">
        <v>31.7</v>
      </c>
    </row>
    <row r="882" spans="1:3">
      <c r="A882">
        <v>9919</v>
      </c>
      <c r="B882" t="s">
        <v>1387</v>
      </c>
      <c r="C882">
        <v>12.05</v>
      </c>
    </row>
    <row r="883" spans="1:3">
      <c r="A883">
        <v>9921</v>
      </c>
      <c r="B883" t="s">
        <v>1388</v>
      </c>
      <c r="C883">
        <v>216</v>
      </c>
    </row>
    <row r="884" spans="1:3">
      <c r="A884">
        <v>9924</v>
      </c>
      <c r="B884" t="s">
        <v>1389</v>
      </c>
      <c r="C884">
        <v>45.9</v>
      </c>
    </row>
    <row r="885" spans="1:3">
      <c r="A885">
        <v>9925</v>
      </c>
      <c r="B885" t="s">
        <v>1390</v>
      </c>
      <c r="C885">
        <v>39.200000000000003</v>
      </c>
    </row>
    <row r="886" spans="1:3">
      <c r="A886">
        <v>9926</v>
      </c>
      <c r="B886" t="s">
        <v>1391</v>
      </c>
      <c r="C886">
        <v>40.549999999999997</v>
      </c>
    </row>
    <row r="887" spans="1:3">
      <c r="A887">
        <v>9927</v>
      </c>
      <c r="B887" t="s">
        <v>1392</v>
      </c>
      <c r="C887">
        <v>30.65</v>
      </c>
    </row>
    <row r="888" spans="1:3">
      <c r="A888">
        <v>9928</v>
      </c>
      <c r="B888" t="s">
        <v>1393</v>
      </c>
      <c r="C888">
        <v>8.66</v>
      </c>
    </row>
    <row r="889" spans="1:3">
      <c r="A889">
        <v>9929</v>
      </c>
      <c r="B889" t="s">
        <v>1394</v>
      </c>
      <c r="C889">
        <v>13.6</v>
      </c>
    </row>
    <row r="890" spans="1:3">
      <c r="A890">
        <v>9930</v>
      </c>
      <c r="B890" t="s">
        <v>1395</v>
      </c>
      <c r="C890">
        <v>62.1</v>
      </c>
    </row>
    <row r="891" spans="1:3">
      <c r="A891">
        <v>9931</v>
      </c>
      <c r="B891" t="s">
        <v>1396</v>
      </c>
      <c r="C891">
        <v>31.15</v>
      </c>
    </row>
    <row r="892" spans="1:3">
      <c r="A892">
        <v>9933</v>
      </c>
      <c r="B892" t="s">
        <v>1397</v>
      </c>
      <c r="C892">
        <v>40.85</v>
      </c>
    </row>
    <row r="893" spans="1:3">
      <c r="A893">
        <v>9934</v>
      </c>
      <c r="B893" t="s">
        <v>1398</v>
      </c>
      <c r="C893">
        <v>15.65</v>
      </c>
    </row>
    <row r="894" spans="1:3">
      <c r="A894">
        <v>9935</v>
      </c>
      <c r="B894" t="s">
        <v>1399</v>
      </c>
      <c r="C894">
        <v>11.25</v>
      </c>
    </row>
    <row r="895" spans="1:3">
      <c r="A895">
        <v>9937</v>
      </c>
      <c r="B895" t="s">
        <v>1400</v>
      </c>
      <c r="C895">
        <v>36.15</v>
      </c>
    </row>
    <row r="896" spans="1:3">
      <c r="A896">
        <v>9938</v>
      </c>
      <c r="B896" t="s">
        <v>1401</v>
      </c>
      <c r="C896">
        <v>82.6</v>
      </c>
    </row>
    <row r="897" spans="1:3">
      <c r="A897">
        <v>9939</v>
      </c>
      <c r="B897" t="s">
        <v>1402</v>
      </c>
      <c r="C897">
        <v>51</v>
      </c>
    </row>
    <row r="898" spans="1:3">
      <c r="A898">
        <v>9940</v>
      </c>
      <c r="B898" t="s">
        <v>1403</v>
      </c>
      <c r="C898">
        <v>27.5</v>
      </c>
    </row>
    <row r="899" spans="1:3">
      <c r="A899">
        <v>9941</v>
      </c>
      <c r="B899" t="s">
        <v>1404</v>
      </c>
      <c r="C899">
        <v>75.400000000000006</v>
      </c>
    </row>
    <row r="900" spans="1:3">
      <c r="A900">
        <v>9942</v>
      </c>
      <c r="B900" t="s">
        <v>1405</v>
      </c>
      <c r="C900">
        <v>87.9</v>
      </c>
    </row>
    <row r="901" spans="1:3">
      <c r="A901">
        <v>9943</v>
      </c>
      <c r="B901" t="s">
        <v>1406</v>
      </c>
      <c r="C901">
        <v>57.3</v>
      </c>
    </row>
    <row r="902" spans="1:3">
      <c r="A902">
        <v>9944</v>
      </c>
      <c r="B902" t="s">
        <v>1407</v>
      </c>
      <c r="C902">
        <v>25.45</v>
      </c>
    </row>
    <row r="903" spans="1:3">
      <c r="A903">
        <v>9945</v>
      </c>
      <c r="B903" t="s">
        <v>1408</v>
      </c>
      <c r="C903">
        <v>45.85</v>
      </c>
    </row>
    <row r="904" spans="1:3">
      <c r="A904">
        <v>9946</v>
      </c>
      <c r="B904" t="s">
        <v>1409</v>
      </c>
      <c r="C904">
        <v>14.6</v>
      </c>
    </row>
    <row r="905" spans="1:3">
      <c r="A905">
        <v>9955</v>
      </c>
      <c r="B905" t="s">
        <v>1410</v>
      </c>
      <c r="C905">
        <v>14.7</v>
      </c>
    </row>
    <row r="906" spans="1:3">
      <c r="A906">
        <v>9958</v>
      </c>
      <c r="B906" t="s">
        <v>1411</v>
      </c>
      <c r="C906">
        <v>10.65</v>
      </c>
    </row>
    <row r="907" spans="1:3">
      <c r="A907">
        <v>6201</v>
      </c>
      <c r="B907" t="s">
        <v>1412</v>
      </c>
      <c r="C907">
        <v>11.4</v>
      </c>
    </row>
    <row r="908" spans="1:3">
      <c r="A908">
        <v>1256</v>
      </c>
      <c r="B908" t="s">
        <v>1413</v>
      </c>
      <c r="C908">
        <v>141.5</v>
      </c>
    </row>
    <row r="909" spans="1:3">
      <c r="A909">
        <v>1258</v>
      </c>
      <c r="B909" t="s">
        <v>1414</v>
      </c>
      <c r="C909">
        <v>46.55</v>
      </c>
    </row>
    <row r="910" spans="1:3">
      <c r="A910">
        <v>1259</v>
      </c>
      <c r="B910" t="s">
        <v>244</v>
      </c>
      <c r="C910">
        <v>73.099999999999994</v>
      </c>
    </row>
    <row r="911" spans="1:3">
      <c r="A911">
        <v>1264</v>
      </c>
      <c r="B911" t="s">
        <v>245</v>
      </c>
      <c r="C911">
        <v>206.5</v>
      </c>
    </row>
    <row r="912" spans="1:3">
      <c r="A912">
        <v>1333</v>
      </c>
      <c r="B912" t="s">
        <v>246</v>
      </c>
      <c r="C912">
        <v>5.41</v>
      </c>
    </row>
    <row r="913" spans="1:3">
      <c r="A913">
        <v>1336</v>
      </c>
      <c r="B913" t="s">
        <v>247</v>
      </c>
      <c r="C913">
        <v>8.16</v>
      </c>
    </row>
    <row r="914" spans="1:3">
      <c r="A914">
        <v>1565</v>
      </c>
      <c r="B914" t="s">
        <v>1415</v>
      </c>
      <c r="C914">
        <v>603</v>
      </c>
    </row>
    <row r="915" spans="1:3">
      <c r="A915">
        <v>1566</v>
      </c>
      <c r="B915" t="s">
        <v>248</v>
      </c>
      <c r="C915">
        <v>24.15</v>
      </c>
    </row>
    <row r="916" spans="1:3">
      <c r="A916">
        <v>1569</v>
      </c>
      <c r="B916" t="s">
        <v>249</v>
      </c>
      <c r="C916">
        <v>10</v>
      </c>
    </row>
    <row r="917" spans="1:3">
      <c r="A917">
        <v>1570</v>
      </c>
      <c r="B917" t="s">
        <v>1416</v>
      </c>
      <c r="C917">
        <v>16.600000000000001</v>
      </c>
    </row>
    <row r="918" spans="1:3">
      <c r="A918">
        <v>1580</v>
      </c>
      <c r="B918" t="s">
        <v>1417</v>
      </c>
      <c r="C918">
        <v>108</v>
      </c>
    </row>
    <row r="919" spans="1:3">
      <c r="A919">
        <v>1584</v>
      </c>
      <c r="B919" t="s">
        <v>1418</v>
      </c>
      <c r="C919">
        <v>13.85</v>
      </c>
    </row>
    <row r="920" spans="1:3">
      <c r="A920">
        <v>1586</v>
      </c>
      <c r="B920" t="s">
        <v>1419</v>
      </c>
      <c r="C920">
        <v>36.049999999999997</v>
      </c>
    </row>
    <row r="921" spans="1:3">
      <c r="A921">
        <v>1591</v>
      </c>
      <c r="B921" t="s">
        <v>1420</v>
      </c>
      <c r="C921">
        <v>19.5</v>
      </c>
    </row>
    <row r="922" spans="1:3">
      <c r="A922">
        <v>1593</v>
      </c>
      <c r="B922" t="s">
        <v>250</v>
      </c>
      <c r="C922">
        <v>39</v>
      </c>
    </row>
    <row r="923" spans="1:3">
      <c r="A923">
        <v>1595</v>
      </c>
      <c r="B923" t="s">
        <v>1421</v>
      </c>
      <c r="C923">
        <v>58.9</v>
      </c>
    </row>
    <row r="924" spans="1:3">
      <c r="A924">
        <v>1597</v>
      </c>
      <c r="B924" t="s">
        <v>251</v>
      </c>
      <c r="C924">
        <v>25.55</v>
      </c>
    </row>
    <row r="925" spans="1:3">
      <c r="A925">
        <v>1599</v>
      </c>
      <c r="B925" t="s">
        <v>1422</v>
      </c>
      <c r="C925">
        <v>54.3</v>
      </c>
    </row>
    <row r="926" spans="1:3">
      <c r="A926">
        <v>1742</v>
      </c>
      <c r="B926" t="s">
        <v>519</v>
      </c>
      <c r="C926">
        <v>12.25</v>
      </c>
    </row>
    <row r="927" spans="1:3">
      <c r="A927">
        <v>1752</v>
      </c>
      <c r="B927" t="s">
        <v>252</v>
      </c>
      <c r="C927">
        <v>44</v>
      </c>
    </row>
    <row r="928" spans="1:3">
      <c r="A928">
        <v>1777</v>
      </c>
      <c r="B928" t="s">
        <v>253</v>
      </c>
      <c r="C928">
        <v>90</v>
      </c>
    </row>
    <row r="929" spans="1:3">
      <c r="A929">
        <v>1781</v>
      </c>
      <c r="B929" t="s">
        <v>1423</v>
      </c>
      <c r="C929">
        <v>25.35</v>
      </c>
    </row>
    <row r="930" spans="1:3">
      <c r="A930">
        <v>1784</v>
      </c>
      <c r="B930" t="s">
        <v>1424</v>
      </c>
      <c r="C930">
        <v>32.85</v>
      </c>
    </row>
    <row r="931" spans="1:3">
      <c r="A931">
        <v>1785</v>
      </c>
      <c r="B931" t="s">
        <v>1425</v>
      </c>
      <c r="C931">
        <v>22</v>
      </c>
    </row>
    <row r="932" spans="1:3">
      <c r="A932">
        <v>1787</v>
      </c>
      <c r="B932" t="s">
        <v>254</v>
      </c>
      <c r="C932">
        <v>22.05</v>
      </c>
    </row>
    <row r="933" spans="1:3">
      <c r="A933">
        <v>1788</v>
      </c>
      <c r="B933" t="s">
        <v>1426</v>
      </c>
      <c r="C933">
        <v>101</v>
      </c>
    </row>
    <row r="934" spans="1:3">
      <c r="A934">
        <v>1795</v>
      </c>
      <c r="B934" t="s">
        <v>1427</v>
      </c>
      <c r="C934">
        <v>69.8</v>
      </c>
    </row>
    <row r="935" spans="1:3">
      <c r="A935">
        <v>1799</v>
      </c>
      <c r="B935" t="s">
        <v>255</v>
      </c>
      <c r="C935">
        <v>34</v>
      </c>
    </row>
    <row r="936" spans="1:3">
      <c r="A936">
        <v>1813</v>
      </c>
      <c r="B936" t="s">
        <v>256</v>
      </c>
      <c r="C936">
        <v>29.6</v>
      </c>
    </row>
    <row r="937" spans="1:3">
      <c r="A937">
        <v>1815</v>
      </c>
      <c r="B937" t="s">
        <v>1428</v>
      </c>
      <c r="C937">
        <v>11.55</v>
      </c>
    </row>
    <row r="938" spans="1:3">
      <c r="A938">
        <v>2035</v>
      </c>
      <c r="B938" t="s">
        <v>1429</v>
      </c>
      <c r="C938">
        <v>47.3</v>
      </c>
    </row>
    <row r="939" spans="1:3">
      <c r="A939">
        <v>2061</v>
      </c>
      <c r="B939" t="s">
        <v>257</v>
      </c>
      <c r="C939">
        <v>11.8</v>
      </c>
    </row>
    <row r="940" spans="1:3">
      <c r="A940">
        <v>2063</v>
      </c>
      <c r="B940" t="s">
        <v>258</v>
      </c>
      <c r="C940">
        <v>27.5</v>
      </c>
    </row>
    <row r="941" spans="1:3">
      <c r="A941">
        <v>2064</v>
      </c>
      <c r="B941" t="s">
        <v>259</v>
      </c>
      <c r="C941">
        <v>17.8</v>
      </c>
    </row>
    <row r="942" spans="1:3">
      <c r="A942">
        <v>2066</v>
      </c>
      <c r="B942" t="s">
        <v>260</v>
      </c>
      <c r="C942">
        <v>111</v>
      </c>
    </row>
    <row r="943" spans="1:3">
      <c r="A943">
        <v>2067</v>
      </c>
      <c r="B943" t="s">
        <v>1430</v>
      </c>
      <c r="C943">
        <v>14.1</v>
      </c>
    </row>
    <row r="944" spans="1:3">
      <c r="A944">
        <v>2221</v>
      </c>
      <c r="B944" t="s">
        <v>1431</v>
      </c>
      <c r="C944">
        <v>18.649999999999999</v>
      </c>
    </row>
    <row r="945" spans="1:3">
      <c r="A945">
        <v>2230</v>
      </c>
      <c r="B945" t="s">
        <v>261</v>
      </c>
      <c r="C945">
        <v>14.6</v>
      </c>
    </row>
    <row r="946" spans="1:3">
      <c r="A946">
        <v>2233</v>
      </c>
      <c r="B946" t="s">
        <v>262</v>
      </c>
      <c r="C946">
        <v>77.599999999999994</v>
      </c>
    </row>
    <row r="947" spans="1:3">
      <c r="A947">
        <v>2235</v>
      </c>
      <c r="B947" t="s">
        <v>263</v>
      </c>
      <c r="C947">
        <v>125.5</v>
      </c>
    </row>
    <row r="948" spans="1:3">
      <c r="A948">
        <v>2596</v>
      </c>
      <c r="B948" t="s">
        <v>1432</v>
      </c>
      <c r="C948">
        <v>13.5</v>
      </c>
    </row>
    <row r="949" spans="1:3">
      <c r="A949">
        <v>2636</v>
      </c>
      <c r="B949" t="s">
        <v>1433</v>
      </c>
      <c r="C949">
        <v>29.25</v>
      </c>
    </row>
    <row r="950" spans="1:3">
      <c r="A950">
        <v>2640</v>
      </c>
      <c r="B950" t="s">
        <v>1434</v>
      </c>
      <c r="C950">
        <v>62.1</v>
      </c>
    </row>
    <row r="951" spans="1:3">
      <c r="A951">
        <v>2641</v>
      </c>
      <c r="B951" t="s">
        <v>1435</v>
      </c>
      <c r="C951">
        <v>7.5</v>
      </c>
    </row>
    <row r="952" spans="1:3">
      <c r="A952">
        <v>2643</v>
      </c>
      <c r="B952" t="s">
        <v>3510</v>
      </c>
      <c r="C952">
        <v>31.75</v>
      </c>
    </row>
    <row r="953" spans="1:3">
      <c r="A953">
        <v>2718</v>
      </c>
      <c r="B953" t="s">
        <v>1854</v>
      </c>
      <c r="C953">
        <v>31.3</v>
      </c>
    </row>
    <row r="954" spans="1:3">
      <c r="A954">
        <v>2719</v>
      </c>
      <c r="B954" t="s">
        <v>264</v>
      </c>
      <c r="C954">
        <v>17.05</v>
      </c>
    </row>
    <row r="955" spans="1:3">
      <c r="A955">
        <v>2724</v>
      </c>
      <c r="B955" t="s">
        <v>1436</v>
      </c>
      <c r="C955">
        <v>13.6</v>
      </c>
    </row>
    <row r="956" spans="1:3">
      <c r="A956">
        <v>2726</v>
      </c>
      <c r="B956" t="s">
        <v>1437</v>
      </c>
      <c r="C956">
        <v>67</v>
      </c>
    </row>
    <row r="957" spans="1:3">
      <c r="A957">
        <v>2729</v>
      </c>
      <c r="B957" t="s">
        <v>1438</v>
      </c>
      <c r="C957">
        <v>234</v>
      </c>
    </row>
    <row r="958" spans="1:3">
      <c r="A958">
        <v>2732</v>
      </c>
      <c r="B958" t="s">
        <v>1439</v>
      </c>
      <c r="C958">
        <v>81.400000000000006</v>
      </c>
    </row>
    <row r="959" spans="1:3">
      <c r="A959">
        <v>2734</v>
      </c>
      <c r="B959" t="s">
        <v>265</v>
      </c>
      <c r="C959">
        <v>21.3</v>
      </c>
    </row>
    <row r="960" spans="1:3">
      <c r="A960">
        <v>2736</v>
      </c>
      <c r="B960" t="s">
        <v>2452</v>
      </c>
      <c r="C960">
        <v>40.75</v>
      </c>
    </row>
    <row r="961" spans="1:3">
      <c r="A961">
        <v>2740</v>
      </c>
      <c r="B961" t="s">
        <v>2039</v>
      </c>
      <c r="C961">
        <v>65.099999999999994</v>
      </c>
    </row>
    <row r="962" spans="1:3">
      <c r="A962">
        <v>2916</v>
      </c>
      <c r="B962" t="s">
        <v>1440</v>
      </c>
      <c r="C962">
        <v>17.399999999999999</v>
      </c>
    </row>
    <row r="963" spans="1:3">
      <c r="A963">
        <v>2924</v>
      </c>
      <c r="B963" t="s">
        <v>1441</v>
      </c>
      <c r="C963">
        <v>57.9</v>
      </c>
    </row>
    <row r="964" spans="1:3">
      <c r="A964">
        <v>2926</v>
      </c>
      <c r="B964" t="s">
        <v>1442</v>
      </c>
      <c r="C964">
        <v>211.5</v>
      </c>
    </row>
    <row r="965" spans="1:3">
      <c r="A965">
        <v>2928</v>
      </c>
      <c r="B965" t="s">
        <v>2510</v>
      </c>
      <c r="C965">
        <v>63.9</v>
      </c>
    </row>
    <row r="966" spans="1:3">
      <c r="A966">
        <v>3064</v>
      </c>
      <c r="B966" t="s">
        <v>1443</v>
      </c>
      <c r="C966">
        <v>50.9</v>
      </c>
    </row>
    <row r="967" spans="1:3">
      <c r="A967">
        <v>3066</v>
      </c>
      <c r="B967" t="s">
        <v>1444</v>
      </c>
      <c r="C967">
        <v>7.9</v>
      </c>
    </row>
    <row r="968" spans="1:3">
      <c r="A968">
        <v>3067</v>
      </c>
      <c r="B968" t="s">
        <v>266</v>
      </c>
      <c r="C968">
        <v>12.4</v>
      </c>
    </row>
    <row r="969" spans="1:3">
      <c r="A969">
        <v>3068</v>
      </c>
      <c r="B969" t="s">
        <v>267</v>
      </c>
      <c r="C969">
        <v>43.25</v>
      </c>
    </row>
    <row r="970" spans="1:3">
      <c r="A970">
        <v>3071</v>
      </c>
      <c r="B970" t="s">
        <v>1445</v>
      </c>
      <c r="C970">
        <v>6.85</v>
      </c>
    </row>
    <row r="971" spans="1:3">
      <c r="A971">
        <v>3073</v>
      </c>
      <c r="B971" t="s">
        <v>1446</v>
      </c>
      <c r="C971">
        <v>9.1300000000000008</v>
      </c>
    </row>
    <row r="972" spans="1:3">
      <c r="A972">
        <v>3078</v>
      </c>
      <c r="B972" t="s">
        <v>1447</v>
      </c>
      <c r="C972">
        <v>24.45</v>
      </c>
    </row>
    <row r="973" spans="1:3">
      <c r="A973">
        <v>3081</v>
      </c>
      <c r="B973" t="s">
        <v>1448</v>
      </c>
      <c r="C973">
        <v>556</v>
      </c>
    </row>
    <row r="974" spans="1:3">
      <c r="A974">
        <v>3083</v>
      </c>
      <c r="B974" t="s">
        <v>1449</v>
      </c>
      <c r="C974">
        <v>39.549999999999997</v>
      </c>
    </row>
    <row r="975" spans="1:3">
      <c r="A975">
        <v>3085</v>
      </c>
      <c r="B975" t="s">
        <v>268</v>
      </c>
      <c r="C975">
        <v>7.15</v>
      </c>
    </row>
    <row r="976" spans="1:3">
      <c r="A976">
        <v>3086</v>
      </c>
      <c r="B976" t="s">
        <v>1450</v>
      </c>
      <c r="C976">
        <v>12.5</v>
      </c>
    </row>
    <row r="977" spans="1:3">
      <c r="A977">
        <v>3088</v>
      </c>
      <c r="B977" t="s">
        <v>269</v>
      </c>
      <c r="C977">
        <v>76</v>
      </c>
    </row>
    <row r="978" spans="1:3">
      <c r="A978">
        <v>3089</v>
      </c>
      <c r="B978" t="s">
        <v>270</v>
      </c>
      <c r="C978">
        <v>7.51</v>
      </c>
    </row>
    <row r="979" spans="1:3">
      <c r="A979">
        <v>3092</v>
      </c>
      <c r="B979" t="s">
        <v>271</v>
      </c>
      <c r="C979">
        <v>14.95</v>
      </c>
    </row>
    <row r="980" spans="1:3">
      <c r="A980">
        <v>3093</v>
      </c>
      <c r="B980" t="s">
        <v>272</v>
      </c>
      <c r="C980">
        <v>28.15</v>
      </c>
    </row>
    <row r="981" spans="1:3">
      <c r="A981">
        <v>3095</v>
      </c>
      <c r="B981" t="s">
        <v>273</v>
      </c>
      <c r="C981">
        <v>5.61</v>
      </c>
    </row>
    <row r="982" spans="1:3">
      <c r="A982">
        <v>3105</v>
      </c>
      <c r="B982" t="s">
        <v>274</v>
      </c>
      <c r="C982">
        <v>59.4</v>
      </c>
    </row>
    <row r="983" spans="1:3">
      <c r="A983">
        <v>3114</v>
      </c>
      <c r="B983" t="s">
        <v>1451</v>
      </c>
      <c r="C983">
        <v>13.55</v>
      </c>
    </row>
    <row r="984" spans="1:3">
      <c r="A984">
        <v>3115</v>
      </c>
      <c r="B984" t="s">
        <v>1452</v>
      </c>
      <c r="C984">
        <v>12.65</v>
      </c>
    </row>
    <row r="985" spans="1:3">
      <c r="A985">
        <v>3118</v>
      </c>
      <c r="B985" t="s">
        <v>1453</v>
      </c>
      <c r="C985">
        <v>38.950000000000003</v>
      </c>
    </row>
    <row r="986" spans="1:3">
      <c r="A986">
        <v>3122</v>
      </c>
      <c r="B986" t="s">
        <v>1454</v>
      </c>
      <c r="C986">
        <v>16.25</v>
      </c>
    </row>
    <row r="987" spans="1:3">
      <c r="A987">
        <v>3128</v>
      </c>
      <c r="B987" t="s">
        <v>1455</v>
      </c>
      <c r="C987">
        <v>14.3</v>
      </c>
    </row>
    <row r="988" spans="1:3">
      <c r="A988">
        <v>3131</v>
      </c>
      <c r="B988" t="s">
        <v>1456</v>
      </c>
      <c r="C988">
        <v>242</v>
      </c>
    </row>
    <row r="989" spans="1:3">
      <c r="A989">
        <v>3141</v>
      </c>
      <c r="B989" t="s">
        <v>275</v>
      </c>
      <c r="C989">
        <v>33</v>
      </c>
    </row>
    <row r="990" spans="1:3">
      <c r="A990">
        <v>3144</v>
      </c>
      <c r="B990" t="s">
        <v>276</v>
      </c>
      <c r="C990">
        <v>16.649999999999999</v>
      </c>
    </row>
    <row r="991" spans="1:3">
      <c r="A991">
        <v>3152</v>
      </c>
      <c r="B991" t="s">
        <v>1457</v>
      </c>
      <c r="C991">
        <v>188.5</v>
      </c>
    </row>
    <row r="992" spans="1:3">
      <c r="A992">
        <v>3162</v>
      </c>
      <c r="B992" t="s">
        <v>1458</v>
      </c>
      <c r="C992">
        <v>5.82</v>
      </c>
    </row>
    <row r="993" spans="1:3">
      <c r="A993">
        <v>3163</v>
      </c>
      <c r="B993" t="s">
        <v>277</v>
      </c>
      <c r="C993">
        <v>42.5</v>
      </c>
    </row>
    <row r="994" spans="1:3">
      <c r="A994">
        <v>3169</v>
      </c>
      <c r="B994" t="s">
        <v>1459</v>
      </c>
      <c r="C994">
        <v>29.1</v>
      </c>
    </row>
    <row r="995" spans="1:3">
      <c r="A995">
        <v>3171</v>
      </c>
      <c r="B995" t="s">
        <v>1460</v>
      </c>
      <c r="C995">
        <v>19.95</v>
      </c>
    </row>
    <row r="996" spans="1:3">
      <c r="A996">
        <v>3176</v>
      </c>
      <c r="B996" t="s">
        <v>278</v>
      </c>
      <c r="C996">
        <v>74.900000000000006</v>
      </c>
    </row>
    <row r="997" spans="1:3">
      <c r="A997">
        <v>3188</v>
      </c>
      <c r="B997" t="s">
        <v>279</v>
      </c>
      <c r="C997">
        <v>9.6</v>
      </c>
    </row>
    <row r="998" spans="1:3">
      <c r="A998">
        <v>3191</v>
      </c>
      <c r="B998" t="s">
        <v>1461</v>
      </c>
      <c r="C998">
        <v>18.649999999999999</v>
      </c>
    </row>
    <row r="999" spans="1:3">
      <c r="A999">
        <v>3202</v>
      </c>
      <c r="B999" t="s">
        <v>1462</v>
      </c>
      <c r="C999">
        <v>10.45</v>
      </c>
    </row>
    <row r="1000" spans="1:3">
      <c r="A1000">
        <v>3205</v>
      </c>
      <c r="B1000" t="s">
        <v>280</v>
      </c>
      <c r="C1000">
        <v>320</v>
      </c>
    </row>
    <row r="1001" spans="1:3">
      <c r="A1001">
        <v>3206</v>
      </c>
      <c r="B1001" t="s">
        <v>1463</v>
      </c>
      <c r="C1001">
        <v>23.1</v>
      </c>
    </row>
    <row r="1002" spans="1:3">
      <c r="A1002">
        <v>3207</v>
      </c>
      <c r="B1002" t="s">
        <v>281</v>
      </c>
      <c r="C1002">
        <v>7.06</v>
      </c>
    </row>
    <row r="1003" spans="1:3">
      <c r="A1003">
        <v>3211</v>
      </c>
      <c r="B1003" t="s">
        <v>1464</v>
      </c>
      <c r="C1003">
        <v>51.6</v>
      </c>
    </row>
    <row r="1004" spans="1:3">
      <c r="A1004">
        <v>3213</v>
      </c>
      <c r="B1004" t="s">
        <v>1465</v>
      </c>
      <c r="C1004">
        <v>40.5</v>
      </c>
    </row>
    <row r="1005" spans="1:3">
      <c r="A1005">
        <v>3217</v>
      </c>
      <c r="B1005" t="s">
        <v>1466</v>
      </c>
      <c r="C1005">
        <v>13.25</v>
      </c>
    </row>
    <row r="1006" spans="1:3">
      <c r="A1006">
        <v>3218</v>
      </c>
      <c r="B1006" t="s">
        <v>282</v>
      </c>
      <c r="C1006">
        <v>25.1</v>
      </c>
    </row>
    <row r="1007" spans="1:3">
      <c r="A1007">
        <v>3219</v>
      </c>
      <c r="B1007" t="s">
        <v>1467</v>
      </c>
      <c r="C1007">
        <v>9.8800000000000008</v>
      </c>
    </row>
    <row r="1008" spans="1:3">
      <c r="A1008">
        <v>3221</v>
      </c>
      <c r="B1008" t="s">
        <v>1468</v>
      </c>
      <c r="C1008">
        <v>24.35</v>
      </c>
    </row>
    <row r="1009" spans="1:3">
      <c r="A1009">
        <v>3224</v>
      </c>
      <c r="B1009" t="s">
        <v>1469</v>
      </c>
      <c r="C1009">
        <v>32.65</v>
      </c>
    </row>
    <row r="1010" spans="1:3">
      <c r="A1010">
        <v>3226</v>
      </c>
      <c r="B1010" t="s">
        <v>283</v>
      </c>
      <c r="C1010">
        <v>76.2</v>
      </c>
    </row>
    <row r="1011" spans="1:3">
      <c r="A1011">
        <v>3227</v>
      </c>
      <c r="B1011" t="s">
        <v>284</v>
      </c>
      <c r="C1011">
        <v>74.3</v>
      </c>
    </row>
    <row r="1012" spans="1:3">
      <c r="A1012">
        <v>3228</v>
      </c>
      <c r="B1012" t="s">
        <v>285</v>
      </c>
      <c r="C1012">
        <v>19</v>
      </c>
    </row>
    <row r="1013" spans="1:3">
      <c r="A1013">
        <v>3230</v>
      </c>
      <c r="B1013" t="s">
        <v>1470</v>
      </c>
      <c r="C1013">
        <v>5.94</v>
      </c>
    </row>
    <row r="1014" spans="1:3">
      <c r="A1014">
        <v>3232</v>
      </c>
      <c r="B1014" t="s">
        <v>286</v>
      </c>
      <c r="C1014">
        <v>24.45</v>
      </c>
    </row>
    <row r="1015" spans="1:3">
      <c r="A1015">
        <v>3234</v>
      </c>
      <c r="B1015" t="s">
        <v>287</v>
      </c>
      <c r="C1015">
        <v>96.8</v>
      </c>
    </row>
    <row r="1016" spans="1:3">
      <c r="A1016">
        <v>3236</v>
      </c>
      <c r="B1016" t="s">
        <v>288</v>
      </c>
      <c r="C1016">
        <v>13.35</v>
      </c>
    </row>
    <row r="1017" spans="1:3">
      <c r="A1017">
        <v>3252</v>
      </c>
      <c r="B1017" t="s">
        <v>289</v>
      </c>
      <c r="C1017">
        <v>18.649999999999999</v>
      </c>
    </row>
    <row r="1018" spans="1:3">
      <c r="A1018">
        <v>3259</v>
      </c>
      <c r="B1018" t="s">
        <v>1471</v>
      </c>
      <c r="C1018">
        <v>36.5</v>
      </c>
    </row>
    <row r="1019" spans="1:3">
      <c r="A1019">
        <v>3260</v>
      </c>
      <c r="B1019" t="s">
        <v>1472</v>
      </c>
      <c r="C1019">
        <v>34.950000000000003</v>
      </c>
    </row>
    <row r="1020" spans="1:3">
      <c r="A1020">
        <v>3264</v>
      </c>
      <c r="B1020" t="s">
        <v>1473</v>
      </c>
      <c r="C1020">
        <v>22.85</v>
      </c>
    </row>
    <row r="1021" spans="1:3">
      <c r="A1021">
        <v>3265</v>
      </c>
      <c r="B1021" t="s">
        <v>290</v>
      </c>
      <c r="C1021">
        <v>19.05</v>
      </c>
    </row>
    <row r="1022" spans="1:3">
      <c r="A1022">
        <v>3268</v>
      </c>
      <c r="B1022" t="s">
        <v>291</v>
      </c>
      <c r="C1022">
        <v>15</v>
      </c>
    </row>
    <row r="1023" spans="1:3">
      <c r="A1023">
        <v>3272</v>
      </c>
      <c r="B1023" t="s">
        <v>292</v>
      </c>
      <c r="C1023">
        <v>66.400000000000006</v>
      </c>
    </row>
    <row r="1024" spans="1:3">
      <c r="A1024">
        <v>3276</v>
      </c>
      <c r="B1024" t="s">
        <v>1474</v>
      </c>
      <c r="C1024">
        <v>8.2799999999999994</v>
      </c>
    </row>
    <row r="1025" spans="1:3">
      <c r="A1025">
        <v>3284</v>
      </c>
      <c r="B1025" t="s">
        <v>293</v>
      </c>
      <c r="C1025">
        <v>9.4499999999999993</v>
      </c>
    </row>
    <row r="1026" spans="1:3">
      <c r="A1026">
        <v>3285</v>
      </c>
      <c r="B1026" t="s">
        <v>294</v>
      </c>
      <c r="C1026">
        <v>30.2</v>
      </c>
    </row>
    <row r="1027" spans="1:3">
      <c r="A1027">
        <v>3287</v>
      </c>
      <c r="B1027" t="s">
        <v>1475</v>
      </c>
      <c r="C1027">
        <v>7.63</v>
      </c>
    </row>
    <row r="1028" spans="1:3">
      <c r="A1028">
        <v>3288</v>
      </c>
      <c r="B1028" t="s">
        <v>1476</v>
      </c>
      <c r="C1028">
        <v>7.9</v>
      </c>
    </row>
    <row r="1029" spans="1:3">
      <c r="A1029">
        <v>3289</v>
      </c>
      <c r="B1029" t="s">
        <v>1477</v>
      </c>
      <c r="C1029">
        <v>111.5</v>
      </c>
    </row>
    <row r="1030" spans="1:3">
      <c r="A1030">
        <v>3290</v>
      </c>
      <c r="B1030" t="s">
        <v>1478</v>
      </c>
      <c r="C1030">
        <v>14.15</v>
      </c>
    </row>
    <row r="1031" spans="1:3">
      <c r="A1031">
        <v>3291</v>
      </c>
      <c r="B1031" t="s">
        <v>295</v>
      </c>
      <c r="C1031">
        <v>14.2</v>
      </c>
    </row>
    <row r="1032" spans="1:3">
      <c r="A1032">
        <v>3293</v>
      </c>
      <c r="B1032" t="s">
        <v>1479</v>
      </c>
      <c r="C1032">
        <v>230</v>
      </c>
    </row>
    <row r="1033" spans="1:3">
      <c r="A1033">
        <v>3294</v>
      </c>
      <c r="B1033" t="s">
        <v>296</v>
      </c>
      <c r="C1033">
        <v>14.85</v>
      </c>
    </row>
    <row r="1034" spans="1:3">
      <c r="A1034">
        <v>3297</v>
      </c>
      <c r="B1034" t="s">
        <v>297</v>
      </c>
      <c r="C1034">
        <v>18.8</v>
      </c>
    </row>
    <row r="1035" spans="1:3">
      <c r="A1035">
        <v>3299</v>
      </c>
      <c r="B1035" t="s">
        <v>298</v>
      </c>
      <c r="C1035">
        <v>55</v>
      </c>
    </row>
    <row r="1036" spans="1:3">
      <c r="A1036">
        <v>3303</v>
      </c>
      <c r="B1036" t="s">
        <v>299</v>
      </c>
      <c r="C1036">
        <v>19.100000000000001</v>
      </c>
    </row>
    <row r="1037" spans="1:3">
      <c r="A1037">
        <v>3306</v>
      </c>
      <c r="B1037" t="s">
        <v>1480</v>
      </c>
      <c r="C1037">
        <v>24.3</v>
      </c>
    </row>
    <row r="1038" spans="1:3">
      <c r="A1038">
        <v>3310</v>
      </c>
      <c r="B1038" t="s">
        <v>1481</v>
      </c>
      <c r="C1038">
        <v>12.7</v>
      </c>
    </row>
    <row r="1039" spans="1:3">
      <c r="A1039">
        <v>3313</v>
      </c>
      <c r="B1039" t="s">
        <v>300</v>
      </c>
      <c r="C1039">
        <v>6.59</v>
      </c>
    </row>
    <row r="1040" spans="1:3">
      <c r="A1040">
        <v>3317</v>
      </c>
      <c r="B1040" t="s">
        <v>1482</v>
      </c>
      <c r="C1040">
        <v>12.1</v>
      </c>
    </row>
    <row r="1041" spans="1:3">
      <c r="A1041">
        <v>3322</v>
      </c>
      <c r="B1041" t="s">
        <v>1483</v>
      </c>
      <c r="C1041">
        <v>11.7</v>
      </c>
    </row>
    <row r="1042" spans="1:3">
      <c r="A1042">
        <v>3323</v>
      </c>
      <c r="B1042" t="s">
        <v>301</v>
      </c>
      <c r="C1042">
        <v>19.5</v>
      </c>
    </row>
    <row r="1043" spans="1:3">
      <c r="A1043">
        <v>3324</v>
      </c>
      <c r="B1043" t="s">
        <v>1484</v>
      </c>
      <c r="C1043">
        <v>75</v>
      </c>
    </row>
    <row r="1044" spans="1:3">
      <c r="A1044">
        <v>3325</v>
      </c>
      <c r="B1044" t="s">
        <v>1485</v>
      </c>
      <c r="C1044">
        <v>17</v>
      </c>
    </row>
    <row r="1045" spans="1:3">
      <c r="A1045">
        <v>3332</v>
      </c>
      <c r="B1045" t="s">
        <v>302</v>
      </c>
      <c r="C1045">
        <v>37.700000000000003</v>
      </c>
    </row>
    <row r="1046" spans="1:3">
      <c r="A1046">
        <v>3339</v>
      </c>
      <c r="B1046" t="s">
        <v>1486</v>
      </c>
      <c r="C1046">
        <v>3.72</v>
      </c>
    </row>
    <row r="1047" spans="1:3">
      <c r="A1047">
        <v>3354</v>
      </c>
      <c r="B1047" t="s">
        <v>1487</v>
      </c>
      <c r="C1047">
        <v>8.77</v>
      </c>
    </row>
    <row r="1048" spans="1:3">
      <c r="A1048">
        <v>3360</v>
      </c>
      <c r="B1048" t="s">
        <v>303</v>
      </c>
      <c r="C1048">
        <v>19.45</v>
      </c>
    </row>
    <row r="1049" spans="1:3">
      <c r="A1049">
        <v>3362</v>
      </c>
      <c r="B1049" t="s">
        <v>1488</v>
      </c>
      <c r="C1049">
        <v>13.75</v>
      </c>
    </row>
    <row r="1050" spans="1:3">
      <c r="A1050">
        <v>3363</v>
      </c>
      <c r="B1050" t="s">
        <v>304</v>
      </c>
      <c r="C1050">
        <v>28.4</v>
      </c>
    </row>
    <row r="1051" spans="1:3">
      <c r="A1051">
        <v>3372</v>
      </c>
      <c r="B1051" t="s">
        <v>305</v>
      </c>
      <c r="C1051">
        <v>7.48</v>
      </c>
    </row>
    <row r="1052" spans="1:3">
      <c r="A1052">
        <v>3373</v>
      </c>
      <c r="B1052" t="s">
        <v>306</v>
      </c>
      <c r="C1052">
        <v>27.45</v>
      </c>
    </row>
    <row r="1053" spans="1:3">
      <c r="A1053">
        <v>3374</v>
      </c>
      <c r="B1053" t="s">
        <v>307</v>
      </c>
      <c r="C1053">
        <v>29.7</v>
      </c>
    </row>
    <row r="1054" spans="1:3">
      <c r="A1054">
        <v>3379</v>
      </c>
      <c r="B1054" t="s">
        <v>1489</v>
      </c>
      <c r="C1054">
        <v>14</v>
      </c>
    </row>
    <row r="1055" spans="1:3">
      <c r="A1055">
        <v>3388</v>
      </c>
      <c r="B1055" t="s">
        <v>308</v>
      </c>
      <c r="C1055">
        <v>64.8</v>
      </c>
    </row>
    <row r="1056" spans="1:3">
      <c r="A1056">
        <v>3390</v>
      </c>
      <c r="B1056" t="s">
        <v>1490</v>
      </c>
      <c r="C1056">
        <v>15.65</v>
      </c>
    </row>
    <row r="1057" spans="1:3">
      <c r="A1057">
        <v>3402</v>
      </c>
      <c r="B1057" t="s">
        <v>1491</v>
      </c>
      <c r="C1057">
        <v>14.75</v>
      </c>
    </row>
    <row r="1058" spans="1:3">
      <c r="A1058">
        <v>3428</v>
      </c>
      <c r="B1058" t="s">
        <v>309</v>
      </c>
      <c r="C1058">
        <v>53.7</v>
      </c>
    </row>
    <row r="1059" spans="1:3">
      <c r="A1059">
        <v>3431</v>
      </c>
      <c r="B1059" t="s">
        <v>1492</v>
      </c>
      <c r="C1059">
        <v>7.64</v>
      </c>
    </row>
    <row r="1060" spans="1:3">
      <c r="A1060">
        <v>3434</v>
      </c>
      <c r="B1060" t="s">
        <v>310</v>
      </c>
      <c r="C1060">
        <v>12.85</v>
      </c>
    </row>
    <row r="1061" spans="1:3">
      <c r="A1061">
        <v>3438</v>
      </c>
      <c r="B1061" t="s">
        <v>1493</v>
      </c>
      <c r="C1061">
        <v>18.25</v>
      </c>
    </row>
    <row r="1062" spans="1:3">
      <c r="A1062">
        <v>3441</v>
      </c>
      <c r="B1062" t="s">
        <v>1494</v>
      </c>
      <c r="C1062">
        <v>12.2</v>
      </c>
    </row>
    <row r="1063" spans="1:3">
      <c r="A1063">
        <v>3444</v>
      </c>
      <c r="B1063" t="s">
        <v>1495</v>
      </c>
      <c r="C1063">
        <v>18.2</v>
      </c>
    </row>
    <row r="1064" spans="1:3">
      <c r="A1064">
        <v>3452</v>
      </c>
      <c r="B1064" t="s">
        <v>1496</v>
      </c>
      <c r="C1064">
        <v>12.05</v>
      </c>
    </row>
    <row r="1065" spans="1:3">
      <c r="A1065">
        <v>3455</v>
      </c>
      <c r="B1065" t="s">
        <v>311</v>
      </c>
      <c r="C1065">
        <v>35.9</v>
      </c>
    </row>
    <row r="1066" spans="1:3">
      <c r="A1066">
        <v>3465</v>
      </c>
      <c r="B1066" t="s">
        <v>1497</v>
      </c>
      <c r="C1066">
        <v>10.25</v>
      </c>
    </row>
    <row r="1067" spans="1:3">
      <c r="A1067">
        <v>3466</v>
      </c>
      <c r="B1067" t="s">
        <v>312</v>
      </c>
      <c r="C1067">
        <v>21.2</v>
      </c>
    </row>
    <row r="1068" spans="1:3">
      <c r="A1068">
        <v>3479</v>
      </c>
      <c r="B1068" t="s">
        <v>1498</v>
      </c>
      <c r="C1068">
        <v>83.7</v>
      </c>
    </row>
    <row r="1069" spans="1:3">
      <c r="A1069">
        <v>3483</v>
      </c>
      <c r="B1069" t="s">
        <v>313</v>
      </c>
      <c r="C1069">
        <v>13.8</v>
      </c>
    </row>
    <row r="1070" spans="1:3">
      <c r="A1070">
        <v>3484</v>
      </c>
      <c r="B1070" t="s">
        <v>314</v>
      </c>
      <c r="C1070">
        <v>49.75</v>
      </c>
    </row>
    <row r="1071" spans="1:3">
      <c r="A1071">
        <v>3489</v>
      </c>
      <c r="B1071" t="s">
        <v>315</v>
      </c>
      <c r="C1071">
        <v>11.05</v>
      </c>
    </row>
    <row r="1072" spans="1:3">
      <c r="A1072">
        <v>3490</v>
      </c>
      <c r="B1072" t="s">
        <v>316</v>
      </c>
      <c r="C1072">
        <v>77.7</v>
      </c>
    </row>
    <row r="1073" spans="1:3">
      <c r="A1073">
        <v>3491</v>
      </c>
      <c r="B1073" t="s">
        <v>1499</v>
      </c>
      <c r="C1073">
        <v>76</v>
      </c>
    </row>
    <row r="1074" spans="1:3">
      <c r="A1074">
        <v>3492</v>
      </c>
      <c r="B1074" t="s">
        <v>1500</v>
      </c>
      <c r="C1074">
        <v>43.95</v>
      </c>
    </row>
    <row r="1075" spans="1:3">
      <c r="A1075">
        <v>3498</v>
      </c>
      <c r="B1075" t="s">
        <v>1501</v>
      </c>
      <c r="C1075">
        <v>67.099999999999994</v>
      </c>
    </row>
    <row r="1076" spans="1:3">
      <c r="A1076">
        <v>3499</v>
      </c>
      <c r="B1076" t="s">
        <v>317</v>
      </c>
      <c r="C1076">
        <v>18.399999999999999</v>
      </c>
    </row>
    <row r="1077" spans="1:3">
      <c r="A1077">
        <v>3508</v>
      </c>
      <c r="B1077" t="s">
        <v>318</v>
      </c>
      <c r="C1077">
        <v>15.45</v>
      </c>
    </row>
    <row r="1078" spans="1:3">
      <c r="A1078">
        <v>3511</v>
      </c>
      <c r="B1078" t="s">
        <v>1502</v>
      </c>
      <c r="C1078">
        <v>32.6</v>
      </c>
    </row>
    <row r="1079" spans="1:3">
      <c r="A1079">
        <v>3512</v>
      </c>
      <c r="B1079" t="s">
        <v>1503</v>
      </c>
      <c r="C1079">
        <v>26</v>
      </c>
    </row>
    <row r="1080" spans="1:3">
      <c r="A1080">
        <v>3516</v>
      </c>
      <c r="B1080" t="s">
        <v>319</v>
      </c>
      <c r="C1080">
        <v>8.3699999999999992</v>
      </c>
    </row>
    <row r="1081" spans="1:3">
      <c r="A1081">
        <v>3520</v>
      </c>
      <c r="B1081" t="s">
        <v>1504</v>
      </c>
      <c r="C1081">
        <v>111.5</v>
      </c>
    </row>
    <row r="1082" spans="1:3">
      <c r="A1082">
        <v>3521</v>
      </c>
      <c r="B1082" t="s">
        <v>1505</v>
      </c>
      <c r="C1082">
        <v>12.75</v>
      </c>
    </row>
    <row r="1083" spans="1:3">
      <c r="A1083">
        <v>3522</v>
      </c>
      <c r="B1083" t="s">
        <v>320</v>
      </c>
      <c r="C1083">
        <v>11.6</v>
      </c>
    </row>
    <row r="1084" spans="1:3">
      <c r="A1084">
        <v>3523</v>
      </c>
      <c r="B1084" t="s">
        <v>1506</v>
      </c>
      <c r="C1084">
        <v>27.9</v>
      </c>
    </row>
    <row r="1085" spans="1:3">
      <c r="A1085">
        <v>3526</v>
      </c>
      <c r="B1085" t="s">
        <v>1507</v>
      </c>
      <c r="C1085">
        <v>32.799999999999997</v>
      </c>
    </row>
    <row r="1086" spans="1:3">
      <c r="A1086">
        <v>3527</v>
      </c>
      <c r="B1086" t="s">
        <v>321</v>
      </c>
      <c r="C1086">
        <v>52</v>
      </c>
    </row>
    <row r="1087" spans="1:3">
      <c r="A1087">
        <v>3528</v>
      </c>
      <c r="B1087" t="s">
        <v>1508</v>
      </c>
      <c r="C1087">
        <v>32</v>
      </c>
    </row>
    <row r="1088" spans="1:3">
      <c r="A1088">
        <v>3529</v>
      </c>
      <c r="B1088" t="s">
        <v>322</v>
      </c>
      <c r="C1088">
        <v>365.5</v>
      </c>
    </row>
    <row r="1089" spans="1:3">
      <c r="A1089">
        <v>3531</v>
      </c>
      <c r="B1089" t="s">
        <v>1509</v>
      </c>
      <c r="C1089">
        <v>15.1</v>
      </c>
    </row>
    <row r="1090" spans="1:3">
      <c r="A1090">
        <v>3537</v>
      </c>
      <c r="B1090" t="s">
        <v>323</v>
      </c>
      <c r="C1090">
        <v>24</v>
      </c>
    </row>
    <row r="1091" spans="1:3">
      <c r="A1091">
        <v>3540</v>
      </c>
      <c r="B1091" t="s">
        <v>1510</v>
      </c>
      <c r="C1091">
        <v>13.55</v>
      </c>
    </row>
    <row r="1092" spans="1:3">
      <c r="A1092">
        <v>3541</v>
      </c>
      <c r="B1092" t="s">
        <v>1511</v>
      </c>
      <c r="C1092">
        <v>88.7</v>
      </c>
    </row>
    <row r="1093" spans="1:3">
      <c r="A1093">
        <v>3546</v>
      </c>
      <c r="B1093" t="s">
        <v>1512</v>
      </c>
      <c r="C1093">
        <v>33.799999999999997</v>
      </c>
    </row>
    <row r="1094" spans="1:3">
      <c r="A1094">
        <v>3548</v>
      </c>
      <c r="B1094" t="s">
        <v>324</v>
      </c>
      <c r="C1094">
        <v>44.1</v>
      </c>
    </row>
    <row r="1095" spans="1:3">
      <c r="A1095">
        <v>3551</v>
      </c>
      <c r="B1095" t="s">
        <v>325</v>
      </c>
      <c r="C1095">
        <v>37.85</v>
      </c>
    </row>
    <row r="1096" spans="1:3">
      <c r="A1096">
        <v>3552</v>
      </c>
      <c r="B1096" t="s">
        <v>1513</v>
      </c>
      <c r="C1096">
        <v>429</v>
      </c>
    </row>
    <row r="1097" spans="1:3">
      <c r="A1097">
        <v>3553</v>
      </c>
      <c r="B1097" t="s">
        <v>326</v>
      </c>
      <c r="C1097">
        <v>13.6</v>
      </c>
    </row>
    <row r="1098" spans="1:3">
      <c r="A1098">
        <v>3555</v>
      </c>
      <c r="B1098" t="s">
        <v>1514</v>
      </c>
      <c r="C1098">
        <v>0</v>
      </c>
    </row>
    <row r="1099" spans="1:3">
      <c r="A1099">
        <v>3556</v>
      </c>
      <c r="B1099" t="s">
        <v>327</v>
      </c>
      <c r="C1099">
        <v>58.7</v>
      </c>
    </row>
    <row r="1100" spans="1:3">
      <c r="A1100">
        <v>3558</v>
      </c>
      <c r="B1100" t="s">
        <v>328</v>
      </c>
      <c r="C1100">
        <v>209</v>
      </c>
    </row>
    <row r="1101" spans="1:3">
      <c r="A1101">
        <v>3562</v>
      </c>
      <c r="B1101" t="s">
        <v>329</v>
      </c>
      <c r="C1101">
        <v>3</v>
      </c>
    </row>
    <row r="1102" spans="1:3">
      <c r="A1102">
        <v>3563</v>
      </c>
      <c r="B1102" t="s">
        <v>330</v>
      </c>
      <c r="C1102">
        <v>48</v>
      </c>
    </row>
    <row r="1103" spans="1:3">
      <c r="A1103">
        <v>3564</v>
      </c>
      <c r="B1103" t="s">
        <v>1515</v>
      </c>
      <c r="C1103">
        <v>60.1</v>
      </c>
    </row>
    <row r="1104" spans="1:3">
      <c r="A1104">
        <v>3567</v>
      </c>
      <c r="B1104" t="s">
        <v>1516</v>
      </c>
      <c r="C1104">
        <v>14.4</v>
      </c>
    </row>
    <row r="1105" spans="1:3">
      <c r="A1105">
        <v>3570</v>
      </c>
      <c r="B1105" t="s">
        <v>1517</v>
      </c>
      <c r="C1105">
        <v>63</v>
      </c>
    </row>
    <row r="1106" spans="1:3">
      <c r="A1106">
        <v>3577</v>
      </c>
      <c r="B1106" t="s">
        <v>1518</v>
      </c>
      <c r="C1106">
        <v>31.9</v>
      </c>
    </row>
    <row r="1107" spans="1:3">
      <c r="A1107">
        <v>3580</v>
      </c>
      <c r="B1107" t="s">
        <v>1519</v>
      </c>
      <c r="C1107">
        <v>13.1</v>
      </c>
    </row>
    <row r="1108" spans="1:3">
      <c r="A1108">
        <v>3581</v>
      </c>
      <c r="B1108" t="s">
        <v>1520</v>
      </c>
      <c r="C1108">
        <v>14.8</v>
      </c>
    </row>
    <row r="1109" spans="1:3">
      <c r="A1109">
        <v>3587</v>
      </c>
      <c r="B1109" t="s">
        <v>1521</v>
      </c>
      <c r="C1109">
        <v>78.400000000000006</v>
      </c>
    </row>
    <row r="1110" spans="1:3">
      <c r="A1110">
        <v>3594</v>
      </c>
      <c r="B1110" t="s">
        <v>331</v>
      </c>
      <c r="C1110">
        <v>30.25</v>
      </c>
    </row>
    <row r="1111" spans="1:3">
      <c r="A1111">
        <v>3609</v>
      </c>
      <c r="B1111" t="s">
        <v>332</v>
      </c>
      <c r="C1111">
        <v>12.2</v>
      </c>
    </row>
    <row r="1112" spans="1:3">
      <c r="A1112">
        <v>3611</v>
      </c>
      <c r="B1112" t="s">
        <v>333</v>
      </c>
      <c r="C1112">
        <v>278</v>
      </c>
    </row>
    <row r="1113" spans="1:3">
      <c r="A1113">
        <v>3615</v>
      </c>
      <c r="B1113" t="s">
        <v>1522</v>
      </c>
      <c r="C1113">
        <v>22.15</v>
      </c>
    </row>
    <row r="1114" spans="1:3">
      <c r="A1114">
        <v>3623</v>
      </c>
      <c r="B1114" t="s">
        <v>334</v>
      </c>
      <c r="C1114">
        <v>71.7</v>
      </c>
    </row>
    <row r="1115" spans="1:3">
      <c r="A1115">
        <v>3624</v>
      </c>
      <c r="B1115" t="s">
        <v>335</v>
      </c>
      <c r="C1115">
        <v>25.2</v>
      </c>
    </row>
    <row r="1116" spans="1:3">
      <c r="A1116">
        <v>3625</v>
      </c>
      <c r="B1116" t="s">
        <v>336</v>
      </c>
      <c r="C1116">
        <v>9.0500000000000007</v>
      </c>
    </row>
    <row r="1117" spans="1:3">
      <c r="A1117">
        <v>3628</v>
      </c>
      <c r="B1117" t="s">
        <v>1523</v>
      </c>
      <c r="C1117">
        <v>50.9</v>
      </c>
    </row>
    <row r="1118" spans="1:3">
      <c r="A1118">
        <v>3629</v>
      </c>
      <c r="B1118" t="s">
        <v>1524</v>
      </c>
      <c r="C1118">
        <v>40.5</v>
      </c>
    </row>
    <row r="1119" spans="1:3">
      <c r="A1119">
        <v>3630</v>
      </c>
      <c r="B1119" t="s">
        <v>337</v>
      </c>
      <c r="C1119">
        <v>17</v>
      </c>
    </row>
    <row r="1120" spans="1:3">
      <c r="A1120">
        <v>3631</v>
      </c>
      <c r="B1120" t="s">
        <v>338</v>
      </c>
      <c r="C1120">
        <v>22.5</v>
      </c>
    </row>
    <row r="1121" spans="1:3">
      <c r="A1121">
        <v>3632</v>
      </c>
      <c r="B1121" t="s">
        <v>1525</v>
      </c>
      <c r="C1121">
        <v>42.2</v>
      </c>
    </row>
    <row r="1122" spans="1:3">
      <c r="A1122">
        <v>3642</v>
      </c>
      <c r="B1122" t="s">
        <v>1526</v>
      </c>
      <c r="C1122">
        <v>27.5</v>
      </c>
    </row>
    <row r="1123" spans="1:3">
      <c r="A1123">
        <v>3646</v>
      </c>
      <c r="B1123" t="s">
        <v>1527</v>
      </c>
      <c r="C1123">
        <v>13.45</v>
      </c>
    </row>
    <row r="1124" spans="1:3">
      <c r="A1124">
        <v>3652</v>
      </c>
      <c r="B1124" t="s">
        <v>339</v>
      </c>
      <c r="C1124">
        <v>17</v>
      </c>
    </row>
    <row r="1125" spans="1:3">
      <c r="A1125">
        <v>3658</v>
      </c>
      <c r="B1125" t="s">
        <v>340</v>
      </c>
      <c r="C1125">
        <v>878</v>
      </c>
    </row>
    <row r="1126" spans="1:3">
      <c r="A1126">
        <v>3662</v>
      </c>
      <c r="B1126" t="s">
        <v>1528</v>
      </c>
      <c r="C1126">
        <v>101</v>
      </c>
    </row>
    <row r="1127" spans="1:3">
      <c r="A1127">
        <v>3663</v>
      </c>
      <c r="B1127" t="s">
        <v>1529</v>
      </c>
      <c r="C1127">
        <v>16.2</v>
      </c>
    </row>
    <row r="1128" spans="1:3">
      <c r="A1128">
        <v>3664</v>
      </c>
      <c r="B1128" t="s">
        <v>1530</v>
      </c>
      <c r="C1128">
        <v>14.8</v>
      </c>
    </row>
    <row r="1129" spans="1:3">
      <c r="A1129">
        <v>3666</v>
      </c>
      <c r="B1129" t="s">
        <v>341</v>
      </c>
      <c r="C1129">
        <v>39.15</v>
      </c>
    </row>
    <row r="1130" spans="1:3">
      <c r="A1130">
        <v>3672</v>
      </c>
      <c r="B1130" t="s">
        <v>342</v>
      </c>
      <c r="C1130">
        <v>36.6</v>
      </c>
    </row>
    <row r="1131" spans="1:3">
      <c r="A1131">
        <v>3675</v>
      </c>
      <c r="B1131" t="s">
        <v>1531</v>
      </c>
      <c r="C1131">
        <v>25.55</v>
      </c>
    </row>
    <row r="1132" spans="1:3">
      <c r="A1132">
        <v>3680</v>
      </c>
      <c r="B1132" t="s">
        <v>1532</v>
      </c>
      <c r="C1132">
        <v>33</v>
      </c>
    </row>
    <row r="1133" spans="1:3">
      <c r="A1133">
        <v>3684</v>
      </c>
      <c r="B1133" t="s">
        <v>1533</v>
      </c>
      <c r="C1133">
        <v>58.7</v>
      </c>
    </row>
    <row r="1134" spans="1:3">
      <c r="A1134">
        <v>3685</v>
      </c>
      <c r="B1134" t="s">
        <v>1534</v>
      </c>
      <c r="C1134">
        <v>67</v>
      </c>
    </row>
    <row r="1135" spans="1:3">
      <c r="A1135">
        <v>3687</v>
      </c>
      <c r="B1135" t="s">
        <v>343</v>
      </c>
      <c r="C1135">
        <v>66</v>
      </c>
    </row>
    <row r="1136" spans="1:3">
      <c r="A1136">
        <v>3689</v>
      </c>
      <c r="B1136" t="s">
        <v>1535</v>
      </c>
      <c r="C1136">
        <v>38.4</v>
      </c>
    </row>
    <row r="1137" spans="1:3">
      <c r="A1137">
        <v>3691</v>
      </c>
      <c r="B1137" t="s">
        <v>1536</v>
      </c>
      <c r="C1137">
        <v>591</v>
      </c>
    </row>
    <row r="1138" spans="1:3">
      <c r="A1138">
        <v>3693</v>
      </c>
      <c r="B1138" t="s">
        <v>344</v>
      </c>
      <c r="C1138">
        <v>97</v>
      </c>
    </row>
    <row r="1139" spans="1:3">
      <c r="A1139">
        <v>3707</v>
      </c>
      <c r="B1139" t="s">
        <v>345</v>
      </c>
      <c r="C1139">
        <v>10.1</v>
      </c>
    </row>
    <row r="1140" spans="1:3">
      <c r="A1140">
        <v>4102</v>
      </c>
      <c r="B1140" t="s">
        <v>1537</v>
      </c>
      <c r="C1140">
        <v>24.1</v>
      </c>
    </row>
    <row r="1141" spans="1:3">
      <c r="A1141">
        <v>4103</v>
      </c>
      <c r="B1141" t="s">
        <v>1538</v>
      </c>
      <c r="C1141">
        <v>94.5</v>
      </c>
    </row>
    <row r="1142" spans="1:3">
      <c r="A1142">
        <v>4105</v>
      </c>
      <c r="B1142" t="s">
        <v>1539</v>
      </c>
      <c r="C1142">
        <v>104</v>
      </c>
    </row>
    <row r="1143" spans="1:3">
      <c r="A1143">
        <v>4107</v>
      </c>
      <c r="B1143" t="s">
        <v>1540</v>
      </c>
      <c r="C1143">
        <v>141</v>
      </c>
    </row>
    <row r="1144" spans="1:3">
      <c r="A1144">
        <v>4109</v>
      </c>
      <c r="B1144" t="s">
        <v>1541</v>
      </c>
      <c r="C1144">
        <v>24</v>
      </c>
    </row>
    <row r="1145" spans="1:3">
      <c r="A1145">
        <v>4111</v>
      </c>
      <c r="B1145" t="s">
        <v>1542</v>
      </c>
      <c r="C1145">
        <v>26.3</v>
      </c>
    </row>
    <row r="1146" spans="1:3">
      <c r="A1146">
        <v>4113</v>
      </c>
      <c r="B1146" t="s">
        <v>346</v>
      </c>
      <c r="C1146">
        <v>11.5</v>
      </c>
    </row>
    <row r="1147" spans="1:3">
      <c r="A1147">
        <v>4114</v>
      </c>
      <c r="B1147" t="s">
        <v>1543</v>
      </c>
      <c r="C1147">
        <v>33.450000000000003</v>
      </c>
    </row>
    <row r="1148" spans="1:3">
      <c r="A1148">
        <v>4116</v>
      </c>
      <c r="B1148" t="s">
        <v>2018</v>
      </c>
      <c r="C1148">
        <v>70.599999999999994</v>
      </c>
    </row>
    <row r="1149" spans="1:3">
      <c r="A1149">
        <v>4120</v>
      </c>
      <c r="B1149" t="s">
        <v>347</v>
      </c>
      <c r="C1149">
        <v>53.7</v>
      </c>
    </row>
    <row r="1150" spans="1:3">
      <c r="A1150">
        <v>4121</v>
      </c>
      <c r="B1150" t="s">
        <v>1544</v>
      </c>
      <c r="C1150">
        <v>16.350000000000001</v>
      </c>
    </row>
    <row r="1151" spans="1:3">
      <c r="A1151">
        <v>4123</v>
      </c>
      <c r="B1151" t="s">
        <v>1545</v>
      </c>
      <c r="C1151">
        <v>69</v>
      </c>
    </row>
    <row r="1152" spans="1:3">
      <c r="A1152">
        <v>4126</v>
      </c>
      <c r="B1152" t="s">
        <v>348</v>
      </c>
      <c r="C1152">
        <v>86.5</v>
      </c>
    </row>
    <row r="1153" spans="1:3">
      <c r="A1153">
        <v>4127</v>
      </c>
      <c r="B1153" t="s">
        <v>1546</v>
      </c>
      <c r="C1153">
        <v>22</v>
      </c>
    </row>
    <row r="1154" spans="1:3">
      <c r="A1154">
        <v>4128</v>
      </c>
      <c r="B1154" t="s">
        <v>1547</v>
      </c>
      <c r="C1154">
        <v>25.9</v>
      </c>
    </row>
    <row r="1155" spans="1:3">
      <c r="A1155">
        <v>4129</v>
      </c>
      <c r="B1155" t="s">
        <v>1548</v>
      </c>
      <c r="C1155">
        <v>72</v>
      </c>
    </row>
    <row r="1156" spans="1:3">
      <c r="A1156">
        <v>4130</v>
      </c>
      <c r="B1156" t="s">
        <v>349</v>
      </c>
      <c r="C1156">
        <v>57.8</v>
      </c>
    </row>
    <row r="1157" spans="1:3">
      <c r="A1157">
        <v>4131</v>
      </c>
      <c r="B1157" t="s">
        <v>1549</v>
      </c>
      <c r="C1157">
        <v>10</v>
      </c>
    </row>
    <row r="1158" spans="1:3">
      <c r="A1158">
        <v>4138</v>
      </c>
      <c r="B1158" t="s">
        <v>1550</v>
      </c>
      <c r="C1158">
        <v>62.7</v>
      </c>
    </row>
    <row r="1159" spans="1:3">
      <c r="A1159">
        <v>4139</v>
      </c>
      <c r="B1159" t="s">
        <v>1551</v>
      </c>
      <c r="C1159">
        <v>61.5</v>
      </c>
    </row>
    <row r="1160" spans="1:3">
      <c r="A1160">
        <v>4147</v>
      </c>
      <c r="B1160" t="s">
        <v>1902</v>
      </c>
      <c r="C1160">
        <v>201</v>
      </c>
    </row>
    <row r="1161" spans="1:3">
      <c r="A1161">
        <v>4152</v>
      </c>
      <c r="B1161" t="s">
        <v>350</v>
      </c>
      <c r="C1161">
        <v>160</v>
      </c>
    </row>
    <row r="1162" spans="1:3">
      <c r="A1162">
        <v>4153</v>
      </c>
      <c r="B1162" t="s">
        <v>351</v>
      </c>
      <c r="C1162">
        <v>70.5</v>
      </c>
    </row>
    <row r="1163" spans="1:3">
      <c r="A1163">
        <v>4154</v>
      </c>
      <c r="B1163" t="s">
        <v>1552</v>
      </c>
      <c r="C1163">
        <v>20.350000000000001</v>
      </c>
    </row>
    <row r="1164" spans="1:3">
      <c r="A1164">
        <v>4157</v>
      </c>
      <c r="B1164" t="s">
        <v>1553</v>
      </c>
      <c r="C1164">
        <v>27.15</v>
      </c>
    </row>
    <row r="1165" spans="1:3">
      <c r="A1165">
        <v>4160</v>
      </c>
      <c r="B1165" t="s">
        <v>1554</v>
      </c>
      <c r="C1165">
        <v>28.5</v>
      </c>
    </row>
    <row r="1166" spans="1:3">
      <c r="A1166">
        <v>4161</v>
      </c>
      <c r="B1166" t="s">
        <v>1555</v>
      </c>
      <c r="C1166">
        <v>59.7</v>
      </c>
    </row>
    <row r="1167" spans="1:3">
      <c r="A1167">
        <v>4162</v>
      </c>
      <c r="B1167" t="s">
        <v>352</v>
      </c>
      <c r="C1167">
        <v>239</v>
      </c>
    </row>
    <row r="1168" spans="1:3">
      <c r="A1168">
        <v>4163</v>
      </c>
      <c r="B1168" t="s">
        <v>1556</v>
      </c>
      <c r="C1168">
        <v>127.5</v>
      </c>
    </row>
    <row r="1169" spans="1:3">
      <c r="A1169">
        <v>4167</v>
      </c>
      <c r="B1169" t="s">
        <v>353</v>
      </c>
      <c r="C1169">
        <v>23.05</v>
      </c>
    </row>
    <row r="1170" spans="1:3">
      <c r="A1170">
        <v>4168</v>
      </c>
      <c r="B1170" t="s">
        <v>354</v>
      </c>
      <c r="C1170">
        <v>46.4</v>
      </c>
    </row>
    <row r="1171" spans="1:3">
      <c r="A1171">
        <v>4171</v>
      </c>
      <c r="B1171" t="s">
        <v>1557</v>
      </c>
      <c r="C1171">
        <v>37.25</v>
      </c>
    </row>
    <row r="1172" spans="1:3">
      <c r="A1172">
        <v>4173</v>
      </c>
      <c r="B1172" t="s">
        <v>355</v>
      </c>
      <c r="C1172">
        <v>26</v>
      </c>
    </row>
    <row r="1173" spans="1:3">
      <c r="A1173">
        <v>4174</v>
      </c>
      <c r="B1173" t="s">
        <v>356</v>
      </c>
      <c r="C1173">
        <v>441</v>
      </c>
    </row>
    <row r="1174" spans="1:3">
      <c r="A1174">
        <v>4175</v>
      </c>
      <c r="B1174" t="s">
        <v>357</v>
      </c>
      <c r="C1174">
        <v>85.3</v>
      </c>
    </row>
    <row r="1175" spans="1:3">
      <c r="A1175">
        <v>4180</v>
      </c>
      <c r="B1175" t="s">
        <v>1558</v>
      </c>
      <c r="C1175">
        <v>149.5</v>
      </c>
    </row>
    <row r="1176" spans="1:3">
      <c r="A1176">
        <v>4188</v>
      </c>
      <c r="B1176" t="s">
        <v>1559</v>
      </c>
      <c r="C1176">
        <v>27.8</v>
      </c>
    </row>
    <row r="1177" spans="1:3">
      <c r="A1177">
        <v>4192</v>
      </c>
      <c r="B1177" t="s">
        <v>1560</v>
      </c>
      <c r="C1177">
        <v>40.049999999999997</v>
      </c>
    </row>
    <row r="1178" spans="1:3">
      <c r="A1178">
        <v>4198</v>
      </c>
      <c r="B1178" t="s">
        <v>358</v>
      </c>
      <c r="C1178">
        <v>30.85</v>
      </c>
    </row>
    <row r="1179" spans="1:3">
      <c r="A1179">
        <v>4205</v>
      </c>
      <c r="B1179" t="s">
        <v>1561</v>
      </c>
      <c r="C1179">
        <v>39.65</v>
      </c>
    </row>
    <row r="1180" spans="1:3">
      <c r="A1180">
        <v>4207</v>
      </c>
      <c r="B1180" t="s">
        <v>1562</v>
      </c>
      <c r="C1180">
        <v>9.8699999999999992</v>
      </c>
    </row>
    <row r="1181" spans="1:3">
      <c r="A1181">
        <v>4303</v>
      </c>
      <c r="B1181" t="s">
        <v>1563</v>
      </c>
      <c r="C1181">
        <v>13.1</v>
      </c>
    </row>
    <row r="1182" spans="1:3">
      <c r="A1182">
        <v>4304</v>
      </c>
      <c r="B1182" t="s">
        <v>359</v>
      </c>
      <c r="C1182">
        <v>10.9</v>
      </c>
    </row>
    <row r="1183" spans="1:3">
      <c r="A1183">
        <v>4305</v>
      </c>
      <c r="B1183" t="s">
        <v>1564</v>
      </c>
      <c r="C1183">
        <v>26.5</v>
      </c>
    </row>
    <row r="1184" spans="1:3">
      <c r="A1184">
        <v>4401</v>
      </c>
      <c r="B1184" t="s">
        <v>1565</v>
      </c>
      <c r="C1184">
        <v>91.1</v>
      </c>
    </row>
    <row r="1185" spans="1:3">
      <c r="A1185">
        <v>4402</v>
      </c>
      <c r="B1185" t="s">
        <v>360</v>
      </c>
      <c r="C1185">
        <v>4.42</v>
      </c>
    </row>
    <row r="1186" spans="1:3">
      <c r="A1186">
        <v>4406</v>
      </c>
      <c r="B1186" t="s">
        <v>1566</v>
      </c>
      <c r="C1186">
        <v>11.9</v>
      </c>
    </row>
    <row r="1187" spans="1:3">
      <c r="A1187">
        <v>4413</v>
      </c>
      <c r="B1187" t="s">
        <v>1567</v>
      </c>
      <c r="C1187">
        <v>0</v>
      </c>
    </row>
    <row r="1188" spans="1:3">
      <c r="A1188">
        <v>4415</v>
      </c>
      <c r="B1188" t="s">
        <v>1568</v>
      </c>
      <c r="C1188">
        <v>8.3800000000000008</v>
      </c>
    </row>
    <row r="1189" spans="1:3">
      <c r="A1189">
        <v>4416</v>
      </c>
      <c r="B1189" t="s">
        <v>361</v>
      </c>
      <c r="C1189">
        <v>0</v>
      </c>
    </row>
    <row r="1190" spans="1:3">
      <c r="A1190">
        <v>4417</v>
      </c>
      <c r="B1190" t="s">
        <v>1569</v>
      </c>
      <c r="C1190">
        <v>34.049999999999997</v>
      </c>
    </row>
    <row r="1191" spans="1:3">
      <c r="A1191">
        <v>4419</v>
      </c>
      <c r="B1191" t="s">
        <v>1570</v>
      </c>
      <c r="C1191">
        <v>6.52</v>
      </c>
    </row>
    <row r="1192" spans="1:3">
      <c r="A1192">
        <v>4420</v>
      </c>
      <c r="B1192" t="s">
        <v>1571</v>
      </c>
      <c r="C1192">
        <v>39.450000000000003</v>
      </c>
    </row>
    <row r="1193" spans="1:3">
      <c r="A1193">
        <v>4429</v>
      </c>
      <c r="B1193" t="s">
        <v>362</v>
      </c>
      <c r="C1193">
        <v>23.3</v>
      </c>
    </row>
    <row r="1194" spans="1:3">
      <c r="A1194">
        <v>4430</v>
      </c>
      <c r="B1194" t="s">
        <v>1572</v>
      </c>
      <c r="C1194">
        <v>28.2</v>
      </c>
    </row>
    <row r="1195" spans="1:3">
      <c r="A1195">
        <v>4432</v>
      </c>
      <c r="B1195" t="s">
        <v>1573</v>
      </c>
      <c r="C1195">
        <v>79.5</v>
      </c>
    </row>
    <row r="1196" spans="1:3">
      <c r="A1196">
        <v>4433</v>
      </c>
      <c r="B1196" t="s">
        <v>1574</v>
      </c>
      <c r="C1196">
        <v>34.049999999999997</v>
      </c>
    </row>
    <row r="1197" spans="1:3">
      <c r="A1197">
        <v>4502</v>
      </c>
      <c r="B1197" t="s">
        <v>1903</v>
      </c>
      <c r="C1197">
        <v>27.5</v>
      </c>
    </row>
    <row r="1198" spans="1:3">
      <c r="A1198">
        <v>4503</v>
      </c>
      <c r="B1198" t="s">
        <v>363</v>
      </c>
      <c r="C1198">
        <v>14.75</v>
      </c>
    </row>
    <row r="1199" spans="1:3">
      <c r="A1199">
        <v>4506</v>
      </c>
      <c r="B1199" t="s">
        <v>364</v>
      </c>
      <c r="C1199">
        <v>27.55</v>
      </c>
    </row>
    <row r="1200" spans="1:3">
      <c r="A1200">
        <v>4510</v>
      </c>
      <c r="B1200" t="s">
        <v>1576</v>
      </c>
      <c r="C1200">
        <v>15.95</v>
      </c>
    </row>
    <row r="1201" spans="1:3">
      <c r="A1201">
        <v>4513</v>
      </c>
      <c r="B1201" t="s">
        <v>1577</v>
      </c>
      <c r="C1201">
        <v>10.25</v>
      </c>
    </row>
    <row r="1202" spans="1:3">
      <c r="A1202">
        <v>4523</v>
      </c>
      <c r="B1202" t="s">
        <v>1578</v>
      </c>
      <c r="C1202">
        <v>18.850000000000001</v>
      </c>
    </row>
    <row r="1203" spans="1:3">
      <c r="A1203">
        <v>4527</v>
      </c>
      <c r="B1203" t="s">
        <v>1579</v>
      </c>
      <c r="C1203">
        <v>25.5</v>
      </c>
    </row>
    <row r="1204" spans="1:3">
      <c r="A1204">
        <v>4528</v>
      </c>
      <c r="B1204" t="s">
        <v>1580</v>
      </c>
      <c r="C1204">
        <v>58.3</v>
      </c>
    </row>
    <row r="1205" spans="1:3">
      <c r="A1205">
        <v>4529</v>
      </c>
      <c r="B1205" t="s">
        <v>1581</v>
      </c>
      <c r="C1205">
        <v>46.3</v>
      </c>
    </row>
    <row r="1206" spans="1:3">
      <c r="A1206">
        <v>4530</v>
      </c>
      <c r="B1206" t="s">
        <v>1582</v>
      </c>
      <c r="C1206">
        <v>4.5</v>
      </c>
    </row>
    <row r="1207" spans="1:3">
      <c r="A1207">
        <v>4533</v>
      </c>
      <c r="B1207" t="s">
        <v>1583</v>
      </c>
      <c r="C1207">
        <v>12.8</v>
      </c>
    </row>
    <row r="1208" spans="1:3">
      <c r="A1208">
        <v>4534</v>
      </c>
      <c r="B1208" t="s">
        <v>1584</v>
      </c>
      <c r="C1208">
        <v>14.3</v>
      </c>
    </row>
    <row r="1209" spans="1:3">
      <c r="A1209">
        <v>4535</v>
      </c>
      <c r="B1209" t="s">
        <v>1585</v>
      </c>
      <c r="C1209">
        <v>43.75</v>
      </c>
    </row>
    <row r="1210" spans="1:3">
      <c r="A1210">
        <v>4541</v>
      </c>
      <c r="B1210" t="s">
        <v>1586</v>
      </c>
      <c r="C1210">
        <v>33.200000000000003</v>
      </c>
    </row>
    <row r="1211" spans="1:3">
      <c r="A1211">
        <v>4542</v>
      </c>
      <c r="B1211" t="s">
        <v>365</v>
      </c>
      <c r="C1211">
        <v>19.05</v>
      </c>
    </row>
    <row r="1212" spans="1:3">
      <c r="A1212">
        <v>4549</v>
      </c>
      <c r="B1212" t="s">
        <v>366</v>
      </c>
      <c r="C1212">
        <v>70.900000000000006</v>
      </c>
    </row>
    <row r="1213" spans="1:3">
      <c r="A1213">
        <v>4550</v>
      </c>
      <c r="B1213" t="s">
        <v>367</v>
      </c>
      <c r="C1213">
        <v>19.95</v>
      </c>
    </row>
    <row r="1214" spans="1:3">
      <c r="A1214">
        <v>4556</v>
      </c>
      <c r="B1214" t="s">
        <v>2040</v>
      </c>
      <c r="C1214">
        <v>33.5</v>
      </c>
    </row>
    <row r="1215" spans="1:3">
      <c r="A1215">
        <v>4609</v>
      </c>
      <c r="B1215" t="s">
        <v>1587</v>
      </c>
      <c r="C1215">
        <v>8.09</v>
      </c>
    </row>
    <row r="1216" spans="1:3">
      <c r="A1216">
        <v>4702</v>
      </c>
      <c r="B1216" t="s">
        <v>368</v>
      </c>
      <c r="C1216">
        <v>11.7</v>
      </c>
    </row>
    <row r="1217" spans="1:3">
      <c r="A1217">
        <v>4706</v>
      </c>
      <c r="B1217" t="s">
        <v>1588</v>
      </c>
      <c r="C1217">
        <v>16.5</v>
      </c>
    </row>
    <row r="1218" spans="1:3">
      <c r="A1218">
        <v>4707</v>
      </c>
      <c r="B1218" t="s">
        <v>369</v>
      </c>
      <c r="C1218">
        <v>8.4700000000000006</v>
      </c>
    </row>
    <row r="1219" spans="1:3">
      <c r="A1219">
        <v>4711</v>
      </c>
      <c r="B1219" t="s">
        <v>1589</v>
      </c>
      <c r="C1219">
        <v>12.55</v>
      </c>
    </row>
    <row r="1220" spans="1:3">
      <c r="A1220">
        <v>4712</v>
      </c>
      <c r="B1220" t="s">
        <v>370</v>
      </c>
      <c r="C1220">
        <v>8.6199999999999992</v>
      </c>
    </row>
    <row r="1221" spans="1:3">
      <c r="A1221">
        <v>4714</v>
      </c>
      <c r="B1221" t="s">
        <v>371</v>
      </c>
      <c r="C1221">
        <v>8.65</v>
      </c>
    </row>
    <row r="1222" spans="1:3">
      <c r="A1222">
        <v>4716</v>
      </c>
      <c r="B1222" t="s">
        <v>1590</v>
      </c>
      <c r="C1222">
        <v>10.3</v>
      </c>
    </row>
    <row r="1223" spans="1:3">
      <c r="A1223">
        <v>4721</v>
      </c>
      <c r="B1223" t="s">
        <v>372</v>
      </c>
      <c r="C1223">
        <v>24.9</v>
      </c>
    </row>
    <row r="1224" spans="1:3">
      <c r="A1224">
        <v>4726</v>
      </c>
      <c r="B1224" t="s">
        <v>1591</v>
      </c>
      <c r="C1224">
        <v>43.2</v>
      </c>
    </row>
    <row r="1225" spans="1:3">
      <c r="A1225">
        <v>4728</v>
      </c>
      <c r="B1225" t="s">
        <v>373</v>
      </c>
      <c r="C1225">
        <v>43</v>
      </c>
    </row>
    <row r="1226" spans="1:3">
      <c r="A1226">
        <v>4729</v>
      </c>
      <c r="B1226" t="s">
        <v>374</v>
      </c>
      <c r="C1226">
        <v>14.5</v>
      </c>
    </row>
    <row r="1227" spans="1:3">
      <c r="A1227">
        <v>4735</v>
      </c>
      <c r="B1227" t="s">
        <v>1592</v>
      </c>
      <c r="C1227">
        <v>34.049999999999997</v>
      </c>
    </row>
    <row r="1228" spans="1:3">
      <c r="A1228">
        <v>4736</v>
      </c>
      <c r="B1228" t="s">
        <v>375</v>
      </c>
      <c r="C1228">
        <v>110</v>
      </c>
    </row>
    <row r="1229" spans="1:3">
      <c r="A1229">
        <v>4739</v>
      </c>
      <c r="B1229" t="s">
        <v>1593</v>
      </c>
      <c r="C1229">
        <v>42.1</v>
      </c>
    </row>
    <row r="1230" spans="1:3">
      <c r="A1230">
        <v>4743</v>
      </c>
      <c r="B1230" t="s">
        <v>1594</v>
      </c>
      <c r="C1230">
        <v>34.1</v>
      </c>
    </row>
    <row r="1231" spans="1:3">
      <c r="A1231">
        <v>4745</v>
      </c>
      <c r="B1231" t="s">
        <v>1595</v>
      </c>
      <c r="C1231">
        <v>58.7</v>
      </c>
    </row>
    <row r="1232" spans="1:3">
      <c r="A1232">
        <v>4747</v>
      </c>
      <c r="B1232" t="s">
        <v>1596</v>
      </c>
      <c r="C1232">
        <v>45</v>
      </c>
    </row>
    <row r="1233" spans="1:3">
      <c r="A1233">
        <v>4762</v>
      </c>
      <c r="B1233" t="s">
        <v>2448</v>
      </c>
      <c r="C1233">
        <v>63.3</v>
      </c>
    </row>
    <row r="1234" spans="1:3">
      <c r="A1234">
        <v>4803</v>
      </c>
      <c r="B1234" t="s">
        <v>2019</v>
      </c>
      <c r="C1234">
        <v>157.5</v>
      </c>
    </row>
    <row r="1235" spans="1:3">
      <c r="A1235">
        <v>4804</v>
      </c>
      <c r="B1235" t="s">
        <v>1904</v>
      </c>
      <c r="C1235">
        <v>127.5</v>
      </c>
    </row>
    <row r="1236" spans="1:3">
      <c r="A1236">
        <v>4903</v>
      </c>
      <c r="B1236" t="s">
        <v>1597</v>
      </c>
      <c r="C1236">
        <v>13.75</v>
      </c>
    </row>
    <row r="1237" spans="1:3">
      <c r="A1237">
        <v>4905</v>
      </c>
      <c r="B1237" t="s">
        <v>1598</v>
      </c>
      <c r="C1237">
        <v>55.8</v>
      </c>
    </row>
    <row r="1238" spans="1:3">
      <c r="A1238">
        <v>4907</v>
      </c>
      <c r="B1238" t="s">
        <v>1599</v>
      </c>
      <c r="C1238">
        <v>10.35</v>
      </c>
    </row>
    <row r="1239" spans="1:3">
      <c r="A1239">
        <v>4908</v>
      </c>
      <c r="B1239" t="s">
        <v>1600</v>
      </c>
      <c r="C1239">
        <v>20.149999999999999</v>
      </c>
    </row>
    <row r="1240" spans="1:3">
      <c r="A1240">
        <v>4909</v>
      </c>
      <c r="B1240" t="s">
        <v>376</v>
      </c>
      <c r="C1240">
        <v>25.5</v>
      </c>
    </row>
    <row r="1241" spans="1:3">
      <c r="A1241">
        <v>4911</v>
      </c>
      <c r="B1241" t="s">
        <v>377</v>
      </c>
      <c r="C1241">
        <v>82.8</v>
      </c>
    </row>
    <row r="1242" spans="1:3">
      <c r="A1242">
        <v>4924</v>
      </c>
      <c r="B1242" t="s">
        <v>1601</v>
      </c>
      <c r="C1242">
        <v>7.65</v>
      </c>
    </row>
    <row r="1243" spans="1:3">
      <c r="A1243">
        <v>4933</v>
      </c>
      <c r="B1243" t="s">
        <v>378</v>
      </c>
      <c r="C1243">
        <v>24.45</v>
      </c>
    </row>
    <row r="1244" spans="1:3">
      <c r="A1244">
        <v>4939</v>
      </c>
      <c r="B1244" t="s">
        <v>379</v>
      </c>
      <c r="C1244">
        <v>7.49</v>
      </c>
    </row>
    <row r="1245" spans="1:3">
      <c r="A1245">
        <v>4944</v>
      </c>
      <c r="B1245" t="s">
        <v>1602</v>
      </c>
      <c r="C1245">
        <v>11.4</v>
      </c>
    </row>
    <row r="1246" spans="1:3">
      <c r="A1246">
        <v>4946</v>
      </c>
      <c r="B1246" t="s">
        <v>1603</v>
      </c>
      <c r="C1246">
        <v>32.5</v>
      </c>
    </row>
    <row r="1247" spans="1:3">
      <c r="A1247">
        <v>4947</v>
      </c>
      <c r="B1247" t="s">
        <v>1604</v>
      </c>
      <c r="C1247">
        <v>209.5</v>
      </c>
    </row>
    <row r="1248" spans="1:3">
      <c r="A1248">
        <v>4950</v>
      </c>
      <c r="B1248" t="s">
        <v>380</v>
      </c>
      <c r="C1248">
        <v>18.5</v>
      </c>
    </row>
    <row r="1249" spans="1:3">
      <c r="A1249">
        <v>4953</v>
      </c>
      <c r="B1249" t="s">
        <v>1605</v>
      </c>
      <c r="C1249">
        <v>22.05</v>
      </c>
    </row>
    <row r="1250" spans="1:3">
      <c r="A1250">
        <v>4965</v>
      </c>
      <c r="B1250" t="s">
        <v>381</v>
      </c>
      <c r="C1250">
        <v>115</v>
      </c>
    </row>
    <row r="1251" spans="1:3">
      <c r="A1251">
        <v>4966</v>
      </c>
      <c r="B1251" t="s">
        <v>1606</v>
      </c>
      <c r="C1251">
        <v>301.5</v>
      </c>
    </row>
    <row r="1252" spans="1:3">
      <c r="A1252">
        <v>4971</v>
      </c>
      <c r="B1252" t="s">
        <v>1607</v>
      </c>
      <c r="C1252">
        <v>138</v>
      </c>
    </row>
    <row r="1253" spans="1:3">
      <c r="A1253">
        <v>4972</v>
      </c>
      <c r="B1253" t="s">
        <v>1608</v>
      </c>
      <c r="C1253">
        <v>41.1</v>
      </c>
    </row>
    <row r="1254" spans="1:3">
      <c r="A1254">
        <v>4973</v>
      </c>
      <c r="B1254" t="s">
        <v>1609</v>
      </c>
      <c r="C1254">
        <v>15.5</v>
      </c>
    </row>
    <row r="1255" spans="1:3">
      <c r="A1255">
        <v>4974</v>
      </c>
      <c r="B1255" t="s">
        <v>382</v>
      </c>
      <c r="C1255">
        <v>37.25</v>
      </c>
    </row>
    <row r="1256" spans="1:3">
      <c r="A1256">
        <v>4979</v>
      </c>
      <c r="B1256" t="s">
        <v>383</v>
      </c>
      <c r="C1256">
        <v>77.099999999999994</v>
      </c>
    </row>
    <row r="1257" spans="1:3">
      <c r="A1257">
        <v>4987</v>
      </c>
      <c r="B1257" t="s">
        <v>1610</v>
      </c>
      <c r="C1257">
        <v>70</v>
      </c>
    </row>
    <row r="1258" spans="1:3">
      <c r="A1258">
        <v>4991</v>
      </c>
      <c r="B1258" t="s">
        <v>1611</v>
      </c>
      <c r="C1258">
        <v>89.9</v>
      </c>
    </row>
    <row r="1259" spans="1:3">
      <c r="A1259">
        <v>4995</v>
      </c>
      <c r="B1259" t="s">
        <v>1612</v>
      </c>
      <c r="C1259">
        <v>39</v>
      </c>
    </row>
    <row r="1260" spans="1:3">
      <c r="A1260">
        <v>5009</v>
      </c>
      <c r="B1260" t="s">
        <v>384</v>
      </c>
      <c r="C1260">
        <v>18.899999999999999</v>
      </c>
    </row>
    <row r="1261" spans="1:3">
      <c r="A1261">
        <v>5011</v>
      </c>
      <c r="B1261" t="s">
        <v>385</v>
      </c>
      <c r="C1261">
        <v>25.2</v>
      </c>
    </row>
    <row r="1262" spans="1:3">
      <c r="A1262">
        <v>5013</v>
      </c>
      <c r="B1262" t="s">
        <v>1613</v>
      </c>
      <c r="C1262">
        <v>18</v>
      </c>
    </row>
    <row r="1263" spans="1:3">
      <c r="A1263">
        <v>5014</v>
      </c>
      <c r="B1263" t="s">
        <v>1614</v>
      </c>
      <c r="C1263">
        <v>7.4</v>
      </c>
    </row>
    <row r="1264" spans="1:3">
      <c r="A1264">
        <v>5015</v>
      </c>
      <c r="B1264" t="s">
        <v>386</v>
      </c>
      <c r="C1264">
        <v>19.95</v>
      </c>
    </row>
    <row r="1265" spans="1:3">
      <c r="A1265">
        <v>5016</v>
      </c>
      <c r="B1265" t="s">
        <v>1615</v>
      </c>
      <c r="C1265">
        <v>24</v>
      </c>
    </row>
    <row r="1266" spans="1:3">
      <c r="A1266">
        <v>5102</v>
      </c>
      <c r="B1266" t="s">
        <v>387</v>
      </c>
      <c r="C1266">
        <v>14.35</v>
      </c>
    </row>
    <row r="1267" spans="1:3">
      <c r="A1267">
        <v>5201</v>
      </c>
      <c r="B1267" t="s">
        <v>1616</v>
      </c>
      <c r="C1267">
        <v>12.5</v>
      </c>
    </row>
    <row r="1268" spans="1:3">
      <c r="A1268">
        <v>5202</v>
      </c>
      <c r="B1268" t="s">
        <v>1617</v>
      </c>
      <c r="C1268">
        <v>15.6</v>
      </c>
    </row>
    <row r="1269" spans="1:3">
      <c r="A1269">
        <v>5205</v>
      </c>
      <c r="B1269" t="s">
        <v>1618</v>
      </c>
      <c r="C1269">
        <v>0</v>
      </c>
    </row>
    <row r="1270" spans="1:3">
      <c r="A1270">
        <v>5206</v>
      </c>
      <c r="B1270" t="s">
        <v>388</v>
      </c>
      <c r="C1270">
        <v>10.9</v>
      </c>
    </row>
    <row r="1271" spans="1:3">
      <c r="A1271">
        <v>5209</v>
      </c>
      <c r="B1271" t="s">
        <v>1619</v>
      </c>
      <c r="C1271">
        <v>44.2</v>
      </c>
    </row>
    <row r="1272" spans="1:3">
      <c r="A1272">
        <v>5210</v>
      </c>
      <c r="B1272" t="s">
        <v>389</v>
      </c>
      <c r="C1272">
        <v>6.37</v>
      </c>
    </row>
    <row r="1273" spans="1:3">
      <c r="A1273">
        <v>5211</v>
      </c>
      <c r="B1273" t="s">
        <v>390</v>
      </c>
      <c r="C1273">
        <v>23.1</v>
      </c>
    </row>
    <row r="1274" spans="1:3">
      <c r="A1274">
        <v>5212</v>
      </c>
      <c r="B1274" t="s">
        <v>1620</v>
      </c>
      <c r="C1274">
        <v>19.850000000000001</v>
      </c>
    </row>
    <row r="1275" spans="1:3">
      <c r="A1275">
        <v>5213</v>
      </c>
      <c r="B1275" t="s">
        <v>1621</v>
      </c>
      <c r="C1275">
        <v>14.85</v>
      </c>
    </row>
    <row r="1276" spans="1:3">
      <c r="A1276">
        <v>5227</v>
      </c>
      <c r="B1276" t="s">
        <v>1622</v>
      </c>
      <c r="C1276">
        <v>29.6</v>
      </c>
    </row>
    <row r="1277" spans="1:3">
      <c r="A1277">
        <v>5230</v>
      </c>
      <c r="B1277" t="s">
        <v>391</v>
      </c>
      <c r="C1277">
        <v>47</v>
      </c>
    </row>
    <row r="1278" spans="1:3">
      <c r="A1278">
        <v>5245</v>
      </c>
      <c r="B1278" t="s">
        <v>392</v>
      </c>
      <c r="C1278">
        <v>187.5</v>
      </c>
    </row>
    <row r="1279" spans="1:3">
      <c r="A1279">
        <v>5251</v>
      </c>
      <c r="B1279" t="s">
        <v>393</v>
      </c>
      <c r="C1279">
        <v>31</v>
      </c>
    </row>
    <row r="1280" spans="1:3">
      <c r="A1280">
        <v>5255</v>
      </c>
      <c r="B1280" t="s">
        <v>394</v>
      </c>
      <c r="C1280">
        <v>15.8</v>
      </c>
    </row>
    <row r="1281" spans="1:3">
      <c r="A1281">
        <v>5263</v>
      </c>
      <c r="B1281" t="s">
        <v>1623</v>
      </c>
      <c r="C1281">
        <v>292.5</v>
      </c>
    </row>
    <row r="1282" spans="1:3">
      <c r="A1282">
        <v>5266</v>
      </c>
      <c r="B1282" t="s">
        <v>1624</v>
      </c>
      <c r="C1282">
        <v>87.5</v>
      </c>
    </row>
    <row r="1283" spans="1:3">
      <c r="A1283">
        <v>5272</v>
      </c>
      <c r="B1283" t="s">
        <v>395</v>
      </c>
      <c r="C1283">
        <v>40.5</v>
      </c>
    </row>
    <row r="1284" spans="1:3">
      <c r="A1284">
        <v>5274</v>
      </c>
      <c r="B1284" t="s">
        <v>1625</v>
      </c>
      <c r="C1284">
        <v>356</v>
      </c>
    </row>
    <row r="1285" spans="1:3">
      <c r="A1285">
        <v>5276</v>
      </c>
      <c r="B1285" t="s">
        <v>1626</v>
      </c>
      <c r="C1285">
        <v>22.8</v>
      </c>
    </row>
    <row r="1286" spans="1:3">
      <c r="A1286">
        <v>5278</v>
      </c>
      <c r="B1286" t="s">
        <v>396</v>
      </c>
      <c r="C1286">
        <v>23.05</v>
      </c>
    </row>
    <row r="1287" spans="1:3">
      <c r="A1287">
        <v>5284</v>
      </c>
      <c r="B1287" t="s">
        <v>1627</v>
      </c>
      <c r="C1287">
        <v>69.400000000000006</v>
      </c>
    </row>
    <row r="1288" spans="1:3">
      <c r="A1288">
        <v>5287</v>
      </c>
      <c r="B1288" t="s">
        <v>397</v>
      </c>
      <c r="C1288">
        <v>297</v>
      </c>
    </row>
    <row r="1289" spans="1:3">
      <c r="A1289">
        <v>5289</v>
      </c>
      <c r="B1289" t="s">
        <v>1628</v>
      </c>
      <c r="C1289">
        <v>115</v>
      </c>
    </row>
    <row r="1290" spans="1:3">
      <c r="A1290">
        <v>5291</v>
      </c>
      <c r="B1290" t="s">
        <v>398</v>
      </c>
      <c r="C1290">
        <v>18</v>
      </c>
    </row>
    <row r="1291" spans="1:3">
      <c r="A1291">
        <v>5301</v>
      </c>
      <c r="B1291" t="s">
        <v>399</v>
      </c>
      <c r="C1291">
        <v>37.65</v>
      </c>
    </row>
    <row r="1292" spans="1:3">
      <c r="A1292">
        <v>5302</v>
      </c>
      <c r="B1292" t="s">
        <v>400</v>
      </c>
      <c r="C1292">
        <v>5.52</v>
      </c>
    </row>
    <row r="1293" spans="1:3">
      <c r="A1293">
        <v>5304</v>
      </c>
      <c r="B1293" t="s">
        <v>401</v>
      </c>
      <c r="C1293">
        <v>2.77</v>
      </c>
    </row>
    <row r="1294" spans="1:3">
      <c r="A1294">
        <v>5306</v>
      </c>
      <c r="B1294" t="s">
        <v>1629</v>
      </c>
      <c r="C1294">
        <v>125</v>
      </c>
    </row>
    <row r="1295" spans="1:3">
      <c r="A1295">
        <v>5309</v>
      </c>
      <c r="B1295" t="s">
        <v>1630</v>
      </c>
      <c r="C1295">
        <v>18.8</v>
      </c>
    </row>
    <row r="1296" spans="1:3">
      <c r="A1296">
        <v>5310</v>
      </c>
      <c r="B1296" t="s">
        <v>1631</v>
      </c>
      <c r="C1296">
        <v>27.4</v>
      </c>
    </row>
    <row r="1297" spans="1:3">
      <c r="A1297">
        <v>5312</v>
      </c>
      <c r="B1297" t="s">
        <v>402</v>
      </c>
      <c r="C1297">
        <v>78.900000000000006</v>
      </c>
    </row>
    <row r="1298" spans="1:3">
      <c r="A1298">
        <v>5314</v>
      </c>
      <c r="B1298" t="s">
        <v>1632</v>
      </c>
      <c r="C1298">
        <v>6.4</v>
      </c>
    </row>
    <row r="1299" spans="1:3">
      <c r="A1299">
        <v>5315</v>
      </c>
      <c r="B1299" t="s">
        <v>1633</v>
      </c>
      <c r="C1299">
        <v>29.25</v>
      </c>
    </row>
    <row r="1300" spans="1:3">
      <c r="A1300">
        <v>5317</v>
      </c>
      <c r="B1300" t="s">
        <v>403</v>
      </c>
      <c r="C1300">
        <v>14.25</v>
      </c>
    </row>
    <row r="1301" spans="1:3">
      <c r="A1301">
        <v>5321</v>
      </c>
      <c r="B1301" t="s">
        <v>1634</v>
      </c>
      <c r="C1301">
        <v>23.3</v>
      </c>
    </row>
    <row r="1302" spans="1:3">
      <c r="A1302">
        <v>5324</v>
      </c>
      <c r="B1302" t="s">
        <v>404</v>
      </c>
      <c r="C1302">
        <v>9.9</v>
      </c>
    </row>
    <row r="1303" spans="1:3">
      <c r="A1303">
        <v>5328</v>
      </c>
      <c r="B1303" t="s">
        <v>1635</v>
      </c>
      <c r="C1303">
        <v>5.63</v>
      </c>
    </row>
    <row r="1304" spans="1:3">
      <c r="A1304">
        <v>5340</v>
      </c>
      <c r="B1304" t="s">
        <v>1636</v>
      </c>
      <c r="C1304">
        <v>3.93</v>
      </c>
    </row>
    <row r="1305" spans="1:3">
      <c r="A1305">
        <v>5344</v>
      </c>
      <c r="B1305" t="s">
        <v>1637</v>
      </c>
      <c r="C1305">
        <v>5.57</v>
      </c>
    </row>
    <row r="1306" spans="1:3">
      <c r="A1306">
        <v>5345</v>
      </c>
      <c r="B1306" t="s">
        <v>405</v>
      </c>
      <c r="C1306">
        <v>9.9499999999999993</v>
      </c>
    </row>
    <row r="1307" spans="1:3">
      <c r="A1307">
        <v>5347</v>
      </c>
      <c r="B1307" t="s">
        <v>406</v>
      </c>
      <c r="C1307">
        <v>50.7</v>
      </c>
    </row>
    <row r="1308" spans="1:3">
      <c r="A1308">
        <v>5348</v>
      </c>
      <c r="B1308" t="s">
        <v>1638</v>
      </c>
      <c r="C1308">
        <v>0</v>
      </c>
    </row>
    <row r="1309" spans="1:3">
      <c r="A1309">
        <v>5349</v>
      </c>
      <c r="B1309" t="s">
        <v>1639</v>
      </c>
      <c r="C1309">
        <v>31.2</v>
      </c>
    </row>
    <row r="1310" spans="1:3">
      <c r="A1310">
        <v>5351</v>
      </c>
      <c r="B1310" t="s">
        <v>1640</v>
      </c>
      <c r="C1310">
        <v>13.95</v>
      </c>
    </row>
    <row r="1311" spans="1:3">
      <c r="A1311">
        <v>5353</v>
      </c>
      <c r="B1311" t="s">
        <v>1641</v>
      </c>
      <c r="C1311">
        <v>11.4</v>
      </c>
    </row>
    <row r="1312" spans="1:3">
      <c r="A1312">
        <v>5355</v>
      </c>
      <c r="B1312" t="s">
        <v>407</v>
      </c>
      <c r="C1312">
        <v>6.59</v>
      </c>
    </row>
    <row r="1313" spans="1:3">
      <c r="A1313">
        <v>5356</v>
      </c>
      <c r="B1313" t="s">
        <v>1642</v>
      </c>
      <c r="C1313">
        <v>38.950000000000003</v>
      </c>
    </row>
    <row r="1314" spans="1:3">
      <c r="A1314">
        <v>5364</v>
      </c>
      <c r="B1314" t="s">
        <v>408</v>
      </c>
      <c r="C1314">
        <v>40.15</v>
      </c>
    </row>
    <row r="1315" spans="1:3">
      <c r="A1315">
        <v>5371</v>
      </c>
      <c r="B1315" t="s">
        <v>409</v>
      </c>
      <c r="C1315">
        <v>33.200000000000003</v>
      </c>
    </row>
    <row r="1316" spans="1:3">
      <c r="A1316">
        <v>5381</v>
      </c>
      <c r="B1316" t="s">
        <v>1643</v>
      </c>
      <c r="C1316">
        <v>1.54</v>
      </c>
    </row>
    <row r="1317" spans="1:3">
      <c r="A1317">
        <v>5383</v>
      </c>
      <c r="B1317" t="s">
        <v>1644</v>
      </c>
      <c r="C1317">
        <v>9.5500000000000007</v>
      </c>
    </row>
    <row r="1318" spans="1:3">
      <c r="A1318">
        <v>5384</v>
      </c>
      <c r="B1318" t="s">
        <v>410</v>
      </c>
      <c r="C1318">
        <v>12.4</v>
      </c>
    </row>
    <row r="1319" spans="1:3">
      <c r="A1319">
        <v>5386</v>
      </c>
      <c r="B1319" t="s">
        <v>1645</v>
      </c>
      <c r="C1319">
        <v>23.85</v>
      </c>
    </row>
    <row r="1320" spans="1:3">
      <c r="A1320">
        <v>5392</v>
      </c>
      <c r="B1320" t="s">
        <v>1646</v>
      </c>
      <c r="C1320">
        <v>51.5</v>
      </c>
    </row>
    <row r="1321" spans="1:3">
      <c r="A1321">
        <v>5395</v>
      </c>
      <c r="B1321" t="s">
        <v>1647</v>
      </c>
      <c r="C1321">
        <v>31.85</v>
      </c>
    </row>
    <row r="1322" spans="1:3">
      <c r="A1322">
        <v>5398</v>
      </c>
      <c r="B1322" t="s">
        <v>411</v>
      </c>
      <c r="C1322">
        <v>21.3</v>
      </c>
    </row>
    <row r="1323" spans="1:3">
      <c r="A1323">
        <v>5403</v>
      </c>
      <c r="B1323" t="s">
        <v>1833</v>
      </c>
      <c r="C1323">
        <v>23.1</v>
      </c>
    </row>
    <row r="1324" spans="1:3">
      <c r="A1324">
        <v>5410</v>
      </c>
      <c r="B1324" t="s">
        <v>1648</v>
      </c>
      <c r="C1324">
        <v>12.3</v>
      </c>
    </row>
    <row r="1325" spans="1:3">
      <c r="A1325">
        <v>5425</v>
      </c>
      <c r="B1325" t="s">
        <v>412</v>
      </c>
      <c r="C1325">
        <v>39.299999999999997</v>
      </c>
    </row>
    <row r="1326" spans="1:3">
      <c r="A1326">
        <v>5426</v>
      </c>
      <c r="B1326" t="s">
        <v>413</v>
      </c>
      <c r="C1326">
        <v>11</v>
      </c>
    </row>
    <row r="1327" spans="1:3">
      <c r="A1327">
        <v>5432</v>
      </c>
      <c r="B1327" t="s">
        <v>1649</v>
      </c>
      <c r="C1327">
        <v>15.3</v>
      </c>
    </row>
    <row r="1328" spans="1:3">
      <c r="A1328">
        <v>5438</v>
      </c>
      <c r="B1328" t="s">
        <v>1650</v>
      </c>
      <c r="C1328">
        <v>15.05</v>
      </c>
    </row>
    <row r="1329" spans="1:3">
      <c r="A1329">
        <v>5439</v>
      </c>
      <c r="B1329" t="s">
        <v>414</v>
      </c>
      <c r="C1329">
        <v>20.149999999999999</v>
      </c>
    </row>
    <row r="1330" spans="1:3">
      <c r="A1330">
        <v>5443</v>
      </c>
      <c r="B1330" t="s">
        <v>1651</v>
      </c>
      <c r="C1330">
        <v>16.2</v>
      </c>
    </row>
    <row r="1331" spans="1:3">
      <c r="A1331">
        <v>5450</v>
      </c>
      <c r="B1331" t="s">
        <v>415</v>
      </c>
      <c r="C1331">
        <v>9.4</v>
      </c>
    </row>
    <row r="1332" spans="1:3">
      <c r="A1332">
        <v>5452</v>
      </c>
      <c r="B1332" t="s">
        <v>416</v>
      </c>
      <c r="C1332">
        <v>11.85</v>
      </c>
    </row>
    <row r="1333" spans="1:3">
      <c r="A1333">
        <v>5455</v>
      </c>
      <c r="B1333" t="s">
        <v>417</v>
      </c>
      <c r="C1333">
        <v>5.01</v>
      </c>
    </row>
    <row r="1334" spans="1:3">
      <c r="A1334">
        <v>5457</v>
      </c>
      <c r="B1334" t="s">
        <v>418</v>
      </c>
      <c r="C1334">
        <v>27.9</v>
      </c>
    </row>
    <row r="1335" spans="1:3">
      <c r="A1335">
        <v>5460</v>
      </c>
      <c r="B1335" t="s">
        <v>1652</v>
      </c>
      <c r="C1335">
        <v>12</v>
      </c>
    </row>
    <row r="1336" spans="1:3">
      <c r="A1336">
        <v>5464</v>
      </c>
      <c r="B1336" t="s">
        <v>1653</v>
      </c>
      <c r="C1336">
        <v>17.75</v>
      </c>
    </row>
    <row r="1337" spans="1:3">
      <c r="A1337">
        <v>5465</v>
      </c>
      <c r="B1337" t="s">
        <v>419</v>
      </c>
      <c r="C1337">
        <v>13.35</v>
      </c>
    </row>
    <row r="1338" spans="1:3">
      <c r="A1338">
        <v>5468</v>
      </c>
      <c r="B1338" t="s">
        <v>420</v>
      </c>
      <c r="C1338">
        <v>5.5</v>
      </c>
    </row>
    <row r="1339" spans="1:3">
      <c r="A1339">
        <v>5474</v>
      </c>
      <c r="B1339" t="s">
        <v>1654</v>
      </c>
      <c r="C1339">
        <v>64.2</v>
      </c>
    </row>
    <row r="1340" spans="1:3">
      <c r="A1340">
        <v>5475</v>
      </c>
      <c r="B1340" t="s">
        <v>1655</v>
      </c>
      <c r="C1340">
        <v>3.81</v>
      </c>
    </row>
    <row r="1341" spans="1:3">
      <c r="A1341">
        <v>5478</v>
      </c>
      <c r="B1341" t="s">
        <v>421</v>
      </c>
      <c r="C1341">
        <v>73.2</v>
      </c>
    </row>
    <row r="1342" spans="1:3">
      <c r="A1342">
        <v>5480</v>
      </c>
      <c r="B1342" t="s">
        <v>1656</v>
      </c>
      <c r="C1342">
        <v>11.35</v>
      </c>
    </row>
    <row r="1343" spans="1:3">
      <c r="A1343">
        <v>5481</v>
      </c>
      <c r="B1343" t="s">
        <v>1657</v>
      </c>
      <c r="C1343">
        <v>15</v>
      </c>
    </row>
    <row r="1344" spans="1:3">
      <c r="A1344">
        <v>5483</v>
      </c>
      <c r="B1344" t="s">
        <v>1658</v>
      </c>
      <c r="C1344">
        <v>40.299999999999997</v>
      </c>
    </row>
    <row r="1345" spans="1:3">
      <c r="A1345">
        <v>5487</v>
      </c>
      <c r="B1345" t="s">
        <v>422</v>
      </c>
      <c r="C1345">
        <v>22.6</v>
      </c>
    </row>
    <row r="1346" spans="1:3">
      <c r="A1346">
        <v>5488</v>
      </c>
      <c r="B1346" t="s">
        <v>1659</v>
      </c>
      <c r="C1346">
        <v>5.85</v>
      </c>
    </row>
    <row r="1347" spans="1:3">
      <c r="A1347">
        <v>5489</v>
      </c>
      <c r="B1347" t="s">
        <v>1660</v>
      </c>
      <c r="C1347">
        <v>51.6</v>
      </c>
    </row>
    <row r="1348" spans="1:3">
      <c r="A1348">
        <v>5490</v>
      </c>
      <c r="B1348" t="s">
        <v>423</v>
      </c>
      <c r="C1348">
        <v>72.599999999999994</v>
      </c>
    </row>
    <row r="1349" spans="1:3">
      <c r="A1349">
        <v>5491</v>
      </c>
      <c r="B1349" t="s">
        <v>1661</v>
      </c>
      <c r="C1349">
        <v>7.13</v>
      </c>
    </row>
    <row r="1350" spans="1:3">
      <c r="A1350">
        <v>5493</v>
      </c>
      <c r="B1350" t="s">
        <v>1662</v>
      </c>
      <c r="C1350">
        <v>32.5</v>
      </c>
    </row>
    <row r="1351" spans="1:3">
      <c r="A1351">
        <v>5498</v>
      </c>
      <c r="B1351" t="s">
        <v>1663</v>
      </c>
      <c r="C1351">
        <v>8.99</v>
      </c>
    </row>
    <row r="1352" spans="1:3">
      <c r="A1352">
        <v>5508</v>
      </c>
      <c r="B1352" t="s">
        <v>1664</v>
      </c>
      <c r="C1352">
        <v>31.4</v>
      </c>
    </row>
    <row r="1353" spans="1:3">
      <c r="A1353">
        <v>5511</v>
      </c>
      <c r="B1353" t="s">
        <v>1665</v>
      </c>
      <c r="C1353">
        <v>25.45</v>
      </c>
    </row>
    <row r="1354" spans="1:3">
      <c r="A1354">
        <v>5512</v>
      </c>
      <c r="B1354" t="s">
        <v>424</v>
      </c>
      <c r="C1354">
        <v>9.61</v>
      </c>
    </row>
    <row r="1355" spans="1:3">
      <c r="A1355">
        <v>5514</v>
      </c>
      <c r="B1355" t="s">
        <v>1666</v>
      </c>
      <c r="C1355">
        <v>10.4</v>
      </c>
    </row>
    <row r="1356" spans="1:3">
      <c r="A1356">
        <v>5516</v>
      </c>
      <c r="B1356" t="s">
        <v>1667</v>
      </c>
      <c r="C1356">
        <v>10.1</v>
      </c>
    </row>
    <row r="1357" spans="1:3">
      <c r="A1357">
        <v>5520</v>
      </c>
      <c r="B1357" t="s">
        <v>1668</v>
      </c>
      <c r="C1357">
        <v>27.3</v>
      </c>
    </row>
    <row r="1358" spans="1:3">
      <c r="A1358">
        <v>5523</v>
      </c>
      <c r="B1358" t="s">
        <v>425</v>
      </c>
      <c r="C1358">
        <v>8.69</v>
      </c>
    </row>
    <row r="1359" spans="1:3">
      <c r="A1359">
        <v>5529</v>
      </c>
      <c r="B1359" t="s">
        <v>1669</v>
      </c>
      <c r="C1359">
        <v>9.92</v>
      </c>
    </row>
    <row r="1360" spans="1:3">
      <c r="A1360">
        <v>5530</v>
      </c>
      <c r="B1360" t="s">
        <v>1670</v>
      </c>
      <c r="C1360">
        <v>57.9</v>
      </c>
    </row>
    <row r="1361" spans="1:3">
      <c r="A1361">
        <v>5536</v>
      </c>
      <c r="B1361" t="s">
        <v>426</v>
      </c>
      <c r="C1361">
        <v>88.4</v>
      </c>
    </row>
    <row r="1362" spans="1:3">
      <c r="A1362">
        <v>5601</v>
      </c>
      <c r="B1362" t="s">
        <v>1671</v>
      </c>
      <c r="C1362">
        <v>26.95</v>
      </c>
    </row>
    <row r="1363" spans="1:3">
      <c r="A1363">
        <v>5603</v>
      </c>
      <c r="B1363" t="s">
        <v>427</v>
      </c>
      <c r="C1363">
        <v>15.4</v>
      </c>
    </row>
    <row r="1364" spans="1:3">
      <c r="A1364">
        <v>5604</v>
      </c>
      <c r="B1364" t="s">
        <v>1672</v>
      </c>
      <c r="C1364">
        <v>39.950000000000003</v>
      </c>
    </row>
    <row r="1365" spans="1:3">
      <c r="A1365">
        <v>5609</v>
      </c>
      <c r="B1365" t="s">
        <v>428</v>
      </c>
      <c r="C1365">
        <v>16.649999999999999</v>
      </c>
    </row>
    <row r="1366" spans="1:3">
      <c r="A1366">
        <v>5701</v>
      </c>
      <c r="B1366" t="s">
        <v>1673</v>
      </c>
      <c r="C1366">
        <v>3.12</v>
      </c>
    </row>
    <row r="1367" spans="1:3">
      <c r="A1367">
        <v>5703</v>
      </c>
      <c r="B1367" t="s">
        <v>1674</v>
      </c>
      <c r="C1367">
        <v>21.7</v>
      </c>
    </row>
    <row r="1368" spans="1:3">
      <c r="A1368">
        <v>5704</v>
      </c>
      <c r="B1368" t="s">
        <v>1675</v>
      </c>
      <c r="C1368">
        <v>47.8</v>
      </c>
    </row>
    <row r="1369" spans="1:3">
      <c r="A1369">
        <v>5820</v>
      </c>
      <c r="B1369" t="s">
        <v>1676</v>
      </c>
      <c r="C1369">
        <v>7.31</v>
      </c>
    </row>
    <row r="1370" spans="1:3">
      <c r="A1370">
        <v>5878</v>
      </c>
      <c r="B1370" t="s">
        <v>429</v>
      </c>
      <c r="C1370">
        <v>44.95</v>
      </c>
    </row>
    <row r="1371" spans="1:3">
      <c r="A1371">
        <v>5902</v>
      </c>
      <c r="B1371" t="s">
        <v>430</v>
      </c>
      <c r="C1371">
        <v>10.45</v>
      </c>
    </row>
    <row r="1372" spans="1:3">
      <c r="A1372">
        <v>5903</v>
      </c>
      <c r="B1372" t="s">
        <v>1677</v>
      </c>
      <c r="C1372">
        <v>208</v>
      </c>
    </row>
    <row r="1373" spans="1:3">
      <c r="A1373">
        <v>5904</v>
      </c>
      <c r="B1373" t="s">
        <v>431</v>
      </c>
      <c r="C1373">
        <v>350</v>
      </c>
    </row>
    <row r="1374" spans="1:3">
      <c r="A1374">
        <v>5905</v>
      </c>
      <c r="B1374" t="s">
        <v>1678</v>
      </c>
      <c r="C1374">
        <v>8.9</v>
      </c>
    </row>
    <row r="1375" spans="1:3">
      <c r="A1375">
        <v>6015</v>
      </c>
      <c r="B1375" t="s">
        <v>1679</v>
      </c>
      <c r="C1375">
        <v>6.97</v>
      </c>
    </row>
    <row r="1376" spans="1:3">
      <c r="A1376">
        <v>6016</v>
      </c>
      <c r="B1376" t="s">
        <v>1680</v>
      </c>
      <c r="C1376">
        <v>6.89</v>
      </c>
    </row>
    <row r="1377" spans="1:3">
      <c r="A1377">
        <v>6020</v>
      </c>
      <c r="B1377" t="s">
        <v>432</v>
      </c>
      <c r="C1377">
        <v>13.65</v>
      </c>
    </row>
    <row r="1378" spans="1:3">
      <c r="A1378">
        <v>6021</v>
      </c>
      <c r="B1378" t="s">
        <v>433</v>
      </c>
      <c r="C1378">
        <v>10.7</v>
      </c>
    </row>
    <row r="1379" spans="1:3">
      <c r="A1379">
        <v>6022</v>
      </c>
      <c r="B1379" t="s">
        <v>1681</v>
      </c>
      <c r="C1379">
        <v>9.58</v>
      </c>
    </row>
    <row r="1380" spans="1:3">
      <c r="A1380">
        <v>6023</v>
      </c>
      <c r="B1380" t="s">
        <v>1682</v>
      </c>
      <c r="C1380">
        <v>39.4</v>
      </c>
    </row>
    <row r="1381" spans="1:3">
      <c r="A1381">
        <v>6024</v>
      </c>
      <c r="B1381" t="s">
        <v>434</v>
      </c>
      <c r="C1381">
        <v>36</v>
      </c>
    </row>
    <row r="1382" spans="1:3">
      <c r="A1382">
        <v>6026</v>
      </c>
      <c r="B1382" t="s">
        <v>2511</v>
      </c>
      <c r="C1382">
        <v>8.8000000000000007</v>
      </c>
    </row>
    <row r="1383" spans="1:3">
      <c r="A1383">
        <v>6101</v>
      </c>
      <c r="B1383" t="s">
        <v>1683</v>
      </c>
      <c r="C1383">
        <v>20</v>
      </c>
    </row>
    <row r="1384" spans="1:3">
      <c r="A1384">
        <v>6103</v>
      </c>
      <c r="B1384" t="s">
        <v>1684</v>
      </c>
      <c r="C1384">
        <v>0</v>
      </c>
    </row>
    <row r="1385" spans="1:3">
      <c r="A1385">
        <v>6104</v>
      </c>
      <c r="B1385" t="s">
        <v>1685</v>
      </c>
      <c r="C1385">
        <v>42</v>
      </c>
    </row>
    <row r="1386" spans="1:3">
      <c r="A1386">
        <v>6105</v>
      </c>
      <c r="B1386" t="s">
        <v>1686</v>
      </c>
      <c r="C1386">
        <v>43.2</v>
      </c>
    </row>
    <row r="1387" spans="1:3">
      <c r="A1387">
        <v>6107</v>
      </c>
      <c r="B1387" t="s">
        <v>1687</v>
      </c>
      <c r="C1387">
        <v>93</v>
      </c>
    </row>
    <row r="1388" spans="1:3">
      <c r="A1388">
        <v>6109</v>
      </c>
      <c r="B1388" t="s">
        <v>1688</v>
      </c>
      <c r="C1388">
        <v>14.25</v>
      </c>
    </row>
    <row r="1389" spans="1:3">
      <c r="A1389">
        <v>6111</v>
      </c>
      <c r="B1389" t="s">
        <v>1689</v>
      </c>
      <c r="C1389">
        <v>101</v>
      </c>
    </row>
    <row r="1390" spans="1:3">
      <c r="A1390">
        <v>6113</v>
      </c>
      <c r="B1390" t="s">
        <v>1690</v>
      </c>
      <c r="C1390">
        <v>7.78</v>
      </c>
    </row>
    <row r="1391" spans="1:3">
      <c r="A1391">
        <v>6114</v>
      </c>
      <c r="B1391" t="s">
        <v>1691</v>
      </c>
      <c r="C1391">
        <v>52.7</v>
      </c>
    </row>
    <row r="1392" spans="1:3">
      <c r="A1392">
        <v>6118</v>
      </c>
      <c r="B1392" t="s">
        <v>1692</v>
      </c>
      <c r="C1392">
        <v>8.24</v>
      </c>
    </row>
    <row r="1393" spans="1:3">
      <c r="A1393">
        <v>6121</v>
      </c>
      <c r="B1393" t="s">
        <v>435</v>
      </c>
      <c r="C1393">
        <v>110.5</v>
      </c>
    </row>
    <row r="1394" spans="1:3">
      <c r="A1394">
        <v>6122</v>
      </c>
      <c r="B1394" t="s">
        <v>1693</v>
      </c>
      <c r="C1394">
        <v>6.62</v>
      </c>
    </row>
    <row r="1395" spans="1:3">
      <c r="A1395">
        <v>6123</v>
      </c>
      <c r="B1395" t="s">
        <v>1694</v>
      </c>
      <c r="C1395">
        <v>33.549999999999997</v>
      </c>
    </row>
    <row r="1396" spans="1:3">
      <c r="A1396">
        <v>6124</v>
      </c>
      <c r="B1396" t="s">
        <v>1695</v>
      </c>
      <c r="C1396">
        <v>27.25</v>
      </c>
    </row>
    <row r="1397" spans="1:3">
      <c r="A1397">
        <v>6125</v>
      </c>
      <c r="B1397" t="s">
        <v>436</v>
      </c>
      <c r="C1397">
        <v>12.9</v>
      </c>
    </row>
    <row r="1398" spans="1:3">
      <c r="A1398">
        <v>6126</v>
      </c>
      <c r="B1398" t="s">
        <v>1696</v>
      </c>
      <c r="C1398">
        <v>8.1199999999999992</v>
      </c>
    </row>
    <row r="1399" spans="1:3">
      <c r="A1399">
        <v>6127</v>
      </c>
      <c r="B1399" t="s">
        <v>1697</v>
      </c>
      <c r="C1399">
        <v>9.7799999999999994</v>
      </c>
    </row>
    <row r="1400" spans="1:3">
      <c r="A1400">
        <v>6129</v>
      </c>
      <c r="B1400" t="s">
        <v>1698</v>
      </c>
      <c r="C1400">
        <v>7.5</v>
      </c>
    </row>
    <row r="1401" spans="1:3">
      <c r="A1401">
        <v>6130</v>
      </c>
      <c r="B1401" t="s">
        <v>437</v>
      </c>
      <c r="C1401">
        <v>28.3</v>
      </c>
    </row>
    <row r="1402" spans="1:3">
      <c r="A1402">
        <v>6134</v>
      </c>
      <c r="B1402" t="s">
        <v>1699</v>
      </c>
      <c r="C1402">
        <v>6.9</v>
      </c>
    </row>
    <row r="1403" spans="1:3">
      <c r="A1403">
        <v>6138</v>
      </c>
      <c r="B1403" t="s">
        <v>1700</v>
      </c>
      <c r="C1403">
        <v>24.75</v>
      </c>
    </row>
    <row r="1404" spans="1:3">
      <c r="A1404">
        <v>6140</v>
      </c>
      <c r="B1404" t="s">
        <v>1701</v>
      </c>
      <c r="C1404">
        <v>12.2</v>
      </c>
    </row>
    <row r="1405" spans="1:3">
      <c r="A1405">
        <v>6143</v>
      </c>
      <c r="B1405" t="s">
        <v>1702</v>
      </c>
      <c r="C1405">
        <v>77.400000000000006</v>
      </c>
    </row>
    <row r="1406" spans="1:3">
      <c r="A1406">
        <v>6144</v>
      </c>
      <c r="B1406" t="s">
        <v>1703</v>
      </c>
      <c r="C1406">
        <v>8.48</v>
      </c>
    </row>
    <row r="1407" spans="1:3">
      <c r="A1407">
        <v>6146</v>
      </c>
      <c r="B1407" t="s">
        <v>438</v>
      </c>
      <c r="C1407">
        <v>177</v>
      </c>
    </row>
    <row r="1408" spans="1:3">
      <c r="A1408">
        <v>6147</v>
      </c>
      <c r="B1408" t="s">
        <v>1704</v>
      </c>
      <c r="C1408">
        <v>55</v>
      </c>
    </row>
    <row r="1409" spans="1:3">
      <c r="A1409">
        <v>6148</v>
      </c>
      <c r="B1409" t="s">
        <v>1705</v>
      </c>
      <c r="C1409">
        <v>8.3000000000000007</v>
      </c>
    </row>
    <row r="1410" spans="1:3">
      <c r="A1410">
        <v>6150</v>
      </c>
      <c r="B1410" t="s">
        <v>1706</v>
      </c>
      <c r="C1410">
        <v>9.65</v>
      </c>
    </row>
    <row r="1411" spans="1:3">
      <c r="A1411">
        <v>6151</v>
      </c>
      <c r="B1411" t="s">
        <v>1707</v>
      </c>
      <c r="C1411">
        <v>27.65</v>
      </c>
    </row>
    <row r="1412" spans="1:3">
      <c r="A1412">
        <v>6154</v>
      </c>
      <c r="B1412" t="s">
        <v>439</v>
      </c>
      <c r="C1412">
        <v>16.8</v>
      </c>
    </row>
    <row r="1413" spans="1:3">
      <c r="A1413">
        <v>6156</v>
      </c>
      <c r="B1413" t="s">
        <v>1834</v>
      </c>
      <c r="C1413">
        <v>17.55</v>
      </c>
    </row>
    <row r="1414" spans="1:3">
      <c r="A1414">
        <v>6158</v>
      </c>
      <c r="B1414" t="s">
        <v>440</v>
      </c>
      <c r="C1414">
        <v>18.5</v>
      </c>
    </row>
    <row r="1415" spans="1:3">
      <c r="A1415">
        <v>6160</v>
      </c>
      <c r="B1415" t="s">
        <v>1708</v>
      </c>
      <c r="C1415">
        <v>16.8</v>
      </c>
    </row>
    <row r="1416" spans="1:3">
      <c r="A1416">
        <v>6161</v>
      </c>
      <c r="B1416" t="s">
        <v>441</v>
      </c>
      <c r="C1416">
        <v>7.24</v>
      </c>
    </row>
    <row r="1417" spans="1:3">
      <c r="A1417">
        <v>6163</v>
      </c>
      <c r="B1417" t="s">
        <v>442</v>
      </c>
      <c r="C1417">
        <v>11.35</v>
      </c>
    </row>
    <row r="1418" spans="1:3">
      <c r="A1418">
        <v>6167</v>
      </c>
      <c r="B1418" t="s">
        <v>1709</v>
      </c>
      <c r="C1418">
        <v>5.54</v>
      </c>
    </row>
    <row r="1419" spans="1:3">
      <c r="A1419">
        <v>6169</v>
      </c>
      <c r="B1419" t="s">
        <v>1710</v>
      </c>
      <c r="C1419">
        <v>37.5</v>
      </c>
    </row>
    <row r="1420" spans="1:3">
      <c r="A1420">
        <v>6170</v>
      </c>
      <c r="B1420" t="s">
        <v>443</v>
      </c>
      <c r="C1420">
        <v>10.199999999999999</v>
      </c>
    </row>
    <row r="1421" spans="1:3">
      <c r="A1421">
        <v>6171</v>
      </c>
      <c r="B1421" t="s">
        <v>444</v>
      </c>
      <c r="C1421">
        <v>11.75</v>
      </c>
    </row>
    <row r="1422" spans="1:3">
      <c r="A1422">
        <v>6173</v>
      </c>
      <c r="B1422" t="s">
        <v>1711</v>
      </c>
      <c r="C1422">
        <v>11.7</v>
      </c>
    </row>
    <row r="1423" spans="1:3">
      <c r="A1423">
        <v>6174</v>
      </c>
      <c r="B1423" t="s">
        <v>1712</v>
      </c>
      <c r="C1423">
        <v>15.55</v>
      </c>
    </row>
    <row r="1424" spans="1:3">
      <c r="A1424">
        <v>6175</v>
      </c>
      <c r="B1424" t="s">
        <v>445</v>
      </c>
      <c r="C1424">
        <v>14.3</v>
      </c>
    </row>
    <row r="1425" spans="1:3">
      <c r="A1425">
        <v>6179</v>
      </c>
      <c r="B1425" t="s">
        <v>446</v>
      </c>
      <c r="C1425">
        <v>37.5</v>
      </c>
    </row>
    <row r="1426" spans="1:3">
      <c r="A1426">
        <v>6180</v>
      </c>
      <c r="B1426" t="s">
        <v>1713</v>
      </c>
      <c r="C1426">
        <v>38.65</v>
      </c>
    </row>
    <row r="1427" spans="1:3">
      <c r="A1427">
        <v>6182</v>
      </c>
      <c r="B1427" t="s">
        <v>447</v>
      </c>
      <c r="C1427">
        <v>12.1</v>
      </c>
    </row>
    <row r="1428" spans="1:3">
      <c r="A1428">
        <v>6185</v>
      </c>
      <c r="B1428" t="s">
        <v>1714</v>
      </c>
      <c r="C1428">
        <v>23.8</v>
      </c>
    </row>
    <row r="1429" spans="1:3">
      <c r="A1429">
        <v>6186</v>
      </c>
      <c r="B1429" t="s">
        <v>448</v>
      </c>
      <c r="C1429">
        <v>21.2</v>
      </c>
    </row>
    <row r="1430" spans="1:3">
      <c r="A1430">
        <v>6187</v>
      </c>
      <c r="B1430" t="s">
        <v>1715</v>
      </c>
      <c r="C1430">
        <v>47.55</v>
      </c>
    </row>
    <row r="1431" spans="1:3">
      <c r="A1431">
        <v>6188</v>
      </c>
      <c r="B1431" t="s">
        <v>1716</v>
      </c>
      <c r="C1431">
        <v>24.6</v>
      </c>
    </row>
    <row r="1432" spans="1:3">
      <c r="A1432">
        <v>6190</v>
      </c>
      <c r="B1432" t="s">
        <v>449</v>
      </c>
      <c r="C1432">
        <v>6.5</v>
      </c>
    </row>
    <row r="1433" spans="1:3">
      <c r="A1433">
        <v>6194</v>
      </c>
      <c r="B1433" t="s">
        <v>1717</v>
      </c>
      <c r="C1433">
        <v>20</v>
      </c>
    </row>
    <row r="1434" spans="1:3">
      <c r="A1434">
        <v>6195</v>
      </c>
      <c r="B1434" t="s">
        <v>450</v>
      </c>
      <c r="C1434">
        <v>52.6</v>
      </c>
    </row>
    <row r="1435" spans="1:3">
      <c r="A1435">
        <v>6198</v>
      </c>
      <c r="B1435" t="s">
        <v>1718</v>
      </c>
      <c r="C1435">
        <v>15.8</v>
      </c>
    </row>
    <row r="1436" spans="1:3">
      <c r="A1436">
        <v>6199</v>
      </c>
      <c r="B1436" t="s">
        <v>1719</v>
      </c>
      <c r="C1436">
        <v>10.25</v>
      </c>
    </row>
    <row r="1437" spans="1:3">
      <c r="A1437">
        <v>6203</v>
      </c>
      <c r="B1437" t="s">
        <v>451</v>
      </c>
      <c r="C1437">
        <v>34</v>
      </c>
    </row>
    <row r="1438" spans="1:3">
      <c r="A1438">
        <v>6204</v>
      </c>
      <c r="B1438" t="s">
        <v>1720</v>
      </c>
      <c r="C1438">
        <v>23.5</v>
      </c>
    </row>
    <row r="1439" spans="1:3">
      <c r="A1439">
        <v>6207</v>
      </c>
      <c r="B1439" t="s">
        <v>452</v>
      </c>
      <c r="C1439">
        <v>26</v>
      </c>
    </row>
    <row r="1440" spans="1:3">
      <c r="A1440">
        <v>6208</v>
      </c>
      <c r="B1440" t="s">
        <v>1721</v>
      </c>
      <c r="C1440">
        <v>11.95</v>
      </c>
    </row>
    <row r="1441" spans="1:3">
      <c r="A1441">
        <v>6210</v>
      </c>
      <c r="B1441" t="s">
        <v>1722</v>
      </c>
      <c r="C1441">
        <v>47.4</v>
      </c>
    </row>
    <row r="1442" spans="1:3">
      <c r="A1442">
        <v>6212</v>
      </c>
      <c r="B1442" t="s">
        <v>453</v>
      </c>
      <c r="C1442">
        <v>0</v>
      </c>
    </row>
    <row r="1443" spans="1:3">
      <c r="A1443">
        <v>6217</v>
      </c>
      <c r="B1443" t="s">
        <v>1724</v>
      </c>
      <c r="C1443">
        <v>44.6</v>
      </c>
    </row>
    <row r="1444" spans="1:3">
      <c r="A1444">
        <v>6218</v>
      </c>
      <c r="B1444" t="s">
        <v>1725</v>
      </c>
      <c r="C1444">
        <v>18</v>
      </c>
    </row>
    <row r="1445" spans="1:3">
      <c r="A1445">
        <v>6219</v>
      </c>
      <c r="B1445" t="s">
        <v>1726</v>
      </c>
      <c r="C1445">
        <v>11.6</v>
      </c>
    </row>
    <row r="1446" spans="1:3">
      <c r="A1446">
        <v>6220</v>
      </c>
      <c r="B1446" t="s">
        <v>454</v>
      </c>
      <c r="C1446">
        <v>14.95</v>
      </c>
    </row>
    <row r="1447" spans="1:3">
      <c r="A1447">
        <v>6221</v>
      </c>
      <c r="B1447" t="s">
        <v>455</v>
      </c>
      <c r="C1447">
        <v>25.15</v>
      </c>
    </row>
    <row r="1448" spans="1:3">
      <c r="A1448">
        <v>6222</v>
      </c>
      <c r="B1448" t="s">
        <v>1727</v>
      </c>
      <c r="C1448">
        <v>0</v>
      </c>
    </row>
    <row r="1449" spans="1:3">
      <c r="A1449">
        <v>6223</v>
      </c>
      <c r="B1449" t="s">
        <v>456</v>
      </c>
      <c r="C1449">
        <v>80.2</v>
      </c>
    </row>
    <row r="1450" spans="1:3">
      <c r="A1450">
        <v>6227</v>
      </c>
      <c r="B1450" t="s">
        <v>457</v>
      </c>
      <c r="C1450">
        <v>28.5</v>
      </c>
    </row>
    <row r="1451" spans="1:3">
      <c r="A1451">
        <v>6228</v>
      </c>
      <c r="B1451" t="s">
        <v>1728</v>
      </c>
      <c r="C1451">
        <v>10.7</v>
      </c>
    </row>
    <row r="1452" spans="1:3">
      <c r="A1452">
        <v>6229</v>
      </c>
      <c r="B1452" t="s">
        <v>458</v>
      </c>
      <c r="C1452">
        <v>12</v>
      </c>
    </row>
    <row r="1453" spans="1:3">
      <c r="A1453">
        <v>6231</v>
      </c>
      <c r="B1453" t="s">
        <v>459</v>
      </c>
      <c r="C1453">
        <v>24</v>
      </c>
    </row>
    <row r="1454" spans="1:3">
      <c r="A1454">
        <v>6233</v>
      </c>
      <c r="B1454" t="s">
        <v>1729</v>
      </c>
      <c r="C1454">
        <v>13.25</v>
      </c>
    </row>
    <row r="1455" spans="1:3">
      <c r="A1455">
        <v>6234</v>
      </c>
      <c r="B1455" t="s">
        <v>460</v>
      </c>
      <c r="C1455">
        <v>19.350000000000001</v>
      </c>
    </row>
    <row r="1456" spans="1:3">
      <c r="A1456">
        <v>6236</v>
      </c>
      <c r="B1456" t="s">
        <v>461</v>
      </c>
      <c r="C1456">
        <v>33.9</v>
      </c>
    </row>
    <row r="1457" spans="1:3">
      <c r="A1457">
        <v>6237</v>
      </c>
      <c r="B1457" t="s">
        <v>462</v>
      </c>
      <c r="C1457">
        <v>35.799999999999997</v>
      </c>
    </row>
    <row r="1458" spans="1:3">
      <c r="A1458">
        <v>6238</v>
      </c>
      <c r="B1458" t="s">
        <v>1730</v>
      </c>
      <c r="C1458">
        <v>271</v>
      </c>
    </row>
    <row r="1459" spans="1:3">
      <c r="A1459">
        <v>6240</v>
      </c>
      <c r="B1459" t="s">
        <v>1731</v>
      </c>
      <c r="C1459">
        <v>0</v>
      </c>
    </row>
    <row r="1460" spans="1:3">
      <c r="A1460">
        <v>6241</v>
      </c>
      <c r="B1460" t="s">
        <v>463</v>
      </c>
      <c r="C1460">
        <v>12.7</v>
      </c>
    </row>
    <row r="1461" spans="1:3">
      <c r="A1461">
        <v>6242</v>
      </c>
      <c r="B1461" t="s">
        <v>1732</v>
      </c>
      <c r="C1461">
        <v>0</v>
      </c>
    </row>
    <row r="1462" spans="1:3">
      <c r="A1462">
        <v>6244</v>
      </c>
      <c r="B1462" t="s">
        <v>464</v>
      </c>
      <c r="C1462">
        <v>38.85</v>
      </c>
    </row>
    <row r="1463" spans="1:3">
      <c r="A1463">
        <v>6245</v>
      </c>
      <c r="B1463" t="s">
        <v>1733</v>
      </c>
      <c r="C1463">
        <v>41.35</v>
      </c>
    </row>
    <row r="1464" spans="1:3">
      <c r="A1464">
        <v>6246</v>
      </c>
      <c r="B1464" t="s">
        <v>465</v>
      </c>
      <c r="C1464">
        <v>2.57</v>
      </c>
    </row>
    <row r="1465" spans="1:3">
      <c r="A1465">
        <v>6247</v>
      </c>
      <c r="B1465" t="s">
        <v>1734</v>
      </c>
      <c r="C1465">
        <v>13.25</v>
      </c>
    </row>
    <row r="1466" spans="1:3">
      <c r="A1466">
        <v>6248</v>
      </c>
      <c r="B1466" t="s">
        <v>466</v>
      </c>
      <c r="C1466">
        <v>29.65</v>
      </c>
    </row>
    <row r="1467" spans="1:3">
      <c r="A1467">
        <v>6259</v>
      </c>
      <c r="B1467" t="s">
        <v>467</v>
      </c>
      <c r="C1467">
        <v>7.61</v>
      </c>
    </row>
    <row r="1468" spans="1:3">
      <c r="A1468">
        <v>6261</v>
      </c>
      <c r="B1468" t="s">
        <v>468</v>
      </c>
      <c r="C1468">
        <v>49</v>
      </c>
    </row>
    <row r="1469" spans="1:3">
      <c r="A1469">
        <v>6263</v>
      </c>
      <c r="B1469" t="s">
        <v>1735</v>
      </c>
      <c r="C1469">
        <v>45.7</v>
      </c>
    </row>
    <row r="1470" spans="1:3">
      <c r="A1470">
        <v>6264</v>
      </c>
      <c r="B1470" t="s">
        <v>469</v>
      </c>
      <c r="C1470">
        <v>7.98</v>
      </c>
    </row>
    <row r="1471" spans="1:3">
      <c r="A1471">
        <v>6265</v>
      </c>
      <c r="B1471" t="s">
        <v>470</v>
      </c>
      <c r="C1471">
        <v>7.08</v>
      </c>
    </row>
    <row r="1472" spans="1:3">
      <c r="A1472">
        <v>6266</v>
      </c>
      <c r="B1472" t="s">
        <v>1736</v>
      </c>
      <c r="C1472">
        <v>15.45</v>
      </c>
    </row>
    <row r="1473" spans="1:3">
      <c r="A1473">
        <v>6270</v>
      </c>
      <c r="B1473" t="s">
        <v>1737</v>
      </c>
      <c r="C1473">
        <v>10.25</v>
      </c>
    </row>
    <row r="1474" spans="1:3">
      <c r="A1474">
        <v>6274</v>
      </c>
      <c r="B1474" t="s">
        <v>471</v>
      </c>
      <c r="C1474">
        <v>26.4</v>
      </c>
    </row>
    <row r="1475" spans="1:3">
      <c r="A1475">
        <v>6275</v>
      </c>
      <c r="B1475" t="s">
        <v>1738</v>
      </c>
      <c r="C1475">
        <v>11.8</v>
      </c>
    </row>
    <row r="1476" spans="1:3">
      <c r="A1476">
        <v>6276</v>
      </c>
      <c r="B1476" t="s">
        <v>472</v>
      </c>
      <c r="C1476">
        <v>6.46</v>
      </c>
    </row>
    <row r="1477" spans="1:3">
      <c r="A1477">
        <v>6279</v>
      </c>
      <c r="B1477" t="s">
        <v>1739</v>
      </c>
      <c r="C1477">
        <v>155.5</v>
      </c>
    </row>
    <row r="1478" spans="1:3">
      <c r="A1478">
        <v>6284</v>
      </c>
      <c r="B1478" t="s">
        <v>1740</v>
      </c>
      <c r="C1478">
        <v>21.85</v>
      </c>
    </row>
    <row r="1479" spans="1:3">
      <c r="A1479">
        <v>6287</v>
      </c>
      <c r="B1479" t="s">
        <v>1741</v>
      </c>
      <c r="C1479">
        <v>3.6</v>
      </c>
    </row>
    <row r="1480" spans="1:3">
      <c r="A1480">
        <v>6290</v>
      </c>
      <c r="B1480" t="s">
        <v>1742</v>
      </c>
      <c r="C1480">
        <v>33.15</v>
      </c>
    </row>
    <row r="1481" spans="1:3">
      <c r="A1481">
        <v>6291</v>
      </c>
      <c r="B1481" t="s">
        <v>473</v>
      </c>
      <c r="C1481">
        <v>2.61</v>
      </c>
    </row>
    <row r="1482" spans="1:3">
      <c r="A1482">
        <v>6292</v>
      </c>
      <c r="B1482" t="s">
        <v>1743</v>
      </c>
      <c r="C1482">
        <v>30.35</v>
      </c>
    </row>
    <row r="1483" spans="1:3">
      <c r="A1483">
        <v>6294</v>
      </c>
      <c r="B1483" t="s">
        <v>1744</v>
      </c>
      <c r="C1483">
        <v>107</v>
      </c>
    </row>
    <row r="1484" spans="1:3">
      <c r="A1484">
        <v>6298</v>
      </c>
      <c r="B1484" t="s">
        <v>1745</v>
      </c>
      <c r="C1484">
        <v>17.649999999999999</v>
      </c>
    </row>
    <row r="1485" spans="1:3">
      <c r="A1485">
        <v>6404</v>
      </c>
      <c r="B1485" t="s">
        <v>1746</v>
      </c>
      <c r="C1485">
        <v>36.75</v>
      </c>
    </row>
    <row r="1486" spans="1:3">
      <c r="A1486">
        <v>6411</v>
      </c>
      <c r="B1486" t="s">
        <v>474</v>
      </c>
      <c r="C1486">
        <v>35.799999999999997</v>
      </c>
    </row>
    <row r="1487" spans="1:3">
      <c r="A1487">
        <v>6417</v>
      </c>
      <c r="B1487" t="s">
        <v>520</v>
      </c>
      <c r="C1487">
        <v>41.3</v>
      </c>
    </row>
    <row r="1488" spans="1:3">
      <c r="A1488">
        <v>6419</v>
      </c>
      <c r="B1488" t="s">
        <v>1747</v>
      </c>
      <c r="C1488">
        <v>20.9</v>
      </c>
    </row>
    <row r="1489" spans="1:3">
      <c r="A1489">
        <v>6426</v>
      </c>
      <c r="B1489" t="s">
        <v>475</v>
      </c>
      <c r="C1489">
        <v>37.1</v>
      </c>
    </row>
    <row r="1490" spans="1:3">
      <c r="A1490">
        <v>6432</v>
      </c>
      <c r="B1490" t="s">
        <v>1748</v>
      </c>
      <c r="C1490">
        <v>34.75</v>
      </c>
    </row>
    <row r="1491" spans="1:3">
      <c r="A1491">
        <v>6435</v>
      </c>
      <c r="B1491" t="s">
        <v>2449</v>
      </c>
      <c r="C1491">
        <v>39</v>
      </c>
    </row>
    <row r="1492" spans="1:3">
      <c r="A1492">
        <v>6457</v>
      </c>
      <c r="B1492" t="s">
        <v>1749</v>
      </c>
      <c r="C1492">
        <v>43.8</v>
      </c>
    </row>
    <row r="1493" spans="1:3">
      <c r="A1493">
        <v>6462</v>
      </c>
      <c r="B1493" t="s">
        <v>2041</v>
      </c>
      <c r="C1493">
        <v>152</v>
      </c>
    </row>
    <row r="1494" spans="1:3">
      <c r="A1494">
        <v>6465</v>
      </c>
      <c r="B1494" t="s">
        <v>1899</v>
      </c>
      <c r="C1494">
        <v>79.900000000000006</v>
      </c>
    </row>
    <row r="1495" spans="1:3">
      <c r="A1495">
        <v>6470</v>
      </c>
      <c r="B1495" t="s">
        <v>1880</v>
      </c>
      <c r="C1495">
        <v>55.1</v>
      </c>
    </row>
    <row r="1496" spans="1:3">
      <c r="A1496">
        <v>6485</v>
      </c>
      <c r="B1496" t="s">
        <v>1900</v>
      </c>
      <c r="C1496">
        <v>62.6</v>
      </c>
    </row>
    <row r="1497" spans="1:3">
      <c r="A1497">
        <v>6488</v>
      </c>
      <c r="B1497" t="s">
        <v>1750</v>
      </c>
      <c r="C1497">
        <v>80.400000000000006</v>
      </c>
    </row>
    <row r="1498" spans="1:3">
      <c r="A1498">
        <v>6496</v>
      </c>
      <c r="B1498" t="s">
        <v>2454</v>
      </c>
      <c r="C1498">
        <v>80.3</v>
      </c>
    </row>
    <row r="1499" spans="1:3">
      <c r="A1499">
        <v>6506</v>
      </c>
      <c r="B1499" t="s">
        <v>1751</v>
      </c>
      <c r="C1499">
        <v>20.399999999999999</v>
      </c>
    </row>
    <row r="1500" spans="1:3">
      <c r="A1500">
        <v>6508</v>
      </c>
      <c r="B1500" t="s">
        <v>476</v>
      </c>
      <c r="C1500">
        <v>27</v>
      </c>
    </row>
    <row r="1501" spans="1:3">
      <c r="A1501">
        <v>6509</v>
      </c>
      <c r="B1501" t="s">
        <v>477</v>
      </c>
      <c r="C1501">
        <v>20.2</v>
      </c>
    </row>
    <row r="1502" spans="1:3">
      <c r="A1502">
        <v>6514</v>
      </c>
      <c r="B1502" t="s">
        <v>1905</v>
      </c>
      <c r="C1502">
        <v>71.099999999999994</v>
      </c>
    </row>
    <row r="1503" spans="1:3">
      <c r="A1503">
        <v>6603</v>
      </c>
      <c r="B1503" t="s">
        <v>478</v>
      </c>
      <c r="C1503">
        <v>10.7</v>
      </c>
    </row>
    <row r="1504" spans="1:3">
      <c r="A1504">
        <v>6609</v>
      </c>
      <c r="B1504" t="s">
        <v>479</v>
      </c>
      <c r="C1504">
        <v>28</v>
      </c>
    </row>
    <row r="1505" spans="1:3">
      <c r="A1505">
        <v>6803</v>
      </c>
      <c r="B1505" t="s">
        <v>1752</v>
      </c>
      <c r="C1505">
        <v>163.5</v>
      </c>
    </row>
    <row r="1506" spans="1:3">
      <c r="A1506">
        <v>7402</v>
      </c>
      <c r="B1506" t="s">
        <v>2450</v>
      </c>
      <c r="C1506">
        <v>81.900000000000006</v>
      </c>
    </row>
    <row r="1507" spans="1:3">
      <c r="A1507">
        <v>8024</v>
      </c>
      <c r="B1507" t="s">
        <v>480</v>
      </c>
      <c r="C1507">
        <v>10.6</v>
      </c>
    </row>
    <row r="1508" spans="1:3">
      <c r="A1508">
        <v>8027</v>
      </c>
      <c r="B1508" t="s">
        <v>1753</v>
      </c>
      <c r="C1508">
        <v>18.899999999999999</v>
      </c>
    </row>
    <row r="1509" spans="1:3">
      <c r="A1509">
        <v>8032</v>
      </c>
      <c r="B1509" t="s">
        <v>1754</v>
      </c>
      <c r="C1509">
        <v>28.75</v>
      </c>
    </row>
    <row r="1510" spans="1:3">
      <c r="A1510">
        <v>8034</v>
      </c>
      <c r="B1510" t="s">
        <v>1755</v>
      </c>
      <c r="C1510">
        <v>6</v>
      </c>
    </row>
    <row r="1511" spans="1:3">
      <c r="A1511">
        <v>8038</v>
      </c>
      <c r="B1511" t="s">
        <v>481</v>
      </c>
      <c r="C1511">
        <v>61.3</v>
      </c>
    </row>
    <row r="1512" spans="1:3">
      <c r="A1512">
        <v>8040</v>
      </c>
      <c r="B1512" t="s">
        <v>1756</v>
      </c>
      <c r="C1512">
        <v>9.18</v>
      </c>
    </row>
    <row r="1513" spans="1:3">
      <c r="A1513">
        <v>8042</v>
      </c>
      <c r="B1513" t="s">
        <v>1757</v>
      </c>
      <c r="C1513">
        <v>42.1</v>
      </c>
    </row>
    <row r="1514" spans="1:3">
      <c r="A1514">
        <v>8043</v>
      </c>
      <c r="B1514" t="s">
        <v>1758</v>
      </c>
      <c r="C1514">
        <v>15.45</v>
      </c>
    </row>
    <row r="1515" spans="1:3">
      <c r="A1515">
        <v>8044</v>
      </c>
      <c r="B1515" t="s">
        <v>1759</v>
      </c>
      <c r="C1515">
        <v>352.5</v>
      </c>
    </row>
    <row r="1516" spans="1:3">
      <c r="A1516">
        <v>8047</v>
      </c>
      <c r="B1516" t="s">
        <v>1760</v>
      </c>
      <c r="C1516">
        <v>10.9</v>
      </c>
    </row>
    <row r="1517" spans="1:3">
      <c r="A1517">
        <v>8048</v>
      </c>
      <c r="B1517" t="s">
        <v>1761</v>
      </c>
      <c r="C1517">
        <v>45.75</v>
      </c>
    </row>
    <row r="1518" spans="1:3">
      <c r="A1518">
        <v>8049</v>
      </c>
      <c r="B1518" t="s">
        <v>1762</v>
      </c>
      <c r="C1518">
        <v>15</v>
      </c>
    </row>
    <row r="1519" spans="1:3">
      <c r="A1519">
        <v>8050</v>
      </c>
      <c r="B1519" t="s">
        <v>1763</v>
      </c>
      <c r="C1519">
        <v>54.2</v>
      </c>
    </row>
    <row r="1520" spans="1:3">
      <c r="A1520">
        <v>8053</v>
      </c>
      <c r="B1520" t="s">
        <v>1764</v>
      </c>
      <c r="C1520">
        <v>0</v>
      </c>
    </row>
    <row r="1521" spans="1:3">
      <c r="A1521">
        <v>8054</v>
      </c>
      <c r="B1521" t="s">
        <v>482</v>
      </c>
      <c r="C1521">
        <v>19.8</v>
      </c>
    </row>
    <row r="1522" spans="1:3">
      <c r="A1522">
        <v>8059</v>
      </c>
      <c r="B1522" t="s">
        <v>1765</v>
      </c>
      <c r="C1522">
        <v>13.35</v>
      </c>
    </row>
    <row r="1523" spans="1:3">
      <c r="A1523">
        <v>8064</v>
      </c>
      <c r="B1523" t="s">
        <v>483</v>
      </c>
      <c r="C1523">
        <v>14.85</v>
      </c>
    </row>
    <row r="1524" spans="1:3">
      <c r="A1524">
        <v>8066</v>
      </c>
      <c r="B1524" t="s">
        <v>1766</v>
      </c>
      <c r="C1524">
        <v>107</v>
      </c>
    </row>
    <row r="1525" spans="1:3">
      <c r="A1525">
        <v>8067</v>
      </c>
      <c r="B1525" t="s">
        <v>1767</v>
      </c>
      <c r="C1525">
        <v>4.88</v>
      </c>
    </row>
    <row r="1526" spans="1:3">
      <c r="A1526">
        <v>8068</v>
      </c>
      <c r="B1526" t="s">
        <v>484</v>
      </c>
      <c r="C1526">
        <v>14.2</v>
      </c>
    </row>
    <row r="1527" spans="1:3">
      <c r="A1527">
        <v>8069</v>
      </c>
      <c r="B1527" t="s">
        <v>1768</v>
      </c>
      <c r="C1527">
        <v>16.350000000000001</v>
      </c>
    </row>
    <row r="1528" spans="1:3">
      <c r="A1528">
        <v>8071</v>
      </c>
      <c r="B1528" t="s">
        <v>485</v>
      </c>
      <c r="C1528">
        <v>14.1</v>
      </c>
    </row>
    <row r="1529" spans="1:3">
      <c r="A1529">
        <v>8074</v>
      </c>
      <c r="B1529" t="s">
        <v>1769</v>
      </c>
      <c r="C1529">
        <v>25.85</v>
      </c>
    </row>
    <row r="1530" spans="1:3">
      <c r="A1530">
        <v>8076</v>
      </c>
      <c r="B1530" t="s">
        <v>1770</v>
      </c>
      <c r="C1530">
        <v>85.4</v>
      </c>
    </row>
    <row r="1531" spans="1:3">
      <c r="A1531">
        <v>8077</v>
      </c>
      <c r="B1531" t="s">
        <v>1771</v>
      </c>
      <c r="C1531">
        <v>0</v>
      </c>
    </row>
    <row r="1532" spans="1:3">
      <c r="A1532">
        <v>8079</v>
      </c>
      <c r="B1532" t="s">
        <v>1772</v>
      </c>
      <c r="C1532">
        <v>17</v>
      </c>
    </row>
    <row r="1533" spans="1:3">
      <c r="A1533">
        <v>8080</v>
      </c>
      <c r="B1533" t="s">
        <v>486</v>
      </c>
      <c r="C1533">
        <v>21.6</v>
      </c>
    </row>
    <row r="1534" spans="1:3">
      <c r="A1534">
        <v>8082</v>
      </c>
      <c r="B1534" t="s">
        <v>487</v>
      </c>
      <c r="C1534">
        <v>2.33</v>
      </c>
    </row>
    <row r="1535" spans="1:3">
      <c r="A1535">
        <v>8083</v>
      </c>
      <c r="B1535" t="s">
        <v>488</v>
      </c>
      <c r="C1535">
        <v>140</v>
      </c>
    </row>
    <row r="1536" spans="1:3">
      <c r="A1536">
        <v>8084</v>
      </c>
      <c r="B1536" t="s">
        <v>1773</v>
      </c>
      <c r="C1536">
        <v>26.7</v>
      </c>
    </row>
    <row r="1537" spans="1:3">
      <c r="A1537">
        <v>8085</v>
      </c>
      <c r="B1537" t="s">
        <v>489</v>
      </c>
      <c r="C1537">
        <v>4</v>
      </c>
    </row>
    <row r="1538" spans="1:3">
      <c r="A1538">
        <v>8086</v>
      </c>
      <c r="B1538" t="s">
        <v>1774</v>
      </c>
      <c r="C1538">
        <v>74.599999999999994</v>
      </c>
    </row>
    <row r="1539" spans="1:3">
      <c r="A1539">
        <v>8087</v>
      </c>
      <c r="B1539" t="s">
        <v>490</v>
      </c>
      <c r="C1539">
        <v>7.97</v>
      </c>
    </row>
    <row r="1540" spans="1:3">
      <c r="A1540">
        <v>8088</v>
      </c>
      <c r="B1540" t="s">
        <v>491</v>
      </c>
      <c r="C1540">
        <v>16.8</v>
      </c>
    </row>
    <row r="1541" spans="1:3">
      <c r="A1541">
        <v>8091</v>
      </c>
      <c r="B1541" t="s">
        <v>1775</v>
      </c>
      <c r="C1541">
        <v>63.5</v>
      </c>
    </row>
    <row r="1542" spans="1:3">
      <c r="A1542">
        <v>8092</v>
      </c>
      <c r="B1542" t="s">
        <v>1776</v>
      </c>
      <c r="C1542">
        <v>7.75</v>
      </c>
    </row>
    <row r="1543" spans="1:3">
      <c r="A1543">
        <v>8093</v>
      </c>
      <c r="B1543" t="s">
        <v>1777</v>
      </c>
      <c r="C1543">
        <v>6.04</v>
      </c>
    </row>
    <row r="1544" spans="1:3">
      <c r="A1544">
        <v>8096</v>
      </c>
      <c r="B1544" t="s">
        <v>1778</v>
      </c>
      <c r="C1544">
        <v>20.399999999999999</v>
      </c>
    </row>
    <row r="1545" spans="1:3">
      <c r="A1545">
        <v>8097</v>
      </c>
      <c r="B1545" t="s">
        <v>1779</v>
      </c>
      <c r="C1545">
        <v>10.55</v>
      </c>
    </row>
    <row r="1546" spans="1:3">
      <c r="A1546">
        <v>8099</v>
      </c>
      <c r="B1546" t="s">
        <v>1780</v>
      </c>
      <c r="C1546">
        <v>18.649999999999999</v>
      </c>
    </row>
    <row r="1547" spans="1:3">
      <c r="A1547">
        <v>8107</v>
      </c>
      <c r="B1547" t="s">
        <v>492</v>
      </c>
      <c r="C1547">
        <v>23.8</v>
      </c>
    </row>
    <row r="1548" spans="1:3">
      <c r="A1548">
        <v>8109</v>
      </c>
      <c r="B1548" t="s">
        <v>1781</v>
      </c>
      <c r="C1548">
        <v>70.5</v>
      </c>
    </row>
    <row r="1549" spans="1:3">
      <c r="A1549">
        <v>8111</v>
      </c>
      <c r="B1549" t="s">
        <v>1782</v>
      </c>
      <c r="C1549">
        <v>4.5199999999999996</v>
      </c>
    </row>
    <row r="1550" spans="1:3">
      <c r="A1550">
        <v>8121</v>
      </c>
      <c r="B1550" t="s">
        <v>1783</v>
      </c>
      <c r="C1550">
        <v>15.85</v>
      </c>
    </row>
    <row r="1551" spans="1:3">
      <c r="A1551">
        <v>8147</v>
      </c>
      <c r="B1551" t="s">
        <v>1784</v>
      </c>
      <c r="C1551">
        <v>45.5</v>
      </c>
    </row>
    <row r="1552" spans="1:3">
      <c r="A1552">
        <v>8155</v>
      </c>
      <c r="B1552" t="s">
        <v>1785</v>
      </c>
      <c r="C1552">
        <v>19.100000000000001</v>
      </c>
    </row>
    <row r="1553" spans="1:3">
      <c r="A1553">
        <v>8171</v>
      </c>
      <c r="B1553" t="s">
        <v>1786</v>
      </c>
      <c r="C1553">
        <v>12.55</v>
      </c>
    </row>
    <row r="1554" spans="1:3">
      <c r="A1554">
        <v>8176</v>
      </c>
      <c r="B1554" t="s">
        <v>1787</v>
      </c>
      <c r="C1554">
        <v>9</v>
      </c>
    </row>
    <row r="1555" spans="1:3">
      <c r="A1555">
        <v>8182</v>
      </c>
      <c r="B1555" t="s">
        <v>1788</v>
      </c>
      <c r="C1555">
        <v>13.6</v>
      </c>
    </row>
    <row r="1556" spans="1:3">
      <c r="A1556">
        <v>8183</v>
      </c>
      <c r="B1556" t="s">
        <v>1789</v>
      </c>
      <c r="C1556">
        <v>5.5</v>
      </c>
    </row>
    <row r="1557" spans="1:3">
      <c r="A1557">
        <v>8234</v>
      </c>
      <c r="B1557" t="s">
        <v>493</v>
      </c>
      <c r="C1557">
        <v>28.85</v>
      </c>
    </row>
    <row r="1558" spans="1:3">
      <c r="A1558">
        <v>8240</v>
      </c>
      <c r="B1558" t="s">
        <v>1790</v>
      </c>
      <c r="C1558">
        <v>20.3</v>
      </c>
    </row>
    <row r="1559" spans="1:3">
      <c r="A1559">
        <v>8255</v>
      </c>
      <c r="B1559" t="s">
        <v>1791</v>
      </c>
      <c r="C1559">
        <v>128</v>
      </c>
    </row>
    <row r="1560" spans="1:3">
      <c r="A1560">
        <v>8266</v>
      </c>
      <c r="B1560" t="s">
        <v>1792</v>
      </c>
      <c r="C1560">
        <v>26.2</v>
      </c>
    </row>
    <row r="1561" spans="1:3">
      <c r="A1561">
        <v>8277</v>
      </c>
      <c r="B1561" t="s">
        <v>1793</v>
      </c>
      <c r="C1561">
        <v>7.77</v>
      </c>
    </row>
    <row r="1562" spans="1:3">
      <c r="A1562">
        <v>8287</v>
      </c>
      <c r="B1562" t="s">
        <v>1794</v>
      </c>
      <c r="C1562">
        <v>19.05</v>
      </c>
    </row>
    <row r="1563" spans="1:3">
      <c r="A1563">
        <v>8289</v>
      </c>
      <c r="B1563" t="s">
        <v>1795</v>
      </c>
      <c r="C1563">
        <v>11.3</v>
      </c>
    </row>
    <row r="1564" spans="1:3">
      <c r="A1564">
        <v>8291</v>
      </c>
      <c r="B1564" t="s">
        <v>1796</v>
      </c>
      <c r="C1564">
        <v>4.7</v>
      </c>
    </row>
    <row r="1565" spans="1:3">
      <c r="A1565">
        <v>8299</v>
      </c>
      <c r="B1565" t="s">
        <v>1797</v>
      </c>
      <c r="C1565">
        <v>256</v>
      </c>
    </row>
    <row r="1566" spans="1:3">
      <c r="A1566">
        <v>8349</v>
      </c>
      <c r="B1566" t="s">
        <v>1798</v>
      </c>
      <c r="C1566">
        <v>80.099999999999994</v>
      </c>
    </row>
    <row r="1567" spans="1:3">
      <c r="A1567">
        <v>8354</v>
      </c>
      <c r="B1567" t="s">
        <v>1799</v>
      </c>
      <c r="C1567">
        <v>16.95</v>
      </c>
    </row>
    <row r="1568" spans="1:3">
      <c r="A1568">
        <v>8358</v>
      </c>
      <c r="B1568" t="s">
        <v>1800</v>
      </c>
      <c r="C1568">
        <v>12</v>
      </c>
    </row>
    <row r="1569" spans="1:3">
      <c r="A1569">
        <v>8383</v>
      </c>
      <c r="B1569" t="s">
        <v>494</v>
      </c>
      <c r="C1569">
        <v>54.1</v>
      </c>
    </row>
    <row r="1570" spans="1:3">
      <c r="A1570">
        <v>8390</v>
      </c>
      <c r="B1570" t="s">
        <v>1801</v>
      </c>
      <c r="C1570">
        <v>15.1</v>
      </c>
    </row>
    <row r="1571" spans="1:3">
      <c r="A1571">
        <v>8401</v>
      </c>
      <c r="B1571" t="s">
        <v>1802</v>
      </c>
      <c r="C1571">
        <v>12.5</v>
      </c>
    </row>
    <row r="1572" spans="1:3">
      <c r="A1572">
        <v>8403</v>
      </c>
      <c r="B1572" t="s">
        <v>1803</v>
      </c>
      <c r="C1572">
        <v>48.3</v>
      </c>
    </row>
    <row r="1573" spans="1:3">
      <c r="A1573">
        <v>8406</v>
      </c>
      <c r="B1573" t="s">
        <v>1804</v>
      </c>
      <c r="C1573">
        <v>331</v>
      </c>
    </row>
    <row r="1574" spans="1:3">
      <c r="A1574">
        <v>8409</v>
      </c>
      <c r="B1574" t="s">
        <v>1805</v>
      </c>
      <c r="C1574">
        <v>31.7</v>
      </c>
    </row>
    <row r="1575" spans="1:3">
      <c r="A1575">
        <v>8410</v>
      </c>
      <c r="B1575" t="s">
        <v>495</v>
      </c>
      <c r="C1575">
        <v>19.25</v>
      </c>
    </row>
    <row r="1576" spans="1:3">
      <c r="A1576">
        <v>8416</v>
      </c>
      <c r="B1576" t="s">
        <v>496</v>
      </c>
      <c r="C1576">
        <v>102</v>
      </c>
    </row>
    <row r="1577" spans="1:3">
      <c r="A1577">
        <v>8418</v>
      </c>
      <c r="B1577" t="s">
        <v>1806</v>
      </c>
      <c r="C1577">
        <v>15.1</v>
      </c>
    </row>
    <row r="1578" spans="1:3">
      <c r="A1578">
        <v>8420</v>
      </c>
      <c r="B1578" t="s">
        <v>497</v>
      </c>
      <c r="C1578">
        <v>21.3</v>
      </c>
    </row>
    <row r="1579" spans="1:3">
      <c r="A1579">
        <v>8421</v>
      </c>
      <c r="B1579" t="s">
        <v>498</v>
      </c>
      <c r="C1579">
        <v>13.1</v>
      </c>
    </row>
    <row r="1580" spans="1:3">
      <c r="A1580">
        <v>8423</v>
      </c>
      <c r="B1580" t="s">
        <v>1807</v>
      </c>
      <c r="C1580">
        <v>20.8</v>
      </c>
    </row>
    <row r="1581" spans="1:3">
      <c r="A1581">
        <v>8424</v>
      </c>
      <c r="B1581" t="s">
        <v>499</v>
      </c>
      <c r="C1581">
        <v>38.6</v>
      </c>
    </row>
    <row r="1582" spans="1:3">
      <c r="A1582">
        <v>8426</v>
      </c>
      <c r="B1582" t="s">
        <v>1808</v>
      </c>
      <c r="C1582">
        <v>41.9</v>
      </c>
    </row>
    <row r="1583" spans="1:3">
      <c r="A1583">
        <v>8431</v>
      </c>
      <c r="B1583" t="s">
        <v>500</v>
      </c>
      <c r="C1583">
        <v>101</v>
      </c>
    </row>
    <row r="1584" spans="1:3">
      <c r="A1584">
        <v>8432</v>
      </c>
      <c r="B1584" t="s">
        <v>501</v>
      </c>
      <c r="C1584">
        <v>83.3</v>
      </c>
    </row>
    <row r="1585" spans="1:3">
      <c r="A1585">
        <v>8433</v>
      </c>
      <c r="B1585" t="s">
        <v>502</v>
      </c>
      <c r="C1585">
        <v>156</v>
      </c>
    </row>
    <row r="1586" spans="1:3">
      <c r="A1586">
        <v>8435</v>
      </c>
      <c r="B1586" t="s">
        <v>503</v>
      </c>
      <c r="C1586">
        <v>49.1</v>
      </c>
    </row>
    <row r="1587" spans="1:3">
      <c r="A1587">
        <v>8436</v>
      </c>
      <c r="B1587" t="s">
        <v>1809</v>
      </c>
      <c r="C1587">
        <v>124</v>
      </c>
    </row>
    <row r="1588" spans="1:3">
      <c r="A1588">
        <v>8437</v>
      </c>
      <c r="B1588" t="s">
        <v>1810</v>
      </c>
      <c r="C1588">
        <v>158.5</v>
      </c>
    </row>
    <row r="1589" spans="1:3">
      <c r="A1589">
        <v>8444</v>
      </c>
      <c r="B1589" t="s">
        <v>1855</v>
      </c>
      <c r="C1589">
        <v>73.900000000000006</v>
      </c>
    </row>
    <row r="1590" spans="1:3">
      <c r="A1590">
        <v>8446</v>
      </c>
      <c r="B1590" t="s">
        <v>1811</v>
      </c>
      <c r="C1590">
        <v>112</v>
      </c>
    </row>
    <row r="1591" spans="1:3">
      <c r="A1591">
        <v>8450</v>
      </c>
      <c r="B1591" t="s">
        <v>504</v>
      </c>
      <c r="C1591">
        <v>84.4</v>
      </c>
    </row>
    <row r="1592" spans="1:3">
      <c r="A1592">
        <v>8455</v>
      </c>
      <c r="B1592" t="s">
        <v>2455</v>
      </c>
      <c r="C1592">
        <v>24.65</v>
      </c>
    </row>
    <row r="1593" spans="1:3">
      <c r="A1593">
        <v>8472</v>
      </c>
      <c r="B1593" t="s">
        <v>2451</v>
      </c>
      <c r="C1593">
        <v>99.5</v>
      </c>
    </row>
    <row r="1594" spans="1:3">
      <c r="A1594">
        <v>8905</v>
      </c>
      <c r="B1594" t="s">
        <v>1812</v>
      </c>
      <c r="C1594">
        <v>13.4</v>
      </c>
    </row>
    <row r="1595" spans="1:3">
      <c r="A1595">
        <v>8906</v>
      </c>
      <c r="B1595" t="s">
        <v>1813</v>
      </c>
      <c r="C1595">
        <v>6.37</v>
      </c>
    </row>
    <row r="1596" spans="1:3">
      <c r="A1596">
        <v>8908</v>
      </c>
      <c r="B1596" t="s">
        <v>505</v>
      </c>
      <c r="C1596">
        <v>0</v>
      </c>
    </row>
    <row r="1597" spans="1:3">
      <c r="A1597">
        <v>8913</v>
      </c>
      <c r="B1597" t="s">
        <v>506</v>
      </c>
      <c r="C1597">
        <v>16.399999999999999</v>
      </c>
    </row>
    <row r="1598" spans="1:3">
      <c r="A1598">
        <v>8916</v>
      </c>
      <c r="B1598" t="s">
        <v>507</v>
      </c>
      <c r="C1598">
        <v>53.5</v>
      </c>
    </row>
    <row r="1599" spans="1:3">
      <c r="A1599">
        <v>8917</v>
      </c>
      <c r="B1599" t="s">
        <v>508</v>
      </c>
      <c r="C1599">
        <v>0</v>
      </c>
    </row>
    <row r="1600" spans="1:3">
      <c r="A1600">
        <v>8921</v>
      </c>
      <c r="B1600" t="s">
        <v>1814</v>
      </c>
      <c r="C1600">
        <v>17.8</v>
      </c>
    </row>
    <row r="1601" spans="1:3">
      <c r="A1601">
        <v>8923</v>
      </c>
      <c r="B1601" t="s">
        <v>1815</v>
      </c>
      <c r="C1601">
        <v>0</v>
      </c>
    </row>
    <row r="1602" spans="1:3">
      <c r="A1602">
        <v>8924</v>
      </c>
      <c r="B1602" t="s">
        <v>1816</v>
      </c>
      <c r="C1602">
        <v>18.7</v>
      </c>
    </row>
    <row r="1603" spans="1:3">
      <c r="A1603">
        <v>8927</v>
      </c>
      <c r="B1603" t="s">
        <v>509</v>
      </c>
      <c r="C1603">
        <v>9.8800000000000008</v>
      </c>
    </row>
    <row r="1604" spans="1:3">
      <c r="A1604">
        <v>8928</v>
      </c>
      <c r="B1604" t="s">
        <v>510</v>
      </c>
      <c r="C1604">
        <v>40.799999999999997</v>
      </c>
    </row>
    <row r="1605" spans="1:3">
      <c r="A1605">
        <v>8929</v>
      </c>
      <c r="B1605" t="s">
        <v>511</v>
      </c>
      <c r="C1605">
        <v>23.4</v>
      </c>
    </row>
    <row r="1606" spans="1:3">
      <c r="A1606">
        <v>8930</v>
      </c>
      <c r="B1606" t="s">
        <v>512</v>
      </c>
      <c r="C1606">
        <v>9.4499999999999993</v>
      </c>
    </row>
    <row r="1607" spans="1:3">
      <c r="A1607">
        <v>8931</v>
      </c>
      <c r="B1607" t="s">
        <v>1817</v>
      </c>
      <c r="C1607">
        <v>24</v>
      </c>
    </row>
    <row r="1608" spans="1:3">
      <c r="A1608">
        <v>8932</v>
      </c>
      <c r="B1608" t="s">
        <v>1818</v>
      </c>
      <c r="C1608">
        <v>9.49</v>
      </c>
    </row>
    <row r="1609" spans="1:3">
      <c r="A1609">
        <v>8933</v>
      </c>
      <c r="B1609" t="s">
        <v>1819</v>
      </c>
      <c r="C1609">
        <v>15.05</v>
      </c>
    </row>
    <row r="1610" spans="1:3">
      <c r="A1610">
        <v>8934</v>
      </c>
      <c r="B1610" t="s">
        <v>1820</v>
      </c>
      <c r="C1610">
        <v>0</v>
      </c>
    </row>
    <row r="1611" spans="1:3">
      <c r="A1611">
        <v>8935</v>
      </c>
      <c r="B1611" t="s">
        <v>513</v>
      </c>
      <c r="C1611">
        <v>6.49</v>
      </c>
    </row>
    <row r="1612" spans="1:3">
      <c r="A1612">
        <v>8936</v>
      </c>
      <c r="B1612" t="s">
        <v>1821</v>
      </c>
      <c r="C1612">
        <v>30.85</v>
      </c>
    </row>
    <row r="1613" spans="1:3">
      <c r="A1613">
        <v>8937</v>
      </c>
      <c r="B1613" t="s">
        <v>1822</v>
      </c>
      <c r="C1613">
        <v>12</v>
      </c>
    </row>
    <row r="1614" spans="1:3">
      <c r="A1614">
        <v>8938</v>
      </c>
      <c r="B1614" t="s">
        <v>514</v>
      </c>
      <c r="C1614">
        <v>18.95</v>
      </c>
    </row>
    <row r="1615" spans="1:3">
      <c r="A1615">
        <v>8941</v>
      </c>
      <c r="B1615" t="s">
        <v>515</v>
      </c>
      <c r="C1615">
        <v>86.1</v>
      </c>
    </row>
    <row r="1616" spans="1:3">
      <c r="A1616">
        <v>8942</v>
      </c>
      <c r="B1616" t="s">
        <v>1823</v>
      </c>
      <c r="C1616">
        <v>93.2</v>
      </c>
    </row>
    <row r="1617" spans="1:3">
      <c r="A1617">
        <v>911613</v>
      </c>
      <c r="B1617" t="s">
        <v>1824</v>
      </c>
      <c r="C1617">
        <v>1.98</v>
      </c>
    </row>
    <row r="1618" spans="1:3">
      <c r="A1618">
        <v>9949</v>
      </c>
      <c r="B1618" t="s">
        <v>516</v>
      </c>
      <c r="C1618">
        <v>13.45</v>
      </c>
    </row>
    <row r="1619" spans="1:3">
      <c r="A1619">
        <v>9950</v>
      </c>
      <c r="B1619" t="s">
        <v>1825</v>
      </c>
      <c r="C1619">
        <v>19.95</v>
      </c>
    </row>
    <row r="1620" spans="1:3">
      <c r="A1620">
        <v>9951</v>
      </c>
      <c r="B1620" t="s">
        <v>1826</v>
      </c>
      <c r="C1620">
        <v>166</v>
      </c>
    </row>
    <row r="1621" spans="1:3">
      <c r="A1621">
        <v>9960</v>
      </c>
      <c r="B1621" t="s">
        <v>517</v>
      </c>
      <c r="C1621">
        <v>18.8</v>
      </c>
    </row>
    <row r="1622" spans="1:3">
      <c r="A1622">
        <v>9962</v>
      </c>
      <c r="B1622" t="s">
        <v>1827</v>
      </c>
      <c r="C1622">
        <v>8.15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1</xdr:col>
                <xdr:colOff>57150</xdr:colOff>
                <xdr:row>0</xdr:row>
                <xdr:rowOff>0</xdr:rowOff>
              </from>
              <to>
                <xdr:col>1</xdr:col>
                <xdr:colOff>914400</xdr:colOff>
                <xdr:row>0</xdr:row>
                <xdr:rowOff>381000</xdr:rowOff>
              </to>
            </anchor>
          </controlPr>
        </control>
      </mc:Choice>
      <mc:Fallback>
        <control shapeId="2252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H269"/>
  <sheetViews>
    <sheetView workbookViewId="0">
      <selection activeCell="A75" sqref="A75"/>
    </sheetView>
  </sheetViews>
  <sheetFormatPr defaultRowHeight="16.5"/>
  <cols>
    <col min="1" max="1" width="9" style="427"/>
  </cols>
  <sheetData>
    <row r="1" spans="1:8" ht="47.25">
      <c r="A1" s="425" t="s">
        <v>3516</v>
      </c>
      <c r="B1" s="426" t="s">
        <v>3517</v>
      </c>
      <c r="C1" s="426" t="s">
        <v>3518</v>
      </c>
      <c r="D1" s="426" t="s">
        <v>3459</v>
      </c>
      <c r="E1" s="426" t="s">
        <v>3519</v>
      </c>
      <c r="F1" s="426" t="s">
        <v>3520</v>
      </c>
      <c r="G1" s="426" t="s">
        <v>3521</v>
      </c>
      <c r="H1" s="426" t="s">
        <v>3522</v>
      </c>
    </row>
    <row r="2" spans="1:8">
      <c r="A2" s="427" t="s">
        <v>3523</v>
      </c>
      <c r="B2" t="s">
        <v>3524</v>
      </c>
      <c r="C2" t="s">
        <v>3169</v>
      </c>
      <c r="D2" t="s">
        <v>3525</v>
      </c>
      <c r="E2">
        <v>1.8125</v>
      </c>
      <c r="F2">
        <v>0</v>
      </c>
      <c r="G2">
        <v>1.8125</v>
      </c>
    </row>
    <row r="3" spans="1:8">
      <c r="A3" s="427" t="s">
        <v>3526</v>
      </c>
      <c r="B3" t="s">
        <v>3527</v>
      </c>
      <c r="C3" t="s">
        <v>3528</v>
      </c>
      <c r="D3" t="s">
        <v>3529</v>
      </c>
      <c r="E3">
        <v>0.7</v>
      </c>
      <c r="F3">
        <v>0</v>
      </c>
      <c r="G3">
        <v>0.7</v>
      </c>
      <c r="H3">
        <v>21</v>
      </c>
    </row>
    <row r="4" spans="1:8">
      <c r="A4" s="427" t="s">
        <v>3530</v>
      </c>
      <c r="B4" t="s">
        <v>244</v>
      </c>
      <c r="C4" t="s">
        <v>3528</v>
      </c>
      <c r="D4" t="s">
        <v>3531</v>
      </c>
      <c r="E4">
        <v>2.8</v>
      </c>
      <c r="F4">
        <v>0</v>
      </c>
      <c r="G4">
        <v>2.8</v>
      </c>
      <c r="H4">
        <v>73</v>
      </c>
    </row>
    <row r="5" spans="1:8">
      <c r="A5" s="427" t="s">
        <v>3532</v>
      </c>
      <c r="B5" t="s">
        <v>3533</v>
      </c>
      <c r="C5" t="s">
        <v>3528</v>
      </c>
      <c r="D5" t="s">
        <v>3534</v>
      </c>
      <c r="E5">
        <v>1.55</v>
      </c>
      <c r="F5">
        <v>0</v>
      </c>
      <c r="G5">
        <v>1.55</v>
      </c>
      <c r="H5">
        <v>26.9</v>
      </c>
    </row>
    <row r="6" spans="1:8">
      <c r="A6" s="427" t="s">
        <v>3980</v>
      </c>
      <c r="B6" t="s">
        <v>3981</v>
      </c>
      <c r="C6" t="s">
        <v>3870</v>
      </c>
      <c r="D6" t="s">
        <v>3546</v>
      </c>
      <c r="E6">
        <v>0.3</v>
      </c>
      <c r="F6">
        <v>0.2</v>
      </c>
      <c r="G6">
        <v>0.5</v>
      </c>
      <c r="H6">
        <v>20.7</v>
      </c>
    </row>
    <row r="7" spans="1:8">
      <c r="A7" s="427" t="s">
        <v>3535</v>
      </c>
      <c r="B7" t="s">
        <v>3443</v>
      </c>
      <c r="C7" t="s">
        <v>3528</v>
      </c>
      <c r="D7" t="s">
        <v>3529</v>
      </c>
      <c r="E7">
        <v>0</v>
      </c>
      <c r="F7">
        <v>0</v>
      </c>
      <c r="G7">
        <v>0</v>
      </c>
      <c r="H7">
        <v>7.06</v>
      </c>
    </row>
    <row r="8" spans="1:8">
      <c r="A8" s="427" t="s">
        <v>3536</v>
      </c>
      <c r="B8" t="s">
        <v>3323</v>
      </c>
      <c r="C8" t="s">
        <v>3537</v>
      </c>
      <c r="D8" t="s">
        <v>3538</v>
      </c>
      <c r="E8">
        <v>1.8</v>
      </c>
      <c r="F8">
        <v>0</v>
      </c>
      <c r="G8">
        <v>1.8</v>
      </c>
      <c r="H8">
        <v>24.5</v>
      </c>
    </row>
    <row r="9" spans="1:8">
      <c r="A9" s="427" t="s">
        <v>2061</v>
      </c>
      <c r="B9" t="s">
        <v>2062</v>
      </c>
      <c r="C9" t="s">
        <v>3973</v>
      </c>
      <c r="D9" t="s">
        <v>3571</v>
      </c>
      <c r="E9">
        <v>0</v>
      </c>
      <c r="F9">
        <v>0</v>
      </c>
      <c r="G9">
        <v>0</v>
      </c>
      <c r="H9">
        <v>16.5</v>
      </c>
    </row>
    <row r="10" spans="1:8">
      <c r="A10" s="427" t="s">
        <v>3539</v>
      </c>
      <c r="B10" t="s">
        <v>3540</v>
      </c>
      <c r="C10" t="s">
        <v>3541</v>
      </c>
      <c r="D10" t="s">
        <v>3542</v>
      </c>
      <c r="E10">
        <v>1.2</v>
      </c>
      <c r="F10">
        <v>0</v>
      </c>
      <c r="G10">
        <v>1.2</v>
      </c>
      <c r="H10">
        <v>38</v>
      </c>
    </row>
    <row r="11" spans="1:8">
      <c r="A11" s="427" t="s">
        <v>2067</v>
      </c>
      <c r="B11" t="s">
        <v>2068</v>
      </c>
      <c r="C11" t="s">
        <v>3973</v>
      </c>
      <c r="D11" t="s">
        <v>3619</v>
      </c>
      <c r="E11">
        <v>0.5</v>
      </c>
      <c r="F11">
        <v>0.5</v>
      </c>
      <c r="G11">
        <v>1</v>
      </c>
      <c r="H11">
        <v>32.799999999999997</v>
      </c>
    </row>
    <row r="12" spans="1:8">
      <c r="A12" s="427" t="s">
        <v>3543</v>
      </c>
      <c r="B12" t="s">
        <v>3544</v>
      </c>
      <c r="C12" t="s">
        <v>3545</v>
      </c>
      <c r="D12" t="s">
        <v>3546</v>
      </c>
      <c r="E12">
        <v>9.5</v>
      </c>
      <c r="F12">
        <v>0</v>
      </c>
      <c r="G12">
        <v>9.5</v>
      </c>
      <c r="H12">
        <v>151</v>
      </c>
    </row>
    <row r="13" spans="1:8">
      <c r="A13" s="427" t="s">
        <v>3547</v>
      </c>
      <c r="B13" t="s">
        <v>3324</v>
      </c>
      <c r="C13" t="s">
        <v>3537</v>
      </c>
      <c r="D13" t="s">
        <v>3546</v>
      </c>
      <c r="E13">
        <v>3.7</v>
      </c>
      <c r="F13">
        <v>0</v>
      </c>
      <c r="G13">
        <v>3.7</v>
      </c>
      <c r="H13">
        <v>55</v>
      </c>
    </row>
    <row r="14" spans="1:8">
      <c r="A14" s="427" t="s">
        <v>2073</v>
      </c>
      <c r="B14" t="s">
        <v>2074</v>
      </c>
      <c r="C14" t="s">
        <v>3973</v>
      </c>
      <c r="D14" t="s">
        <v>3562</v>
      </c>
      <c r="E14">
        <v>0.5</v>
      </c>
      <c r="F14">
        <v>1</v>
      </c>
      <c r="G14">
        <v>1.5</v>
      </c>
      <c r="H14">
        <v>66.3</v>
      </c>
    </row>
    <row r="15" spans="1:8">
      <c r="A15" s="427" t="s">
        <v>2075</v>
      </c>
      <c r="B15" t="s">
        <v>1939</v>
      </c>
      <c r="C15" t="s">
        <v>3537</v>
      </c>
      <c r="D15" t="s">
        <v>3548</v>
      </c>
      <c r="E15">
        <v>0</v>
      </c>
      <c r="F15">
        <v>1</v>
      </c>
      <c r="G15">
        <v>1</v>
      </c>
      <c r="H15">
        <v>35.5</v>
      </c>
    </row>
    <row r="16" spans="1:8">
      <c r="A16" s="427" t="s">
        <v>3549</v>
      </c>
      <c r="B16" t="s">
        <v>3550</v>
      </c>
      <c r="C16" t="s">
        <v>3551</v>
      </c>
      <c r="D16" t="s">
        <v>3552</v>
      </c>
      <c r="E16">
        <v>4</v>
      </c>
      <c r="F16">
        <v>0</v>
      </c>
      <c r="G16">
        <v>4</v>
      </c>
      <c r="H16">
        <v>178</v>
      </c>
    </row>
    <row r="17" spans="1:8">
      <c r="A17" s="427" t="s">
        <v>3553</v>
      </c>
      <c r="B17" t="s">
        <v>3444</v>
      </c>
      <c r="C17" t="s">
        <v>3537</v>
      </c>
      <c r="D17" t="s">
        <v>3554</v>
      </c>
      <c r="E17">
        <v>0.2</v>
      </c>
      <c r="F17">
        <v>0</v>
      </c>
      <c r="G17">
        <v>0.2</v>
      </c>
      <c r="H17">
        <v>9.01</v>
      </c>
    </row>
    <row r="18" spans="1:8">
      <c r="A18" s="427" t="s">
        <v>2082</v>
      </c>
      <c r="B18" t="s">
        <v>2083</v>
      </c>
      <c r="C18" t="s">
        <v>3555</v>
      </c>
      <c r="D18" t="s">
        <v>3534</v>
      </c>
      <c r="E18">
        <v>0</v>
      </c>
      <c r="F18">
        <v>0</v>
      </c>
      <c r="G18">
        <v>0</v>
      </c>
      <c r="H18">
        <v>23.2</v>
      </c>
    </row>
    <row r="19" spans="1:8">
      <c r="A19" s="427" t="s">
        <v>3982</v>
      </c>
      <c r="B19" t="s">
        <v>3983</v>
      </c>
      <c r="C19" t="s">
        <v>3870</v>
      </c>
      <c r="D19" t="s">
        <v>3571</v>
      </c>
      <c r="E19">
        <v>0.6</v>
      </c>
      <c r="F19">
        <v>0</v>
      </c>
      <c r="G19">
        <v>0.6</v>
      </c>
      <c r="H19">
        <v>20.2</v>
      </c>
    </row>
    <row r="20" spans="1:8">
      <c r="A20" s="427" t="s">
        <v>3556</v>
      </c>
      <c r="B20" t="s">
        <v>3330</v>
      </c>
      <c r="C20" t="s">
        <v>3557</v>
      </c>
      <c r="D20" t="s">
        <v>3558</v>
      </c>
      <c r="E20">
        <v>0.5</v>
      </c>
      <c r="F20">
        <v>0.5</v>
      </c>
      <c r="G20">
        <v>1</v>
      </c>
      <c r="H20">
        <v>32.700000000000003</v>
      </c>
    </row>
    <row r="21" spans="1:8">
      <c r="A21" s="427" t="s">
        <v>3559</v>
      </c>
      <c r="B21" t="s">
        <v>3560</v>
      </c>
      <c r="C21" t="s">
        <v>3561</v>
      </c>
      <c r="D21" t="s">
        <v>3562</v>
      </c>
      <c r="E21">
        <v>0</v>
      </c>
      <c r="F21">
        <v>0</v>
      </c>
      <c r="G21">
        <v>0</v>
      </c>
      <c r="H21">
        <v>12.9</v>
      </c>
    </row>
    <row r="22" spans="1:8">
      <c r="A22" s="427" t="s">
        <v>3563</v>
      </c>
      <c r="B22" t="s">
        <v>3564</v>
      </c>
      <c r="C22" t="s">
        <v>3537</v>
      </c>
      <c r="D22" t="s">
        <v>3565</v>
      </c>
      <c r="E22">
        <v>0.5</v>
      </c>
      <c r="F22">
        <v>0</v>
      </c>
      <c r="G22">
        <v>0.5</v>
      </c>
      <c r="H22">
        <v>14.6</v>
      </c>
    </row>
    <row r="23" spans="1:8">
      <c r="A23" s="427" t="s">
        <v>3984</v>
      </c>
      <c r="B23" t="s">
        <v>3985</v>
      </c>
      <c r="C23" t="s">
        <v>3870</v>
      </c>
      <c r="D23" t="s">
        <v>3565</v>
      </c>
      <c r="E23">
        <v>1.5</v>
      </c>
      <c r="F23">
        <v>0</v>
      </c>
      <c r="G23">
        <v>1.5</v>
      </c>
      <c r="H23">
        <v>39.9</v>
      </c>
    </row>
    <row r="24" spans="1:8">
      <c r="A24" s="427" t="s">
        <v>3566</v>
      </c>
      <c r="B24" t="s">
        <v>3567</v>
      </c>
      <c r="C24" t="s">
        <v>3568</v>
      </c>
      <c r="D24" t="s">
        <v>3552</v>
      </c>
      <c r="E24">
        <v>3</v>
      </c>
      <c r="F24">
        <v>0</v>
      </c>
      <c r="G24">
        <v>3</v>
      </c>
      <c r="H24">
        <v>43.7</v>
      </c>
    </row>
    <row r="25" spans="1:8">
      <c r="A25" s="427" t="s">
        <v>3569</v>
      </c>
      <c r="B25" t="s">
        <v>3570</v>
      </c>
      <c r="C25" t="s">
        <v>3555</v>
      </c>
      <c r="D25" t="s">
        <v>3571</v>
      </c>
      <c r="E25">
        <v>1.8</v>
      </c>
      <c r="F25">
        <v>0</v>
      </c>
      <c r="G25">
        <v>1.8</v>
      </c>
      <c r="H25">
        <v>35.5</v>
      </c>
    </row>
    <row r="26" spans="1:8">
      <c r="A26" s="427" t="s">
        <v>3572</v>
      </c>
      <c r="B26" t="s">
        <v>255</v>
      </c>
      <c r="C26" t="s">
        <v>3551</v>
      </c>
      <c r="D26" t="s">
        <v>3573</v>
      </c>
      <c r="E26">
        <v>0</v>
      </c>
      <c r="F26">
        <v>0</v>
      </c>
      <c r="G26">
        <v>0</v>
      </c>
      <c r="H26">
        <v>34</v>
      </c>
    </row>
    <row r="27" spans="1:8">
      <c r="A27" s="427" t="s">
        <v>3574</v>
      </c>
      <c r="B27" t="s">
        <v>256</v>
      </c>
      <c r="C27" t="s">
        <v>3575</v>
      </c>
      <c r="D27" t="s">
        <v>3565</v>
      </c>
      <c r="E27">
        <v>2</v>
      </c>
      <c r="F27">
        <v>0</v>
      </c>
      <c r="G27">
        <v>2</v>
      </c>
      <c r="H27">
        <v>29.4</v>
      </c>
    </row>
    <row r="28" spans="1:8">
      <c r="A28" s="427" t="s">
        <v>3986</v>
      </c>
      <c r="B28" t="s">
        <v>3987</v>
      </c>
      <c r="C28" t="s">
        <v>3973</v>
      </c>
      <c r="D28" t="s">
        <v>3616</v>
      </c>
      <c r="E28">
        <v>0.6</v>
      </c>
      <c r="F28">
        <v>0</v>
      </c>
      <c r="G28">
        <v>0.6</v>
      </c>
      <c r="H28" t="s">
        <v>3458</v>
      </c>
    </row>
    <row r="29" spans="1:8">
      <c r="A29" s="427" t="s">
        <v>3576</v>
      </c>
      <c r="B29" t="s">
        <v>3577</v>
      </c>
      <c r="C29" t="s">
        <v>3568</v>
      </c>
      <c r="D29" t="s">
        <v>3573</v>
      </c>
      <c r="E29">
        <v>0</v>
      </c>
      <c r="F29">
        <v>0</v>
      </c>
      <c r="G29">
        <v>0</v>
      </c>
      <c r="H29">
        <v>6.65</v>
      </c>
    </row>
    <row r="30" spans="1:8">
      <c r="A30" s="427" t="s">
        <v>3578</v>
      </c>
      <c r="B30" t="s">
        <v>3457</v>
      </c>
      <c r="C30" t="s">
        <v>3579</v>
      </c>
      <c r="D30" t="s">
        <v>3580</v>
      </c>
      <c r="E30">
        <v>1</v>
      </c>
      <c r="F30">
        <v>0</v>
      </c>
      <c r="G30">
        <v>1</v>
      </c>
      <c r="H30">
        <v>43.5</v>
      </c>
    </row>
    <row r="31" spans="1:8">
      <c r="A31" s="427" t="s">
        <v>3988</v>
      </c>
      <c r="B31" t="s">
        <v>258</v>
      </c>
      <c r="C31" t="s">
        <v>3973</v>
      </c>
      <c r="D31" t="s">
        <v>3565</v>
      </c>
      <c r="E31">
        <v>1</v>
      </c>
      <c r="F31">
        <v>0.400063</v>
      </c>
      <c r="G31">
        <v>1.4000630000000001</v>
      </c>
      <c r="H31">
        <v>28</v>
      </c>
    </row>
    <row r="32" spans="1:8">
      <c r="A32" s="427" t="s">
        <v>3989</v>
      </c>
      <c r="B32" t="s">
        <v>3990</v>
      </c>
      <c r="C32" t="s">
        <v>3870</v>
      </c>
      <c r="D32" t="s">
        <v>3548</v>
      </c>
      <c r="E32">
        <v>3</v>
      </c>
      <c r="F32">
        <v>0</v>
      </c>
      <c r="G32">
        <v>3</v>
      </c>
    </row>
    <row r="33" spans="1:8">
      <c r="A33" s="427" t="s">
        <v>3581</v>
      </c>
      <c r="B33" t="s">
        <v>3445</v>
      </c>
      <c r="C33" t="s">
        <v>3528</v>
      </c>
      <c r="D33" t="s">
        <v>3582</v>
      </c>
      <c r="E33">
        <v>3.8</v>
      </c>
      <c r="F33">
        <v>0</v>
      </c>
      <c r="G33">
        <v>3.8</v>
      </c>
      <c r="H33">
        <v>50.2</v>
      </c>
    </row>
    <row r="34" spans="1:8">
      <c r="A34" s="427" t="s">
        <v>3583</v>
      </c>
      <c r="B34" t="s">
        <v>3584</v>
      </c>
      <c r="C34" t="s">
        <v>3585</v>
      </c>
      <c r="D34" t="s">
        <v>3531</v>
      </c>
      <c r="E34">
        <v>6</v>
      </c>
      <c r="F34">
        <v>0</v>
      </c>
      <c r="G34">
        <v>6</v>
      </c>
      <c r="H34">
        <v>152</v>
      </c>
    </row>
    <row r="35" spans="1:8">
      <c r="A35" s="427" t="s">
        <v>3991</v>
      </c>
      <c r="B35" t="s">
        <v>3992</v>
      </c>
      <c r="C35" t="s">
        <v>3973</v>
      </c>
      <c r="D35" t="s">
        <v>3610</v>
      </c>
      <c r="E35">
        <v>0</v>
      </c>
      <c r="F35">
        <v>0</v>
      </c>
      <c r="G35">
        <v>0</v>
      </c>
      <c r="H35" t="s">
        <v>1862</v>
      </c>
    </row>
    <row r="36" spans="1:8">
      <c r="A36" s="427" t="s">
        <v>3993</v>
      </c>
      <c r="B36" t="s">
        <v>3994</v>
      </c>
      <c r="C36" t="s">
        <v>3870</v>
      </c>
      <c r="D36" t="s">
        <v>3546</v>
      </c>
      <c r="E36">
        <v>0.55000000000000004</v>
      </c>
      <c r="F36">
        <v>0</v>
      </c>
      <c r="G36">
        <v>0.55000000000000004</v>
      </c>
      <c r="H36">
        <v>10.8</v>
      </c>
    </row>
    <row r="37" spans="1:8">
      <c r="A37" s="427" t="s">
        <v>2115</v>
      </c>
      <c r="B37" t="s">
        <v>2116</v>
      </c>
      <c r="C37" t="s">
        <v>3575</v>
      </c>
      <c r="D37" t="s">
        <v>3531</v>
      </c>
      <c r="E37">
        <v>2.4</v>
      </c>
      <c r="F37">
        <v>0</v>
      </c>
      <c r="G37">
        <v>2.4</v>
      </c>
      <c r="H37">
        <v>73.3</v>
      </c>
    </row>
    <row r="38" spans="1:8">
      <c r="A38" s="427" t="s">
        <v>3995</v>
      </c>
      <c r="B38" t="s">
        <v>3996</v>
      </c>
      <c r="C38" t="s">
        <v>3870</v>
      </c>
      <c r="D38" t="s">
        <v>3594</v>
      </c>
      <c r="E38">
        <v>3.2</v>
      </c>
      <c r="F38">
        <v>0</v>
      </c>
      <c r="G38">
        <v>3.2</v>
      </c>
      <c r="H38">
        <v>56</v>
      </c>
    </row>
    <row r="39" spans="1:8">
      <c r="A39" s="427" t="s">
        <v>3586</v>
      </c>
      <c r="B39" t="s">
        <v>3454</v>
      </c>
      <c r="C39" t="s">
        <v>3555</v>
      </c>
      <c r="D39" t="s">
        <v>3554</v>
      </c>
      <c r="E39">
        <v>6</v>
      </c>
      <c r="F39">
        <v>0</v>
      </c>
      <c r="G39">
        <v>6</v>
      </c>
      <c r="H39">
        <v>237</v>
      </c>
    </row>
    <row r="40" spans="1:8">
      <c r="A40" s="427" t="s">
        <v>3587</v>
      </c>
      <c r="B40" t="s">
        <v>3588</v>
      </c>
      <c r="C40" t="s">
        <v>3589</v>
      </c>
      <c r="D40" t="s">
        <v>3546</v>
      </c>
      <c r="E40">
        <v>0</v>
      </c>
      <c r="F40">
        <v>0</v>
      </c>
      <c r="G40">
        <v>0</v>
      </c>
      <c r="H40">
        <v>9.99</v>
      </c>
    </row>
    <row r="41" spans="1:8">
      <c r="A41" s="427" t="s">
        <v>3997</v>
      </c>
      <c r="B41" t="s">
        <v>3998</v>
      </c>
      <c r="C41" t="s">
        <v>3870</v>
      </c>
      <c r="D41" t="s">
        <v>3531</v>
      </c>
      <c r="E41">
        <v>3.3</v>
      </c>
      <c r="F41">
        <v>0</v>
      </c>
      <c r="G41">
        <v>3.3</v>
      </c>
      <c r="H41">
        <v>46</v>
      </c>
    </row>
    <row r="42" spans="1:8">
      <c r="A42" s="427" t="s">
        <v>2127</v>
      </c>
      <c r="B42" t="s">
        <v>2128</v>
      </c>
      <c r="C42" t="s">
        <v>3590</v>
      </c>
      <c r="D42" t="s">
        <v>3591</v>
      </c>
      <c r="E42">
        <v>4</v>
      </c>
      <c r="F42">
        <v>0</v>
      </c>
      <c r="G42">
        <v>4</v>
      </c>
      <c r="H42">
        <v>52.2</v>
      </c>
    </row>
    <row r="43" spans="1:8">
      <c r="A43" s="427" t="s">
        <v>3592</v>
      </c>
      <c r="B43" t="s">
        <v>3446</v>
      </c>
      <c r="C43" t="s">
        <v>3590</v>
      </c>
      <c r="D43" t="s">
        <v>3531</v>
      </c>
      <c r="E43">
        <v>2.4</v>
      </c>
      <c r="F43">
        <v>0</v>
      </c>
      <c r="G43">
        <v>2.4</v>
      </c>
      <c r="H43">
        <v>36.9</v>
      </c>
    </row>
    <row r="44" spans="1:8">
      <c r="A44" s="427" t="s">
        <v>2131</v>
      </c>
      <c r="B44" t="s">
        <v>2132</v>
      </c>
      <c r="C44" t="s">
        <v>3575</v>
      </c>
      <c r="D44" t="s">
        <v>3548</v>
      </c>
      <c r="E44">
        <v>4.4999999999999998E-2</v>
      </c>
      <c r="F44">
        <v>0.03</v>
      </c>
      <c r="G44">
        <v>7.4999999999999997E-2</v>
      </c>
      <c r="H44">
        <v>6.35</v>
      </c>
    </row>
    <row r="45" spans="1:8">
      <c r="A45" s="427" t="s">
        <v>3593</v>
      </c>
      <c r="B45" t="s">
        <v>3332</v>
      </c>
      <c r="C45" t="s">
        <v>3568</v>
      </c>
      <c r="D45" t="s">
        <v>3594</v>
      </c>
      <c r="E45">
        <v>1.2</v>
      </c>
      <c r="F45">
        <v>0</v>
      </c>
      <c r="G45">
        <v>1.2</v>
      </c>
      <c r="H45">
        <v>27.4</v>
      </c>
    </row>
    <row r="46" spans="1:8">
      <c r="A46" s="427" t="s">
        <v>2141</v>
      </c>
      <c r="B46" t="s">
        <v>2142</v>
      </c>
      <c r="C46" t="s">
        <v>3870</v>
      </c>
      <c r="D46" t="s">
        <v>3870</v>
      </c>
      <c r="E46">
        <v>0.2</v>
      </c>
      <c r="F46">
        <v>0.8</v>
      </c>
      <c r="G46">
        <v>1</v>
      </c>
      <c r="H46">
        <v>17.600000000000001</v>
      </c>
    </row>
    <row r="47" spans="1:8">
      <c r="A47" s="427" t="s">
        <v>3595</v>
      </c>
      <c r="B47" t="s">
        <v>3596</v>
      </c>
      <c r="C47" t="s">
        <v>3537</v>
      </c>
      <c r="D47" t="s">
        <v>3597</v>
      </c>
      <c r="E47">
        <v>0</v>
      </c>
      <c r="F47">
        <v>0</v>
      </c>
      <c r="G47">
        <v>0</v>
      </c>
      <c r="H47">
        <v>10.6</v>
      </c>
    </row>
    <row r="48" spans="1:8">
      <c r="A48" s="427" t="s">
        <v>3598</v>
      </c>
      <c r="B48" t="s">
        <v>3599</v>
      </c>
      <c r="C48" t="s">
        <v>3537</v>
      </c>
      <c r="D48" t="s">
        <v>3565</v>
      </c>
      <c r="E48">
        <v>2</v>
      </c>
      <c r="F48">
        <v>0</v>
      </c>
      <c r="G48">
        <v>2</v>
      </c>
      <c r="H48">
        <v>26.9</v>
      </c>
    </row>
    <row r="49" spans="1:8">
      <c r="A49" s="427" t="s">
        <v>2149</v>
      </c>
      <c r="B49" t="s">
        <v>2150</v>
      </c>
      <c r="C49" t="s">
        <v>3870</v>
      </c>
      <c r="D49" t="s">
        <v>3538</v>
      </c>
      <c r="E49">
        <v>0</v>
      </c>
      <c r="F49">
        <v>0</v>
      </c>
      <c r="G49">
        <v>0</v>
      </c>
      <c r="H49">
        <v>10.4</v>
      </c>
    </row>
    <row r="50" spans="1:8">
      <c r="A50" s="427" t="s">
        <v>3999</v>
      </c>
      <c r="B50" t="s">
        <v>4000</v>
      </c>
      <c r="C50" t="s">
        <v>3973</v>
      </c>
      <c r="D50" t="s">
        <v>3594</v>
      </c>
      <c r="E50">
        <v>5.5</v>
      </c>
      <c r="F50">
        <v>0</v>
      </c>
      <c r="G50">
        <v>5.5</v>
      </c>
      <c r="H50">
        <v>57.6</v>
      </c>
    </row>
    <row r="51" spans="1:8">
      <c r="A51" s="427" t="s">
        <v>2175</v>
      </c>
      <c r="B51" t="s">
        <v>2176</v>
      </c>
      <c r="C51" t="s">
        <v>3537</v>
      </c>
      <c r="D51" t="s">
        <v>3571</v>
      </c>
      <c r="E51">
        <v>2.5</v>
      </c>
      <c r="F51">
        <v>0</v>
      </c>
      <c r="G51">
        <v>2.5</v>
      </c>
      <c r="H51">
        <v>38</v>
      </c>
    </row>
    <row r="52" spans="1:8">
      <c r="A52" s="427" t="s">
        <v>4001</v>
      </c>
      <c r="B52" t="s">
        <v>4002</v>
      </c>
      <c r="C52" t="s">
        <v>3870</v>
      </c>
      <c r="D52" t="s">
        <v>3571</v>
      </c>
      <c r="E52">
        <v>0.6</v>
      </c>
      <c r="F52">
        <v>0</v>
      </c>
      <c r="G52">
        <v>0.6</v>
      </c>
      <c r="H52">
        <v>29</v>
      </c>
    </row>
    <row r="53" spans="1:8">
      <c r="A53" s="427" t="s">
        <v>4003</v>
      </c>
      <c r="B53" t="s">
        <v>4004</v>
      </c>
      <c r="C53" t="s">
        <v>3973</v>
      </c>
      <c r="D53" t="s">
        <v>3531</v>
      </c>
      <c r="E53">
        <v>0.7</v>
      </c>
      <c r="F53">
        <v>0</v>
      </c>
      <c r="G53">
        <v>0.7</v>
      </c>
      <c r="H53">
        <v>26.5</v>
      </c>
    </row>
    <row r="54" spans="1:8">
      <c r="A54" s="427" t="s">
        <v>4005</v>
      </c>
      <c r="B54" t="s">
        <v>4006</v>
      </c>
      <c r="C54" t="s">
        <v>3870</v>
      </c>
      <c r="D54" t="s">
        <v>3558</v>
      </c>
      <c r="E54">
        <v>0.85</v>
      </c>
      <c r="F54">
        <v>0</v>
      </c>
      <c r="G54">
        <v>0.85</v>
      </c>
      <c r="H54">
        <v>25.6</v>
      </c>
    </row>
    <row r="55" spans="1:8">
      <c r="A55" s="427" t="s">
        <v>3600</v>
      </c>
      <c r="B55" t="s">
        <v>3601</v>
      </c>
      <c r="C55" t="s">
        <v>3528</v>
      </c>
      <c r="D55" t="s">
        <v>3602</v>
      </c>
      <c r="E55">
        <v>0.5</v>
      </c>
      <c r="F55">
        <v>0.7</v>
      </c>
      <c r="G55">
        <v>1.2</v>
      </c>
      <c r="H55">
        <v>45.4</v>
      </c>
    </row>
    <row r="56" spans="1:8">
      <c r="A56" s="427" t="s">
        <v>3603</v>
      </c>
      <c r="B56" t="s">
        <v>3604</v>
      </c>
      <c r="C56" t="s">
        <v>3551</v>
      </c>
      <c r="D56" t="s">
        <v>3552</v>
      </c>
      <c r="E56">
        <v>5</v>
      </c>
      <c r="F56">
        <v>0</v>
      </c>
      <c r="G56">
        <v>5</v>
      </c>
      <c r="H56">
        <v>58.8</v>
      </c>
    </row>
    <row r="57" spans="1:8">
      <c r="A57" s="427" t="s">
        <v>3605</v>
      </c>
      <c r="B57" t="s">
        <v>3606</v>
      </c>
      <c r="C57" t="s">
        <v>3590</v>
      </c>
      <c r="D57" t="s">
        <v>3607</v>
      </c>
      <c r="E57">
        <v>3.5</v>
      </c>
      <c r="F57">
        <v>0</v>
      </c>
      <c r="G57">
        <v>3.5</v>
      </c>
      <c r="H57" t="s">
        <v>3458</v>
      </c>
    </row>
    <row r="58" spans="1:8">
      <c r="A58" s="427" t="s">
        <v>3608</v>
      </c>
      <c r="B58" t="s">
        <v>3328</v>
      </c>
      <c r="C58" t="s">
        <v>3557</v>
      </c>
      <c r="D58" t="s">
        <v>3552</v>
      </c>
      <c r="E58">
        <v>0.5</v>
      </c>
      <c r="F58">
        <v>0</v>
      </c>
      <c r="G58">
        <v>0.5</v>
      </c>
      <c r="H58">
        <v>21.9</v>
      </c>
    </row>
    <row r="59" spans="1:8">
      <c r="A59" s="427" t="s">
        <v>4007</v>
      </c>
      <c r="B59" t="s">
        <v>4008</v>
      </c>
      <c r="C59" t="s">
        <v>3973</v>
      </c>
      <c r="D59" t="s">
        <v>3672</v>
      </c>
      <c r="E59">
        <v>0.5</v>
      </c>
      <c r="F59">
        <v>0.17</v>
      </c>
      <c r="G59">
        <v>0.67</v>
      </c>
      <c r="H59">
        <v>9.2899999999999991</v>
      </c>
    </row>
    <row r="60" spans="1:8">
      <c r="A60" s="427" t="s">
        <v>3609</v>
      </c>
      <c r="B60" t="s">
        <v>3329</v>
      </c>
      <c r="C60" t="s">
        <v>3575</v>
      </c>
      <c r="D60" t="s">
        <v>3610</v>
      </c>
      <c r="E60">
        <v>0.83</v>
      </c>
      <c r="F60">
        <v>0</v>
      </c>
      <c r="G60">
        <v>0.83</v>
      </c>
      <c r="H60">
        <v>12.2</v>
      </c>
    </row>
    <row r="61" spans="1:8">
      <c r="A61" s="427" t="s">
        <v>4009</v>
      </c>
      <c r="B61" t="s">
        <v>4010</v>
      </c>
      <c r="C61" t="s">
        <v>3973</v>
      </c>
      <c r="D61" t="s">
        <v>3594</v>
      </c>
      <c r="E61">
        <v>0.6</v>
      </c>
      <c r="F61">
        <v>0</v>
      </c>
      <c r="G61">
        <v>0.6</v>
      </c>
      <c r="H61">
        <v>14.8</v>
      </c>
    </row>
    <row r="62" spans="1:8">
      <c r="A62" s="427" t="s">
        <v>3611</v>
      </c>
      <c r="B62" t="s">
        <v>3612</v>
      </c>
      <c r="C62" t="s">
        <v>3537</v>
      </c>
      <c r="D62" t="s">
        <v>3613</v>
      </c>
      <c r="E62">
        <v>0.3</v>
      </c>
      <c r="F62">
        <v>0.41</v>
      </c>
      <c r="G62">
        <v>0.71</v>
      </c>
    </row>
    <row r="63" spans="1:8">
      <c r="A63" s="427" t="s">
        <v>3614</v>
      </c>
      <c r="B63" t="s">
        <v>3615</v>
      </c>
      <c r="C63" t="s">
        <v>3551</v>
      </c>
      <c r="D63" t="s">
        <v>3616</v>
      </c>
      <c r="E63">
        <v>0</v>
      </c>
      <c r="F63">
        <v>0</v>
      </c>
      <c r="G63">
        <v>0</v>
      </c>
    </row>
    <row r="64" spans="1:8">
      <c r="A64" s="427" t="s">
        <v>4011</v>
      </c>
      <c r="B64" t="s">
        <v>4012</v>
      </c>
      <c r="C64" t="s">
        <v>3870</v>
      </c>
      <c r="D64" t="s">
        <v>3594</v>
      </c>
      <c r="E64">
        <v>0</v>
      </c>
      <c r="F64">
        <v>0</v>
      </c>
      <c r="G64">
        <v>0</v>
      </c>
      <c r="H64">
        <v>23.7</v>
      </c>
    </row>
    <row r="65" spans="1:8">
      <c r="A65" s="427" t="s">
        <v>3617</v>
      </c>
      <c r="B65" t="s">
        <v>3618</v>
      </c>
      <c r="C65" t="s">
        <v>3551</v>
      </c>
      <c r="D65" t="s">
        <v>3619</v>
      </c>
      <c r="E65">
        <v>0.36</v>
      </c>
      <c r="F65">
        <v>0</v>
      </c>
      <c r="G65">
        <v>0.36</v>
      </c>
      <c r="H65">
        <v>22.9</v>
      </c>
    </row>
    <row r="66" spans="1:8">
      <c r="A66" s="427" t="s">
        <v>3620</v>
      </c>
      <c r="B66" t="s">
        <v>3621</v>
      </c>
      <c r="C66" t="s">
        <v>3551</v>
      </c>
      <c r="D66" t="s">
        <v>3622</v>
      </c>
      <c r="E66">
        <v>2</v>
      </c>
      <c r="F66">
        <v>0</v>
      </c>
      <c r="G66">
        <v>2</v>
      </c>
      <c r="H66">
        <v>29.6</v>
      </c>
    </row>
    <row r="67" spans="1:8">
      <c r="A67" s="427" t="s">
        <v>3623</v>
      </c>
      <c r="B67" t="s">
        <v>3327</v>
      </c>
      <c r="C67" t="s">
        <v>3568</v>
      </c>
      <c r="D67" t="s">
        <v>3597</v>
      </c>
      <c r="E67">
        <v>4</v>
      </c>
      <c r="F67">
        <v>0</v>
      </c>
      <c r="G67">
        <v>4</v>
      </c>
      <c r="H67">
        <v>49.5</v>
      </c>
    </row>
    <row r="68" spans="1:8">
      <c r="A68" s="427" t="s">
        <v>3624</v>
      </c>
      <c r="B68" t="s">
        <v>3625</v>
      </c>
      <c r="C68" t="s">
        <v>3537</v>
      </c>
      <c r="D68" t="s">
        <v>3531</v>
      </c>
      <c r="E68">
        <v>2.5</v>
      </c>
      <c r="F68">
        <v>0</v>
      </c>
      <c r="G68">
        <v>2.5</v>
      </c>
      <c r="H68">
        <v>32.799999999999997</v>
      </c>
    </row>
    <row r="69" spans="1:8">
      <c r="A69" s="427" t="s">
        <v>3626</v>
      </c>
      <c r="B69" t="s">
        <v>3627</v>
      </c>
      <c r="C69" t="s">
        <v>3557</v>
      </c>
      <c r="D69" t="s">
        <v>3558</v>
      </c>
      <c r="E69">
        <v>0.3</v>
      </c>
      <c r="F69">
        <v>0</v>
      </c>
      <c r="G69">
        <v>0.3</v>
      </c>
      <c r="H69">
        <v>18.899999999999999</v>
      </c>
    </row>
    <row r="70" spans="1:8">
      <c r="A70" s="427" t="s">
        <v>3628</v>
      </c>
      <c r="B70" t="s">
        <v>3629</v>
      </c>
      <c r="C70" t="s">
        <v>3575</v>
      </c>
      <c r="D70" t="s">
        <v>3591</v>
      </c>
      <c r="E70">
        <v>9</v>
      </c>
      <c r="F70">
        <v>3</v>
      </c>
      <c r="G70">
        <v>12</v>
      </c>
      <c r="H70">
        <v>578</v>
      </c>
    </row>
    <row r="71" spans="1:8">
      <c r="A71" s="427" t="s">
        <v>3630</v>
      </c>
      <c r="B71" t="s">
        <v>269</v>
      </c>
      <c r="C71" t="s">
        <v>3631</v>
      </c>
      <c r="D71" t="s">
        <v>3565</v>
      </c>
      <c r="E71">
        <v>4.3</v>
      </c>
      <c r="F71">
        <v>0</v>
      </c>
      <c r="G71">
        <v>4.3</v>
      </c>
      <c r="H71">
        <v>73.099999999999994</v>
      </c>
    </row>
    <row r="72" spans="1:8">
      <c r="A72" s="427" t="s">
        <v>3632</v>
      </c>
      <c r="B72" t="s">
        <v>3447</v>
      </c>
      <c r="C72" t="s">
        <v>3590</v>
      </c>
      <c r="D72" t="s">
        <v>3534</v>
      </c>
      <c r="E72">
        <v>1.1599999999999999</v>
      </c>
      <c r="F72">
        <v>0</v>
      </c>
      <c r="G72">
        <v>1.1599999999999999</v>
      </c>
      <c r="H72">
        <v>26.2</v>
      </c>
    </row>
    <row r="73" spans="1:8">
      <c r="A73" s="427" t="s">
        <v>3633</v>
      </c>
      <c r="B73" t="s">
        <v>275</v>
      </c>
      <c r="C73" t="s">
        <v>3537</v>
      </c>
      <c r="D73" t="s">
        <v>3571</v>
      </c>
      <c r="E73">
        <v>0.31</v>
      </c>
      <c r="F73">
        <v>0</v>
      </c>
      <c r="G73">
        <v>0.31</v>
      </c>
      <c r="H73">
        <v>33.799999999999997</v>
      </c>
    </row>
    <row r="74" spans="1:8">
      <c r="A74" s="427" t="s">
        <v>3634</v>
      </c>
      <c r="B74" t="s">
        <v>276</v>
      </c>
      <c r="C74" t="s">
        <v>3635</v>
      </c>
      <c r="D74" t="s">
        <v>3636</v>
      </c>
      <c r="E74">
        <v>0.8</v>
      </c>
      <c r="F74">
        <v>0</v>
      </c>
      <c r="G74">
        <v>0.8</v>
      </c>
      <c r="H74">
        <v>16.600000000000001</v>
      </c>
    </row>
    <row r="75" spans="1:8">
      <c r="A75" s="427" t="s">
        <v>3513</v>
      </c>
      <c r="B75" t="s">
        <v>3637</v>
      </c>
      <c r="C75" t="s">
        <v>3575</v>
      </c>
      <c r="D75" t="s">
        <v>3515</v>
      </c>
      <c r="E75">
        <v>9.9499999999999993</v>
      </c>
      <c r="F75">
        <v>0</v>
      </c>
      <c r="G75">
        <v>9.9499999999999993</v>
      </c>
      <c r="H75">
        <v>187</v>
      </c>
    </row>
    <row r="76" spans="1:8">
      <c r="A76" s="427" t="s">
        <v>3638</v>
      </c>
      <c r="B76" t="s">
        <v>3639</v>
      </c>
      <c r="C76" t="s">
        <v>3590</v>
      </c>
      <c r="D76" t="s">
        <v>3619</v>
      </c>
      <c r="E76">
        <v>0</v>
      </c>
      <c r="F76">
        <v>0</v>
      </c>
      <c r="G76">
        <v>0</v>
      </c>
      <c r="H76">
        <v>5.83</v>
      </c>
    </row>
    <row r="77" spans="1:8">
      <c r="A77" s="427" t="s">
        <v>3640</v>
      </c>
      <c r="B77" t="s">
        <v>3333</v>
      </c>
      <c r="C77" t="s">
        <v>3641</v>
      </c>
      <c r="D77" t="s">
        <v>3571</v>
      </c>
      <c r="E77">
        <v>3.5</v>
      </c>
      <c r="F77">
        <v>0</v>
      </c>
      <c r="G77">
        <v>3.5</v>
      </c>
      <c r="H77">
        <v>77</v>
      </c>
    </row>
    <row r="78" spans="1:8">
      <c r="A78" s="427" t="s">
        <v>4013</v>
      </c>
      <c r="B78" t="s">
        <v>4014</v>
      </c>
      <c r="C78" t="s">
        <v>3973</v>
      </c>
      <c r="D78" t="s">
        <v>4015</v>
      </c>
      <c r="E78">
        <v>0</v>
      </c>
      <c r="F78">
        <v>0</v>
      </c>
      <c r="G78">
        <v>0</v>
      </c>
      <c r="H78">
        <v>10.5</v>
      </c>
    </row>
    <row r="79" spans="1:8">
      <c r="A79" s="427" t="s">
        <v>2216</v>
      </c>
      <c r="B79" t="s">
        <v>280</v>
      </c>
      <c r="C79" t="s">
        <v>3870</v>
      </c>
      <c r="D79" t="s">
        <v>3562</v>
      </c>
      <c r="E79">
        <v>3</v>
      </c>
      <c r="F79">
        <v>0.5</v>
      </c>
      <c r="G79">
        <v>3.5</v>
      </c>
      <c r="H79">
        <v>313</v>
      </c>
    </row>
    <row r="80" spans="1:8">
      <c r="A80" s="427" t="s">
        <v>4016</v>
      </c>
      <c r="B80" t="s">
        <v>3871</v>
      </c>
      <c r="C80" t="s">
        <v>3870</v>
      </c>
      <c r="D80" t="s">
        <v>3597</v>
      </c>
      <c r="E80">
        <v>1.2</v>
      </c>
      <c r="F80">
        <v>0.3</v>
      </c>
      <c r="G80">
        <v>1.5</v>
      </c>
      <c r="H80">
        <v>22.8</v>
      </c>
    </row>
    <row r="81" spans="1:8">
      <c r="A81" s="427" t="s">
        <v>3642</v>
      </c>
      <c r="B81" t="s">
        <v>3643</v>
      </c>
      <c r="C81" t="s">
        <v>3555</v>
      </c>
      <c r="D81" t="s">
        <v>3644</v>
      </c>
      <c r="E81">
        <v>3.5</v>
      </c>
      <c r="F81">
        <v>0</v>
      </c>
      <c r="G81">
        <v>3.5</v>
      </c>
      <c r="H81">
        <v>50.8</v>
      </c>
    </row>
    <row r="82" spans="1:8">
      <c r="A82" s="427" t="s">
        <v>3645</v>
      </c>
      <c r="B82" t="s">
        <v>285</v>
      </c>
      <c r="C82" t="s">
        <v>3568</v>
      </c>
      <c r="D82" t="s">
        <v>3597</v>
      </c>
      <c r="E82">
        <v>0</v>
      </c>
      <c r="F82">
        <v>0</v>
      </c>
      <c r="G82">
        <v>0</v>
      </c>
      <c r="H82">
        <v>20.2</v>
      </c>
    </row>
    <row r="83" spans="1:8">
      <c r="A83" s="427" t="s">
        <v>2218</v>
      </c>
      <c r="B83" t="s">
        <v>287</v>
      </c>
      <c r="C83" t="s">
        <v>3555</v>
      </c>
      <c r="D83" t="s">
        <v>3552</v>
      </c>
      <c r="E83">
        <v>5</v>
      </c>
      <c r="F83">
        <v>0</v>
      </c>
      <c r="G83">
        <v>5</v>
      </c>
      <c r="H83">
        <v>97.6</v>
      </c>
    </row>
    <row r="84" spans="1:8">
      <c r="A84" s="427" t="s">
        <v>2223</v>
      </c>
      <c r="B84" t="s">
        <v>1953</v>
      </c>
      <c r="C84" t="s">
        <v>3551</v>
      </c>
      <c r="D84" t="s">
        <v>3594</v>
      </c>
      <c r="E84">
        <v>1</v>
      </c>
      <c r="F84">
        <v>0</v>
      </c>
      <c r="G84">
        <v>1</v>
      </c>
      <c r="H84">
        <v>14</v>
      </c>
    </row>
    <row r="85" spans="1:8">
      <c r="A85" s="427" t="s">
        <v>4017</v>
      </c>
      <c r="B85" t="s">
        <v>295</v>
      </c>
      <c r="C85" t="s">
        <v>3973</v>
      </c>
      <c r="D85" t="s">
        <v>3857</v>
      </c>
      <c r="E85">
        <v>0.3</v>
      </c>
      <c r="F85">
        <v>0</v>
      </c>
      <c r="G85">
        <v>0.3</v>
      </c>
      <c r="H85">
        <v>14.2</v>
      </c>
    </row>
    <row r="86" spans="1:8">
      <c r="A86" s="427" t="s">
        <v>4018</v>
      </c>
      <c r="B86" t="s">
        <v>299</v>
      </c>
      <c r="C86" t="s">
        <v>3973</v>
      </c>
      <c r="D86" t="s">
        <v>3672</v>
      </c>
      <c r="E86">
        <v>1.2</v>
      </c>
      <c r="F86">
        <v>0</v>
      </c>
      <c r="G86">
        <v>1.2</v>
      </c>
      <c r="H86">
        <v>19.100000000000001</v>
      </c>
    </row>
    <row r="87" spans="1:8">
      <c r="A87" s="427" t="s">
        <v>2225</v>
      </c>
      <c r="B87" t="s">
        <v>301</v>
      </c>
      <c r="C87" t="s">
        <v>3545</v>
      </c>
      <c r="D87" t="s">
        <v>3646</v>
      </c>
      <c r="E87">
        <v>1</v>
      </c>
      <c r="F87">
        <v>0</v>
      </c>
      <c r="G87">
        <v>1</v>
      </c>
      <c r="H87">
        <v>19.5</v>
      </c>
    </row>
    <row r="88" spans="1:8">
      <c r="A88" s="427" t="s">
        <v>3647</v>
      </c>
      <c r="B88" t="s">
        <v>3648</v>
      </c>
      <c r="C88" t="s">
        <v>3551</v>
      </c>
      <c r="D88" t="s">
        <v>3649</v>
      </c>
      <c r="E88">
        <v>0.4</v>
      </c>
      <c r="F88">
        <v>1.2</v>
      </c>
      <c r="G88">
        <v>1.6</v>
      </c>
      <c r="H88">
        <v>38.6</v>
      </c>
    </row>
    <row r="89" spans="1:8">
      <c r="A89" s="427" t="s">
        <v>4019</v>
      </c>
      <c r="B89" t="s">
        <v>305</v>
      </c>
      <c r="C89" t="s">
        <v>3870</v>
      </c>
      <c r="D89" t="s">
        <v>3597</v>
      </c>
      <c r="E89">
        <v>0</v>
      </c>
      <c r="F89">
        <v>0</v>
      </c>
      <c r="G89">
        <v>0</v>
      </c>
      <c r="H89">
        <v>7.45</v>
      </c>
    </row>
    <row r="90" spans="1:8">
      <c r="A90" s="427" t="s">
        <v>3650</v>
      </c>
      <c r="B90" t="s">
        <v>306</v>
      </c>
      <c r="C90" t="s">
        <v>3528</v>
      </c>
      <c r="D90" t="s">
        <v>3646</v>
      </c>
      <c r="E90">
        <v>1.4</v>
      </c>
      <c r="F90">
        <v>0</v>
      </c>
      <c r="G90">
        <v>1.4</v>
      </c>
      <c r="H90">
        <v>27.9</v>
      </c>
    </row>
    <row r="91" spans="1:8">
      <c r="A91" s="427" t="s">
        <v>3651</v>
      </c>
      <c r="B91" t="s">
        <v>307</v>
      </c>
      <c r="C91" t="s">
        <v>3652</v>
      </c>
      <c r="D91" t="s">
        <v>3591</v>
      </c>
      <c r="E91">
        <v>0.5</v>
      </c>
      <c r="F91">
        <v>0</v>
      </c>
      <c r="G91">
        <v>0.5</v>
      </c>
      <c r="H91">
        <v>29.9</v>
      </c>
    </row>
    <row r="92" spans="1:8">
      <c r="A92" s="427" t="s">
        <v>4020</v>
      </c>
      <c r="B92" t="s">
        <v>4021</v>
      </c>
      <c r="C92" t="s">
        <v>3973</v>
      </c>
      <c r="D92" t="s">
        <v>3571</v>
      </c>
      <c r="E92">
        <v>3.5</v>
      </c>
      <c r="F92">
        <v>0</v>
      </c>
      <c r="G92">
        <v>3.5</v>
      </c>
      <c r="H92">
        <v>54.5</v>
      </c>
    </row>
    <row r="93" spans="1:8">
      <c r="A93" s="427" t="s">
        <v>3653</v>
      </c>
      <c r="B93" t="s">
        <v>3448</v>
      </c>
      <c r="C93" t="s">
        <v>3589</v>
      </c>
      <c r="D93" t="s">
        <v>3654</v>
      </c>
      <c r="E93">
        <v>3</v>
      </c>
      <c r="F93">
        <v>0</v>
      </c>
      <c r="G93">
        <v>3</v>
      </c>
      <c r="H93">
        <v>85.6</v>
      </c>
    </row>
    <row r="94" spans="1:8">
      <c r="A94" s="427" t="s">
        <v>3655</v>
      </c>
      <c r="B94" t="s">
        <v>311</v>
      </c>
      <c r="C94" t="s">
        <v>3568</v>
      </c>
      <c r="D94" t="s">
        <v>3531</v>
      </c>
      <c r="E94">
        <v>2.5</v>
      </c>
      <c r="F94">
        <v>0</v>
      </c>
      <c r="G94">
        <v>2.5</v>
      </c>
      <c r="H94">
        <v>35.1</v>
      </c>
    </row>
    <row r="95" spans="1:8">
      <c r="A95" s="427" t="s">
        <v>3656</v>
      </c>
      <c r="B95" t="s">
        <v>3449</v>
      </c>
      <c r="C95" t="s">
        <v>3575</v>
      </c>
      <c r="D95" t="s">
        <v>3610</v>
      </c>
      <c r="E95">
        <v>0</v>
      </c>
      <c r="F95">
        <v>0</v>
      </c>
      <c r="G95">
        <v>0</v>
      </c>
      <c r="H95">
        <v>28.5</v>
      </c>
    </row>
    <row r="96" spans="1:8">
      <c r="A96" s="427" t="s">
        <v>4022</v>
      </c>
      <c r="B96" t="s">
        <v>315</v>
      </c>
      <c r="C96" t="s">
        <v>3973</v>
      </c>
      <c r="D96" t="s">
        <v>3565</v>
      </c>
      <c r="E96">
        <v>0</v>
      </c>
      <c r="F96">
        <v>0</v>
      </c>
      <c r="G96">
        <v>0</v>
      </c>
      <c r="H96">
        <v>10.4</v>
      </c>
    </row>
    <row r="97" spans="1:8">
      <c r="A97" s="427" t="s">
        <v>3657</v>
      </c>
      <c r="B97" t="s">
        <v>3658</v>
      </c>
      <c r="C97" t="s">
        <v>3659</v>
      </c>
      <c r="D97" t="s">
        <v>3660</v>
      </c>
      <c r="E97">
        <v>0.64565799999999995</v>
      </c>
      <c r="F97">
        <v>0</v>
      </c>
      <c r="G97">
        <v>0.64565799999999995</v>
      </c>
    </row>
    <row r="98" spans="1:8">
      <c r="A98" s="427" t="s">
        <v>3661</v>
      </c>
      <c r="B98" t="s">
        <v>3662</v>
      </c>
      <c r="C98" t="s">
        <v>3557</v>
      </c>
      <c r="D98" t="s">
        <v>3663</v>
      </c>
      <c r="E98">
        <v>1.5</v>
      </c>
      <c r="F98">
        <v>0</v>
      </c>
      <c r="G98">
        <v>1.5</v>
      </c>
    </row>
    <row r="99" spans="1:8">
      <c r="A99" s="427" t="s">
        <v>3664</v>
      </c>
      <c r="B99" t="s">
        <v>3665</v>
      </c>
      <c r="C99" t="s">
        <v>3537</v>
      </c>
      <c r="D99" t="s">
        <v>3646</v>
      </c>
      <c r="E99">
        <v>0.8</v>
      </c>
      <c r="F99">
        <v>0</v>
      </c>
      <c r="G99">
        <v>0.8</v>
      </c>
      <c r="H99">
        <v>31.5</v>
      </c>
    </row>
    <row r="100" spans="1:8">
      <c r="A100" s="427" t="s">
        <v>3666</v>
      </c>
      <c r="B100" t="s">
        <v>3667</v>
      </c>
      <c r="C100" t="s">
        <v>3590</v>
      </c>
      <c r="D100" t="s">
        <v>3534</v>
      </c>
      <c r="E100">
        <v>2.5</v>
      </c>
      <c r="F100">
        <v>0</v>
      </c>
      <c r="G100">
        <v>2.5</v>
      </c>
      <c r="H100">
        <v>43.3</v>
      </c>
    </row>
    <row r="101" spans="1:8">
      <c r="A101" s="427" t="s">
        <v>3668</v>
      </c>
      <c r="B101" t="s">
        <v>3669</v>
      </c>
      <c r="C101" t="s">
        <v>3652</v>
      </c>
      <c r="D101" t="s">
        <v>3610</v>
      </c>
      <c r="E101">
        <v>2.2999999999999998</v>
      </c>
      <c r="F101">
        <v>0.2</v>
      </c>
      <c r="G101">
        <v>2.5</v>
      </c>
      <c r="H101">
        <v>32.1</v>
      </c>
    </row>
    <row r="102" spans="1:8">
      <c r="A102" s="427" t="s">
        <v>3670</v>
      </c>
      <c r="B102" t="s">
        <v>322</v>
      </c>
      <c r="C102" t="s">
        <v>3551</v>
      </c>
      <c r="D102" t="s">
        <v>3591</v>
      </c>
      <c r="E102">
        <v>6</v>
      </c>
      <c r="F102">
        <v>0</v>
      </c>
      <c r="G102">
        <v>6</v>
      </c>
      <c r="H102">
        <v>365</v>
      </c>
    </row>
    <row r="103" spans="1:8">
      <c r="A103" s="427" t="s">
        <v>3671</v>
      </c>
      <c r="B103" t="s">
        <v>324</v>
      </c>
      <c r="C103" t="s">
        <v>3590</v>
      </c>
      <c r="D103" t="s">
        <v>3672</v>
      </c>
      <c r="E103">
        <v>1.3</v>
      </c>
      <c r="F103">
        <v>0</v>
      </c>
      <c r="G103">
        <v>1.3</v>
      </c>
      <c r="H103">
        <v>45.3</v>
      </c>
    </row>
    <row r="104" spans="1:8">
      <c r="A104" s="427" t="s">
        <v>3673</v>
      </c>
      <c r="B104" t="s">
        <v>330</v>
      </c>
      <c r="C104" t="s">
        <v>3541</v>
      </c>
      <c r="D104" t="s">
        <v>3571</v>
      </c>
      <c r="E104">
        <v>3.6</v>
      </c>
      <c r="F104">
        <v>0</v>
      </c>
      <c r="G104">
        <v>3.6</v>
      </c>
      <c r="H104">
        <v>48</v>
      </c>
    </row>
    <row r="105" spans="1:8">
      <c r="A105" s="427" t="s">
        <v>2248</v>
      </c>
      <c r="B105" t="s">
        <v>1515</v>
      </c>
      <c r="C105" t="s">
        <v>3555</v>
      </c>
      <c r="D105" t="s">
        <v>3573</v>
      </c>
      <c r="E105">
        <v>3</v>
      </c>
      <c r="F105">
        <v>0</v>
      </c>
      <c r="G105">
        <v>3</v>
      </c>
      <c r="H105">
        <v>59.1</v>
      </c>
    </row>
    <row r="106" spans="1:8">
      <c r="A106" s="427" t="s">
        <v>3674</v>
      </c>
      <c r="B106" t="s">
        <v>3675</v>
      </c>
      <c r="C106" t="s">
        <v>3555</v>
      </c>
      <c r="D106" t="s">
        <v>3529</v>
      </c>
      <c r="E106">
        <v>0</v>
      </c>
      <c r="F106">
        <v>0</v>
      </c>
      <c r="G106">
        <v>0</v>
      </c>
      <c r="H106">
        <v>25.7</v>
      </c>
    </row>
    <row r="107" spans="1:8">
      <c r="A107" s="427" t="s">
        <v>3676</v>
      </c>
      <c r="B107" t="s">
        <v>3677</v>
      </c>
      <c r="C107" t="s">
        <v>3537</v>
      </c>
      <c r="D107" t="s">
        <v>3531</v>
      </c>
      <c r="E107">
        <v>1</v>
      </c>
      <c r="F107">
        <v>0</v>
      </c>
      <c r="G107">
        <v>1</v>
      </c>
      <c r="H107">
        <v>75.2</v>
      </c>
    </row>
    <row r="108" spans="1:8">
      <c r="A108" s="427" t="s">
        <v>2252</v>
      </c>
      <c r="B108" t="s">
        <v>2253</v>
      </c>
      <c r="C108" t="s">
        <v>3870</v>
      </c>
      <c r="D108" t="s">
        <v>3546</v>
      </c>
      <c r="E108">
        <v>0.31840000000000002</v>
      </c>
      <c r="F108">
        <v>0</v>
      </c>
      <c r="G108">
        <v>0.31840000000000002</v>
      </c>
      <c r="H108">
        <v>17.3</v>
      </c>
    </row>
    <row r="109" spans="1:8">
      <c r="A109" s="427" t="s">
        <v>3678</v>
      </c>
      <c r="B109" t="s">
        <v>3455</v>
      </c>
      <c r="C109" t="s">
        <v>3590</v>
      </c>
      <c r="D109" t="s">
        <v>3646</v>
      </c>
      <c r="E109">
        <v>0</v>
      </c>
      <c r="F109">
        <v>0</v>
      </c>
      <c r="G109">
        <v>0</v>
      </c>
      <c r="H109">
        <v>8.6</v>
      </c>
    </row>
    <row r="110" spans="1:8">
      <c r="A110" s="427" t="s">
        <v>3679</v>
      </c>
      <c r="B110" t="s">
        <v>3680</v>
      </c>
      <c r="C110" t="s">
        <v>3537</v>
      </c>
      <c r="D110" t="s">
        <v>3660</v>
      </c>
      <c r="E110">
        <v>2</v>
      </c>
      <c r="F110">
        <v>2.5</v>
      </c>
      <c r="G110">
        <v>4.5</v>
      </c>
      <c r="H110">
        <v>63.4</v>
      </c>
    </row>
    <row r="111" spans="1:8">
      <c r="A111" s="427" t="s">
        <v>4023</v>
      </c>
      <c r="B111" t="s">
        <v>4024</v>
      </c>
      <c r="C111" t="s">
        <v>3870</v>
      </c>
      <c r="D111" t="s">
        <v>3558</v>
      </c>
      <c r="E111">
        <v>0.3</v>
      </c>
      <c r="F111">
        <v>0</v>
      </c>
      <c r="G111">
        <v>0.3</v>
      </c>
      <c r="H111">
        <v>25.6</v>
      </c>
    </row>
    <row r="112" spans="1:8">
      <c r="A112" s="427" t="s">
        <v>3681</v>
      </c>
      <c r="B112" t="s">
        <v>340</v>
      </c>
      <c r="C112" t="s">
        <v>3557</v>
      </c>
      <c r="D112" t="s">
        <v>3594</v>
      </c>
      <c r="E112">
        <v>16</v>
      </c>
      <c r="F112">
        <v>0</v>
      </c>
      <c r="G112">
        <v>16</v>
      </c>
      <c r="H112">
        <v>885</v>
      </c>
    </row>
    <row r="113" spans="1:8">
      <c r="A113" s="427" t="s">
        <v>3682</v>
      </c>
      <c r="B113" t="s">
        <v>3683</v>
      </c>
      <c r="C113" t="s">
        <v>3555</v>
      </c>
      <c r="D113" t="s">
        <v>3619</v>
      </c>
      <c r="E113">
        <v>0.49403999999999998</v>
      </c>
      <c r="F113">
        <v>0</v>
      </c>
      <c r="G113">
        <v>0.49403999999999998</v>
      </c>
      <c r="H113">
        <v>37.4</v>
      </c>
    </row>
    <row r="114" spans="1:8">
      <c r="A114" s="427" t="s">
        <v>3684</v>
      </c>
      <c r="B114" t="s">
        <v>341</v>
      </c>
      <c r="C114" t="s">
        <v>3551</v>
      </c>
      <c r="D114" t="s">
        <v>3562</v>
      </c>
      <c r="E114">
        <v>1</v>
      </c>
      <c r="F114">
        <v>0</v>
      </c>
      <c r="G114">
        <v>1</v>
      </c>
      <c r="H114">
        <v>38.700000000000003</v>
      </c>
    </row>
    <row r="115" spans="1:8">
      <c r="A115" s="427" t="s">
        <v>3685</v>
      </c>
      <c r="B115" t="s">
        <v>3335</v>
      </c>
      <c r="C115" t="s">
        <v>3555</v>
      </c>
      <c r="D115" t="s">
        <v>3594</v>
      </c>
      <c r="E115">
        <v>0.2</v>
      </c>
      <c r="F115">
        <v>0</v>
      </c>
      <c r="G115">
        <v>0.2</v>
      </c>
      <c r="H115">
        <v>16</v>
      </c>
    </row>
    <row r="116" spans="1:8">
      <c r="A116" s="427" t="s">
        <v>3686</v>
      </c>
      <c r="B116" t="s">
        <v>3687</v>
      </c>
      <c r="C116" t="s">
        <v>3537</v>
      </c>
      <c r="D116" t="s">
        <v>3571</v>
      </c>
      <c r="E116">
        <v>0</v>
      </c>
      <c r="F116">
        <v>0</v>
      </c>
      <c r="G116">
        <v>0</v>
      </c>
      <c r="H116">
        <v>79.900000000000006</v>
      </c>
    </row>
    <row r="117" spans="1:8">
      <c r="A117" s="427" t="s">
        <v>2266</v>
      </c>
      <c r="B117" t="s">
        <v>1948</v>
      </c>
      <c r="C117" t="s">
        <v>3537</v>
      </c>
      <c r="D117" t="s">
        <v>3571</v>
      </c>
      <c r="E117">
        <v>0.5</v>
      </c>
      <c r="F117">
        <v>0</v>
      </c>
      <c r="G117">
        <v>0.5</v>
      </c>
      <c r="H117">
        <v>32.200000000000003</v>
      </c>
    </row>
    <row r="118" spans="1:8">
      <c r="A118" s="427" t="s">
        <v>4025</v>
      </c>
      <c r="B118" t="s">
        <v>1533</v>
      </c>
      <c r="C118" t="s">
        <v>3870</v>
      </c>
      <c r="D118" t="s">
        <v>3534</v>
      </c>
      <c r="E118">
        <v>2.5</v>
      </c>
      <c r="F118">
        <v>1.5</v>
      </c>
      <c r="G118">
        <v>4</v>
      </c>
      <c r="H118">
        <v>59.7</v>
      </c>
    </row>
    <row r="119" spans="1:8">
      <c r="A119" s="427" t="s">
        <v>3688</v>
      </c>
      <c r="B119" t="s">
        <v>3325</v>
      </c>
      <c r="C119" t="s">
        <v>3528</v>
      </c>
      <c r="D119" t="s">
        <v>3565</v>
      </c>
      <c r="E119">
        <v>0</v>
      </c>
      <c r="F119">
        <v>0</v>
      </c>
      <c r="G119">
        <v>0</v>
      </c>
      <c r="H119">
        <v>10.4</v>
      </c>
    </row>
    <row r="120" spans="1:8">
      <c r="A120" s="427" t="s">
        <v>2270</v>
      </c>
      <c r="B120" t="s">
        <v>2271</v>
      </c>
      <c r="C120" t="s">
        <v>3590</v>
      </c>
      <c r="D120" t="s">
        <v>3597</v>
      </c>
      <c r="E120">
        <v>0.625</v>
      </c>
      <c r="F120">
        <v>0</v>
      </c>
      <c r="G120">
        <v>0.625</v>
      </c>
      <c r="H120">
        <v>17.2</v>
      </c>
    </row>
    <row r="121" spans="1:8">
      <c r="A121" s="427" t="s">
        <v>4026</v>
      </c>
      <c r="B121" t="s">
        <v>4027</v>
      </c>
      <c r="C121" t="s">
        <v>3973</v>
      </c>
      <c r="D121" t="s">
        <v>3726</v>
      </c>
      <c r="E121">
        <v>1</v>
      </c>
      <c r="F121">
        <v>0</v>
      </c>
      <c r="G121">
        <v>1</v>
      </c>
    </row>
    <row r="122" spans="1:8">
      <c r="A122" s="427" t="s">
        <v>2276</v>
      </c>
      <c r="B122" t="s">
        <v>1975</v>
      </c>
      <c r="C122" t="s">
        <v>3561</v>
      </c>
      <c r="D122" t="s">
        <v>3689</v>
      </c>
      <c r="E122">
        <v>2.6</v>
      </c>
      <c r="F122">
        <v>0</v>
      </c>
      <c r="G122">
        <v>2.6</v>
      </c>
      <c r="H122">
        <v>140</v>
      </c>
    </row>
    <row r="123" spans="1:8">
      <c r="A123" s="427" t="s">
        <v>3690</v>
      </c>
      <c r="B123" t="s">
        <v>3331</v>
      </c>
      <c r="C123" t="s">
        <v>3528</v>
      </c>
      <c r="D123" t="s">
        <v>3571</v>
      </c>
      <c r="E123">
        <v>0</v>
      </c>
      <c r="F123">
        <v>0</v>
      </c>
      <c r="G123">
        <v>0</v>
      </c>
      <c r="H123">
        <v>30.2</v>
      </c>
    </row>
    <row r="124" spans="1:8">
      <c r="A124" s="427" t="s">
        <v>3691</v>
      </c>
      <c r="B124" t="s">
        <v>2018</v>
      </c>
      <c r="C124" t="s">
        <v>3568</v>
      </c>
      <c r="D124" t="s">
        <v>3531</v>
      </c>
      <c r="E124">
        <v>1.5</v>
      </c>
      <c r="F124">
        <v>0</v>
      </c>
      <c r="G124">
        <v>1.5</v>
      </c>
      <c r="H124">
        <v>69.7</v>
      </c>
    </row>
    <row r="125" spans="1:8">
      <c r="A125" s="427" t="s">
        <v>3692</v>
      </c>
      <c r="B125" t="s">
        <v>3693</v>
      </c>
      <c r="C125" t="s">
        <v>3551</v>
      </c>
      <c r="D125" t="s">
        <v>3565</v>
      </c>
      <c r="E125">
        <v>0</v>
      </c>
      <c r="F125">
        <v>0</v>
      </c>
      <c r="G125">
        <v>0</v>
      </c>
      <c r="H125">
        <v>16.399999999999999</v>
      </c>
    </row>
    <row r="126" spans="1:8">
      <c r="A126" s="427" t="s">
        <v>4028</v>
      </c>
      <c r="B126" t="s">
        <v>4029</v>
      </c>
      <c r="C126" t="s">
        <v>3870</v>
      </c>
      <c r="D126" t="s">
        <v>3571</v>
      </c>
      <c r="E126">
        <v>0</v>
      </c>
      <c r="F126">
        <v>0</v>
      </c>
      <c r="G126">
        <v>0</v>
      </c>
      <c r="H126">
        <v>9.81</v>
      </c>
    </row>
    <row r="127" spans="1:8">
      <c r="A127" s="427" t="s">
        <v>2284</v>
      </c>
      <c r="B127" t="s">
        <v>2285</v>
      </c>
      <c r="C127" t="s">
        <v>3555</v>
      </c>
      <c r="D127" t="s">
        <v>3562</v>
      </c>
      <c r="E127">
        <v>10</v>
      </c>
      <c r="F127">
        <v>0</v>
      </c>
      <c r="G127">
        <v>10</v>
      </c>
      <c r="H127">
        <v>295</v>
      </c>
    </row>
    <row r="128" spans="1:8">
      <c r="A128" s="427" t="s">
        <v>3694</v>
      </c>
      <c r="B128" t="s">
        <v>350</v>
      </c>
      <c r="C128" t="s">
        <v>3551</v>
      </c>
      <c r="D128" t="s">
        <v>3672</v>
      </c>
      <c r="E128">
        <v>0</v>
      </c>
      <c r="F128">
        <v>0</v>
      </c>
      <c r="G128">
        <v>0</v>
      </c>
      <c r="H128">
        <v>164</v>
      </c>
    </row>
    <row r="129" spans="1:8">
      <c r="A129" s="427" t="s">
        <v>4030</v>
      </c>
      <c r="B129" t="s">
        <v>354</v>
      </c>
      <c r="C129" t="s">
        <v>3870</v>
      </c>
      <c r="D129" t="s">
        <v>3515</v>
      </c>
      <c r="E129">
        <v>0</v>
      </c>
      <c r="F129">
        <v>0</v>
      </c>
      <c r="G129">
        <v>0</v>
      </c>
      <c r="H129">
        <v>46.2</v>
      </c>
    </row>
    <row r="130" spans="1:8">
      <c r="A130" s="427" t="s">
        <v>3695</v>
      </c>
      <c r="B130" t="s">
        <v>3696</v>
      </c>
      <c r="C130" t="s">
        <v>3537</v>
      </c>
      <c r="D130" t="s">
        <v>3619</v>
      </c>
      <c r="E130">
        <v>0.4</v>
      </c>
      <c r="F130">
        <v>0</v>
      </c>
      <c r="G130">
        <v>0.4</v>
      </c>
      <c r="H130">
        <v>37.4</v>
      </c>
    </row>
    <row r="131" spans="1:8">
      <c r="A131" s="427" t="s">
        <v>4031</v>
      </c>
      <c r="B131" t="s">
        <v>355</v>
      </c>
      <c r="C131" t="s">
        <v>3973</v>
      </c>
      <c r="D131" t="s">
        <v>3546</v>
      </c>
      <c r="E131">
        <v>0.29550300000000002</v>
      </c>
      <c r="F131">
        <v>0</v>
      </c>
      <c r="G131">
        <v>0.29550300000000002</v>
      </c>
      <c r="H131">
        <v>25.8</v>
      </c>
    </row>
    <row r="132" spans="1:8">
      <c r="A132" s="427" t="s">
        <v>4032</v>
      </c>
      <c r="B132" t="s">
        <v>4033</v>
      </c>
      <c r="C132" t="s">
        <v>3870</v>
      </c>
      <c r="D132" t="s">
        <v>3515</v>
      </c>
      <c r="E132">
        <v>0</v>
      </c>
      <c r="F132">
        <v>0</v>
      </c>
      <c r="G132">
        <v>0</v>
      </c>
      <c r="H132">
        <v>30.1</v>
      </c>
    </row>
    <row r="133" spans="1:8">
      <c r="A133" s="427" t="s">
        <v>4034</v>
      </c>
      <c r="B133" t="s">
        <v>4035</v>
      </c>
      <c r="C133" t="s">
        <v>3870</v>
      </c>
      <c r="D133" t="s">
        <v>3646</v>
      </c>
      <c r="E133">
        <v>0</v>
      </c>
      <c r="F133">
        <v>0</v>
      </c>
      <c r="G133">
        <v>0</v>
      </c>
      <c r="H133">
        <v>22.6</v>
      </c>
    </row>
    <row r="134" spans="1:8">
      <c r="A134" s="427" t="s">
        <v>3697</v>
      </c>
      <c r="B134" t="s">
        <v>3698</v>
      </c>
      <c r="C134" t="s">
        <v>3528</v>
      </c>
      <c r="D134" t="s">
        <v>3558</v>
      </c>
      <c r="E134">
        <v>0</v>
      </c>
      <c r="F134">
        <v>0</v>
      </c>
      <c r="G134">
        <v>0</v>
      </c>
      <c r="H134">
        <v>30</v>
      </c>
    </row>
    <row r="135" spans="1:8">
      <c r="A135" s="427" t="s">
        <v>3699</v>
      </c>
      <c r="B135" t="s">
        <v>3700</v>
      </c>
      <c r="C135" t="s">
        <v>3525</v>
      </c>
      <c r="D135" t="s">
        <v>3580</v>
      </c>
      <c r="E135">
        <v>0</v>
      </c>
      <c r="F135">
        <v>0</v>
      </c>
      <c r="G135">
        <v>0</v>
      </c>
      <c r="H135">
        <v>28.6</v>
      </c>
    </row>
    <row r="136" spans="1:8">
      <c r="A136" s="427" t="s">
        <v>3701</v>
      </c>
      <c r="B136" t="s">
        <v>3702</v>
      </c>
      <c r="C136" t="s">
        <v>3703</v>
      </c>
      <c r="D136" t="s">
        <v>3580</v>
      </c>
      <c r="E136">
        <v>0.25</v>
      </c>
      <c r="F136">
        <v>0.5</v>
      </c>
      <c r="G136">
        <v>0.75</v>
      </c>
      <c r="H136">
        <v>24</v>
      </c>
    </row>
    <row r="137" spans="1:8">
      <c r="A137" s="427" t="s">
        <v>3704</v>
      </c>
      <c r="B137" t="s">
        <v>3705</v>
      </c>
      <c r="C137" t="s">
        <v>3555</v>
      </c>
      <c r="D137" t="s">
        <v>3546</v>
      </c>
      <c r="E137">
        <v>7.2</v>
      </c>
      <c r="F137">
        <v>0</v>
      </c>
      <c r="G137">
        <v>7.2</v>
      </c>
      <c r="H137">
        <v>218</v>
      </c>
    </row>
    <row r="138" spans="1:8">
      <c r="A138" s="427" t="s">
        <v>4036</v>
      </c>
      <c r="B138" t="s">
        <v>4037</v>
      </c>
      <c r="C138" t="s">
        <v>3870</v>
      </c>
      <c r="D138" t="s">
        <v>3571</v>
      </c>
      <c r="E138">
        <v>1.2</v>
      </c>
      <c r="F138">
        <v>0</v>
      </c>
      <c r="G138">
        <v>1.2</v>
      </c>
      <c r="H138">
        <v>34.200000000000003</v>
      </c>
    </row>
    <row r="139" spans="1:8">
      <c r="A139" s="427" t="s">
        <v>4038</v>
      </c>
      <c r="B139" t="s">
        <v>4039</v>
      </c>
      <c r="C139" t="s">
        <v>3973</v>
      </c>
      <c r="D139" t="s">
        <v>3610</v>
      </c>
      <c r="E139">
        <v>1.5</v>
      </c>
      <c r="F139">
        <v>0</v>
      </c>
      <c r="G139">
        <v>1.5</v>
      </c>
      <c r="H139">
        <v>37</v>
      </c>
    </row>
    <row r="140" spans="1:8">
      <c r="A140" s="427" t="s">
        <v>3706</v>
      </c>
      <c r="B140" t="s">
        <v>3707</v>
      </c>
      <c r="C140" t="s">
        <v>3708</v>
      </c>
      <c r="D140" t="s">
        <v>3709</v>
      </c>
      <c r="E140">
        <v>1.8</v>
      </c>
      <c r="F140">
        <v>0</v>
      </c>
      <c r="G140">
        <v>1.8</v>
      </c>
      <c r="H140">
        <v>61.8</v>
      </c>
    </row>
    <row r="141" spans="1:8">
      <c r="A141" s="427" t="s">
        <v>4040</v>
      </c>
      <c r="B141" t="s">
        <v>4041</v>
      </c>
      <c r="C141" t="s">
        <v>3870</v>
      </c>
      <c r="D141" t="s">
        <v>3565</v>
      </c>
      <c r="E141">
        <v>2.8</v>
      </c>
      <c r="F141">
        <v>0</v>
      </c>
      <c r="G141">
        <v>2.8</v>
      </c>
      <c r="H141">
        <v>34.799999999999997</v>
      </c>
    </row>
    <row r="142" spans="1:8">
      <c r="A142" s="427" t="s">
        <v>3710</v>
      </c>
      <c r="B142" t="s">
        <v>3711</v>
      </c>
      <c r="C142" t="s">
        <v>3537</v>
      </c>
      <c r="D142" t="s">
        <v>3573</v>
      </c>
      <c r="E142">
        <v>2</v>
      </c>
      <c r="F142">
        <v>0</v>
      </c>
      <c r="G142">
        <v>2</v>
      </c>
      <c r="H142">
        <v>54.1</v>
      </c>
    </row>
    <row r="143" spans="1:8">
      <c r="A143" s="427" t="s">
        <v>2308</v>
      </c>
      <c r="B143" t="s">
        <v>1942</v>
      </c>
      <c r="C143" t="s">
        <v>3555</v>
      </c>
      <c r="D143" t="s">
        <v>3597</v>
      </c>
      <c r="E143">
        <v>1.6</v>
      </c>
      <c r="F143">
        <v>0</v>
      </c>
      <c r="G143">
        <v>1.6</v>
      </c>
      <c r="H143">
        <v>43</v>
      </c>
    </row>
    <row r="144" spans="1:8">
      <c r="A144" s="427" t="s">
        <v>3712</v>
      </c>
      <c r="B144" t="s">
        <v>3713</v>
      </c>
      <c r="C144" t="s">
        <v>3551</v>
      </c>
      <c r="D144" t="s">
        <v>3538</v>
      </c>
      <c r="E144">
        <v>1.1000000000000001</v>
      </c>
      <c r="F144">
        <v>0</v>
      </c>
      <c r="G144">
        <v>1.1000000000000001</v>
      </c>
    </row>
    <row r="145" spans="1:8">
      <c r="A145" s="427" t="s">
        <v>3714</v>
      </c>
      <c r="B145" t="s">
        <v>1904</v>
      </c>
      <c r="C145" t="s">
        <v>3590</v>
      </c>
      <c r="D145" t="s">
        <v>3607</v>
      </c>
      <c r="E145">
        <v>1</v>
      </c>
      <c r="F145">
        <v>3</v>
      </c>
      <c r="G145">
        <v>4</v>
      </c>
      <c r="H145">
        <v>128</v>
      </c>
    </row>
    <row r="146" spans="1:8">
      <c r="A146" s="427" t="s">
        <v>3715</v>
      </c>
      <c r="B146" t="s">
        <v>3716</v>
      </c>
      <c r="C146" t="s">
        <v>3717</v>
      </c>
      <c r="D146" t="s">
        <v>3616</v>
      </c>
      <c r="E146">
        <v>3.75</v>
      </c>
      <c r="F146">
        <v>0</v>
      </c>
      <c r="G146">
        <v>3.75</v>
      </c>
      <c r="H146">
        <v>69</v>
      </c>
    </row>
    <row r="147" spans="1:8">
      <c r="A147" s="427" t="s">
        <v>3718</v>
      </c>
      <c r="B147" t="s">
        <v>3450</v>
      </c>
      <c r="C147" t="s">
        <v>3525</v>
      </c>
      <c r="D147" t="s">
        <v>3546</v>
      </c>
      <c r="E147">
        <v>1.8</v>
      </c>
      <c r="F147">
        <v>0</v>
      </c>
      <c r="G147">
        <v>1.8</v>
      </c>
      <c r="H147">
        <v>34.299999999999997</v>
      </c>
    </row>
    <row r="148" spans="1:8">
      <c r="A148" s="427" t="s">
        <v>3719</v>
      </c>
      <c r="B148" t="s">
        <v>3720</v>
      </c>
      <c r="C148" t="s">
        <v>3575</v>
      </c>
      <c r="D148" t="s">
        <v>3619</v>
      </c>
      <c r="E148">
        <v>0</v>
      </c>
      <c r="F148">
        <v>0</v>
      </c>
      <c r="G148">
        <v>0</v>
      </c>
      <c r="H148">
        <v>3.25</v>
      </c>
    </row>
    <row r="149" spans="1:8">
      <c r="A149" s="427" t="s">
        <v>2318</v>
      </c>
      <c r="B149" t="s">
        <v>379</v>
      </c>
      <c r="C149" t="s">
        <v>3557</v>
      </c>
      <c r="D149" t="s">
        <v>3548</v>
      </c>
      <c r="E149">
        <v>0</v>
      </c>
      <c r="F149">
        <v>0</v>
      </c>
      <c r="G149">
        <v>0</v>
      </c>
      <c r="H149">
        <v>7.5</v>
      </c>
    </row>
    <row r="150" spans="1:8">
      <c r="A150" s="427" t="s">
        <v>4042</v>
      </c>
      <c r="B150" t="s">
        <v>1606</v>
      </c>
      <c r="C150" t="s">
        <v>3973</v>
      </c>
      <c r="D150" t="s">
        <v>3672</v>
      </c>
      <c r="E150">
        <v>5.0199999999999996</v>
      </c>
      <c r="F150">
        <v>0</v>
      </c>
      <c r="G150">
        <v>5.0199999999999996</v>
      </c>
      <c r="H150">
        <v>303</v>
      </c>
    </row>
    <row r="151" spans="1:8">
      <c r="A151" s="427" t="s">
        <v>3721</v>
      </c>
      <c r="B151" t="s">
        <v>3451</v>
      </c>
      <c r="C151" t="s">
        <v>3568</v>
      </c>
      <c r="D151" t="s">
        <v>3571</v>
      </c>
      <c r="E151">
        <v>0.45</v>
      </c>
      <c r="F151">
        <v>1</v>
      </c>
      <c r="G151">
        <v>1.45</v>
      </c>
      <c r="H151">
        <v>85.3</v>
      </c>
    </row>
    <row r="152" spans="1:8">
      <c r="A152" s="427" t="s">
        <v>3722</v>
      </c>
      <c r="B152" t="s">
        <v>3723</v>
      </c>
      <c r="C152" t="s">
        <v>3537</v>
      </c>
      <c r="D152" t="s">
        <v>3565</v>
      </c>
      <c r="E152">
        <v>2.8</v>
      </c>
      <c r="F152">
        <v>0.2</v>
      </c>
      <c r="G152">
        <v>3</v>
      </c>
      <c r="H152">
        <v>41.3</v>
      </c>
    </row>
    <row r="153" spans="1:8">
      <c r="A153" s="427" t="s">
        <v>2323</v>
      </c>
      <c r="B153" t="s">
        <v>382</v>
      </c>
      <c r="C153" t="s">
        <v>3555</v>
      </c>
      <c r="D153" t="s">
        <v>3610</v>
      </c>
      <c r="E153">
        <v>2.65</v>
      </c>
      <c r="F153">
        <v>0</v>
      </c>
      <c r="G153">
        <v>2.65</v>
      </c>
      <c r="H153">
        <v>36</v>
      </c>
    </row>
    <row r="154" spans="1:8">
      <c r="A154" s="427" t="s">
        <v>2324</v>
      </c>
      <c r="B154" t="s">
        <v>383</v>
      </c>
      <c r="C154" t="s">
        <v>3568</v>
      </c>
      <c r="D154" t="s">
        <v>3554</v>
      </c>
      <c r="E154">
        <v>2.9994700000000001</v>
      </c>
      <c r="F154">
        <v>0</v>
      </c>
      <c r="G154">
        <v>2.9994700000000001</v>
      </c>
      <c r="H154">
        <v>76.400000000000006</v>
      </c>
    </row>
    <row r="155" spans="1:8">
      <c r="A155" s="427" t="s">
        <v>2325</v>
      </c>
      <c r="B155" t="s">
        <v>1611</v>
      </c>
      <c r="C155" t="s">
        <v>3568</v>
      </c>
      <c r="D155" t="s">
        <v>3597</v>
      </c>
      <c r="E155">
        <v>0.25</v>
      </c>
      <c r="F155">
        <v>2.25</v>
      </c>
      <c r="G155">
        <v>2.5</v>
      </c>
      <c r="H155">
        <v>91.3</v>
      </c>
    </row>
    <row r="156" spans="1:8">
      <c r="A156" s="427" t="s">
        <v>2326</v>
      </c>
      <c r="B156" t="s">
        <v>1982</v>
      </c>
      <c r="C156" t="s">
        <v>3537</v>
      </c>
      <c r="D156" t="s">
        <v>3571</v>
      </c>
      <c r="E156">
        <v>2.52</v>
      </c>
      <c r="F156">
        <v>0</v>
      </c>
      <c r="G156">
        <v>2.52</v>
      </c>
      <c r="H156">
        <v>39</v>
      </c>
    </row>
    <row r="157" spans="1:8">
      <c r="A157" s="427" t="s">
        <v>3724</v>
      </c>
      <c r="B157" t="s">
        <v>3725</v>
      </c>
      <c r="C157" t="s">
        <v>3551</v>
      </c>
      <c r="D157" t="s">
        <v>3726</v>
      </c>
      <c r="E157">
        <v>2</v>
      </c>
      <c r="F157">
        <v>0</v>
      </c>
      <c r="G157">
        <v>2</v>
      </c>
      <c r="H157">
        <v>63.4</v>
      </c>
    </row>
    <row r="158" spans="1:8">
      <c r="A158" s="427" t="s">
        <v>3727</v>
      </c>
      <c r="B158" t="s">
        <v>3728</v>
      </c>
      <c r="C158" t="s">
        <v>3557</v>
      </c>
      <c r="D158" t="s">
        <v>3548</v>
      </c>
      <c r="E158">
        <v>0</v>
      </c>
      <c r="F158">
        <v>0</v>
      </c>
      <c r="G158">
        <v>0</v>
      </c>
      <c r="H158" t="s">
        <v>3729</v>
      </c>
    </row>
    <row r="159" spans="1:8">
      <c r="A159" s="427" t="s">
        <v>3730</v>
      </c>
      <c r="B159" t="s">
        <v>390</v>
      </c>
      <c r="C159" t="s">
        <v>3557</v>
      </c>
      <c r="D159" t="s">
        <v>3552</v>
      </c>
      <c r="E159">
        <v>0.59</v>
      </c>
      <c r="F159">
        <v>0</v>
      </c>
      <c r="G159">
        <v>0.59</v>
      </c>
      <c r="H159">
        <v>23</v>
      </c>
    </row>
    <row r="160" spans="1:8">
      <c r="A160" s="427" t="s">
        <v>3731</v>
      </c>
      <c r="B160" t="s">
        <v>3732</v>
      </c>
      <c r="C160" t="s">
        <v>3537</v>
      </c>
      <c r="D160" t="s">
        <v>3616</v>
      </c>
      <c r="E160">
        <v>0.75</v>
      </c>
      <c r="F160">
        <v>0</v>
      </c>
      <c r="G160">
        <v>0.75</v>
      </c>
      <c r="H160" t="s">
        <v>3729</v>
      </c>
    </row>
    <row r="161" spans="1:8">
      <c r="A161" s="427" t="s">
        <v>2328</v>
      </c>
      <c r="B161" t="s">
        <v>2329</v>
      </c>
      <c r="C161" t="s">
        <v>3973</v>
      </c>
      <c r="D161" t="s">
        <v>3594</v>
      </c>
      <c r="E161">
        <v>3</v>
      </c>
      <c r="F161">
        <v>0</v>
      </c>
      <c r="G161">
        <v>3</v>
      </c>
      <c r="H161">
        <v>40.1</v>
      </c>
    </row>
    <row r="162" spans="1:8">
      <c r="A162" s="427" t="s">
        <v>3733</v>
      </c>
      <c r="B162" t="s">
        <v>3734</v>
      </c>
      <c r="C162" t="s">
        <v>3579</v>
      </c>
      <c r="D162" t="s">
        <v>3636</v>
      </c>
      <c r="E162">
        <v>3</v>
      </c>
      <c r="F162">
        <v>0</v>
      </c>
      <c r="G162">
        <v>3</v>
      </c>
      <c r="H162">
        <v>47</v>
      </c>
    </row>
    <row r="163" spans="1:8">
      <c r="A163" s="427" t="s">
        <v>4043</v>
      </c>
      <c r="B163" t="s">
        <v>4044</v>
      </c>
      <c r="C163" t="s">
        <v>3973</v>
      </c>
      <c r="D163" t="s">
        <v>3571</v>
      </c>
      <c r="E163">
        <v>2</v>
      </c>
      <c r="F163">
        <v>0</v>
      </c>
      <c r="G163">
        <v>2</v>
      </c>
      <c r="H163">
        <v>32.1</v>
      </c>
    </row>
    <row r="164" spans="1:8">
      <c r="A164" s="427" t="s">
        <v>4045</v>
      </c>
      <c r="B164" t="s">
        <v>4046</v>
      </c>
      <c r="C164" t="s">
        <v>3870</v>
      </c>
      <c r="D164" t="s">
        <v>3654</v>
      </c>
      <c r="E164">
        <v>0.5</v>
      </c>
      <c r="F164">
        <v>0.5</v>
      </c>
      <c r="G164">
        <v>1</v>
      </c>
      <c r="H164">
        <v>38.5</v>
      </c>
    </row>
    <row r="165" spans="1:8">
      <c r="A165" s="427" t="s">
        <v>4047</v>
      </c>
      <c r="B165" t="s">
        <v>4048</v>
      </c>
      <c r="C165" t="s">
        <v>3973</v>
      </c>
      <c r="D165" t="s">
        <v>3565</v>
      </c>
      <c r="E165">
        <v>2.5</v>
      </c>
      <c r="F165">
        <v>0</v>
      </c>
      <c r="G165">
        <v>2.5</v>
      </c>
      <c r="H165">
        <v>290</v>
      </c>
    </row>
    <row r="166" spans="1:8">
      <c r="A166" s="427" t="s">
        <v>3735</v>
      </c>
      <c r="B166" t="s">
        <v>1624</v>
      </c>
      <c r="C166" t="s">
        <v>3525</v>
      </c>
      <c r="D166" t="s">
        <v>3736</v>
      </c>
      <c r="E166">
        <v>0</v>
      </c>
      <c r="F166">
        <v>0</v>
      </c>
      <c r="G166">
        <v>0</v>
      </c>
      <c r="H166">
        <v>88</v>
      </c>
    </row>
    <row r="167" spans="1:8">
      <c r="A167" s="427" t="s">
        <v>3737</v>
      </c>
      <c r="B167" t="s">
        <v>396</v>
      </c>
      <c r="C167" t="s">
        <v>3568</v>
      </c>
      <c r="D167" t="s">
        <v>3529</v>
      </c>
      <c r="E167">
        <v>0</v>
      </c>
      <c r="F167">
        <v>0</v>
      </c>
      <c r="G167">
        <v>0</v>
      </c>
      <c r="H167">
        <v>23.2</v>
      </c>
    </row>
    <row r="168" spans="1:8">
      <c r="A168" s="427" t="s">
        <v>3738</v>
      </c>
      <c r="B168" t="s">
        <v>397</v>
      </c>
      <c r="C168" t="s">
        <v>3545</v>
      </c>
      <c r="D168" t="s">
        <v>3616</v>
      </c>
      <c r="E168">
        <v>12</v>
      </c>
      <c r="F168">
        <v>0.320635</v>
      </c>
      <c r="G168">
        <v>12.320634999999999</v>
      </c>
      <c r="H168">
        <v>290</v>
      </c>
    </row>
    <row r="169" spans="1:8">
      <c r="A169" s="427" t="s">
        <v>3739</v>
      </c>
      <c r="B169" t="s">
        <v>3740</v>
      </c>
      <c r="C169" t="s">
        <v>3551</v>
      </c>
      <c r="D169" t="s">
        <v>3610</v>
      </c>
      <c r="E169">
        <v>0.3</v>
      </c>
      <c r="F169">
        <v>0</v>
      </c>
      <c r="G169">
        <v>0.3</v>
      </c>
      <c r="H169">
        <v>27.3</v>
      </c>
    </row>
    <row r="170" spans="1:8">
      <c r="A170" s="427" t="s">
        <v>3741</v>
      </c>
      <c r="B170" t="s">
        <v>3742</v>
      </c>
      <c r="C170" t="s">
        <v>3541</v>
      </c>
      <c r="D170" t="s">
        <v>3548</v>
      </c>
      <c r="E170">
        <v>0</v>
      </c>
      <c r="F170">
        <v>0</v>
      </c>
      <c r="G170">
        <v>0</v>
      </c>
      <c r="H170">
        <v>29.3</v>
      </c>
    </row>
    <row r="171" spans="1:8">
      <c r="A171" s="427" t="s">
        <v>3743</v>
      </c>
      <c r="B171" t="s">
        <v>406</v>
      </c>
      <c r="C171" t="s">
        <v>3659</v>
      </c>
      <c r="D171" t="s">
        <v>3531</v>
      </c>
      <c r="E171">
        <v>2.6</v>
      </c>
      <c r="F171">
        <v>0</v>
      </c>
      <c r="G171">
        <v>2.6</v>
      </c>
      <c r="H171">
        <v>50.3</v>
      </c>
    </row>
    <row r="172" spans="1:8">
      <c r="A172" s="427" t="s">
        <v>4049</v>
      </c>
      <c r="B172" t="s">
        <v>4050</v>
      </c>
      <c r="C172" t="s">
        <v>3870</v>
      </c>
      <c r="D172" t="s">
        <v>3571</v>
      </c>
      <c r="E172">
        <v>0</v>
      </c>
      <c r="F172">
        <v>0</v>
      </c>
      <c r="G172">
        <v>0</v>
      </c>
      <c r="H172">
        <v>10.1</v>
      </c>
    </row>
    <row r="173" spans="1:8">
      <c r="A173" s="427" t="s">
        <v>3744</v>
      </c>
      <c r="B173" t="s">
        <v>426</v>
      </c>
      <c r="C173" t="s">
        <v>3551</v>
      </c>
      <c r="D173" t="s">
        <v>3565</v>
      </c>
      <c r="E173">
        <v>6</v>
      </c>
      <c r="F173">
        <v>0</v>
      </c>
      <c r="G173">
        <v>6</v>
      </c>
      <c r="H173">
        <v>88.3</v>
      </c>
    </row>
    <row r="174" spans="1:8">
      <c r="A174" s="427" t="s">
        <v>3745</v>
      </c>
      <c r="B174" t="s">
        <v>3746</v>
      </c>
      <c r="C174" t="s">
        <v>3589</v>
      </c>
      <c r="D174" t="s">
        <v>3610</v>
      </c>
      <c r="E174">
        <v>3.2</v>
      </c>
      <c r="F174">
        <v>0</v>
      </c>
      <c r="G174">
        <v>3.2</v>
      </c>
      <c r="H174">
        <v>39.5</v>
      </c>
    </row>
    <row r="175" spans="1:8">
      <c r="A175" s="427" t="s">
        <v>3747</v>
      </c>
      <c r="B175" t="s">
        <v>1673</v>
      </c>
      <c r="C175" t="s">
        <v>3555</v>
      </c>
      <c r="D175" t="s">
        <v>3597</v>
      </c>
      <c r="E175">
        <v>0</v>
      </c>
      <c r="F175">
        <v>0</v>
      </c>
      <c r="G175">
        <v>0</v>
      </c>
      <c r="H175">
        <v>3.12</v>
      </c>
    </row>
    <row r="176" spans="1:8">
      <c r="A176" s="427" t="s">
        <v>3748</v>
      </c>
      <c r="B176" t="s">
        <v>3749</v>
      </c>
      <c r="C176" t="s">
        <v>3537</v>
      </c>
      <c r="D176" t="s">
        <v>3726</v>
      </c>
      <c r="E176">
        <v>0.4163</v>
      </c>
      <c r="F176">
        <v>0</v>
      </c>
      <c r="G176">
        <v>0.4163</v>
      </c>
      <c r="H176">
        <v>11</v>
      </c>
    </row>
    <row r="177" spans="1:8">
      <c r="A177" s="427" t="s">
        <v>3750</v>
      </c>
      <c r="B177" t="s">
        <v>3368</v>
      </c>
      <c r="C177" t="s">
        <v>3635</v>
      </c>
      <c r="D177" t="s">
        <v>3751</v>
      </c>
      <c r="E177">
        <v>0</v>
      </c>
      <c r="F177">
        <v>0</v>
      </c>
      <c r="G177">
        <v>0</v>
      </c>
      <c r="H177">
        <v>6.5</v>
      </c>
    </row>
    <row r="178" spans="1:8">
      <c r="A178" s="427" t="s">
        <v>3752</v>
      </c>
      <c r="B178" t="s">
        <v>429</v>
      </c>
      <c r="C178" t="s">
        <v>3528</v>
      </c>
      <c r="D178" t="s">
        <v>3546</v>
      </c>
      <c r="E178">
        <v>3</v>
      </c>
      <c r="F178">
        <v>0</v>
      </c>
      <c r="G178">
        <v>3</v>
      </c>
      <c r="H178">
        <v>44.5</v>
      </c>
    </row>
    <row r="179" spans="1:8">
      <c r="A179" s="427" t="s">
        <v>3753</v>
      </c>
      <c r="B179" t="s">
        <v>431</v>
      </c>
      <c r="C179" t="s">
        <v>3579</v>
      </c>
      <c r="D179" t="s">
        <v>3565</v>
      </c>
      <c r="E179">
        <v>8.8000000000000007</v>
      </c>
      <c r="F179">
        <v>0.1</v>
      </c>
      <c r="G179">
        <v>8.9</v>
      </c>
      <c r="H179">
        <v>342</v>
      </c>
    </row>
    <row r="180" spans="1:8">
      <c r="A180" s="427" t="s">
        <v>3754</v>
      </c>
      <c r="B180" t="s">
        <v>3755</v>
      </c>
      <c r="C180" t="s">
        <v>3541</v>
      </c>
      <c r="D180" t="s">
        <v>3542</v>
      </c>
      <c r="E180">
        <v>0</v>
      </c>
      <c r="F180">
        <v>0</v>
      </c>
      <c r="G180">
        <v>0</v>
      </c>
      <c r="H180">
        <v>2.13</v>
      </c>
    </row>
    <row r="181" spans="1:8">
      <c r="A181" s="427" t="s">
        <v>3756</v>
      </c>
      <c r="B181" t="s">
        <v>3367</v>
      </c>
      <c r="C181" t="s">
        <v>3551</v>
      </c>
      <c r="D181" t="s">
        <v>3582</v>
      </c>
      <c r="E181">
        <v>0</v>
      </c>
      <c r="F181">
        <v>0</v>
      </c>
      <c r="G181">
        <v>0</v>
      </c>
      <c r="H181">
        <v>6.87</v>
      </c>
    </row>
    <row r="182" spans="1:8">
      <c r="A182" s="427" t="s">
        <v>3757</v>
      </c>
      <c r="B182" t="s">
        <v>3378</v>
      </c>
      <c r="C182" t="s">
        <v>3758</v>
      </c>
      <c r="D182" t="s">
        <v>3646</v>
      </c>
      <c r="E182">
        <v>0.3</v>
      </c>
      <c r="F182">
        <v>0</v>
      </c>
      <c r="G182">
        <v>0.3</v>
      </c>
      <c r="H182">
        <v>8.85</v>
      </c>
    </row>
    <row r="183" spans="1:8">
      <c r="A183" s="427" t="s">
        <v>3759</v>
      </c>
      <c r="B183" t="s">
        <v>3760</v>
      </c>
      <c r="C183" t="s">
        <v>3555</v>
      </c>
      <c r="D183" t="s">
        <v>3531</v>
      </c>
      <c r="E183">
        <v>0</v>
      </c>
      <c r="F183">
        <v>0</v>
      </c>
      <c r="G183">
        <v>0</v>
      </c>
      <c r="H183">
        <v>27.4</v>
      </c>
    </row>
    <row r="184" spans="1:8">
      <c r="A184" s="427" t="s">
        <v>3761</v>
      </c>
      <c r="B184" t="s">
        <v>3762</v>
      </c>
      <c r="C184" t="s">
        <v>3575</v>
      </c>
      <c r="D184" t="s">
        <v>3594</v>
      </c>
      <c r="E184">
        <v>0</v>
      </c>
      <c r="F184">
        <v>0</v>
      </c>
      <c r="G184">
        <v>0</v>
      </c>
      <c r="H184">
        <v>7.5</v>
      </c>
    </row>
    <row r="185" spans="1:8">
      <c r="A185" s="427" t="s">
        <v>2362</v>
      </c>
      <c r="B185" t="s">
        <v>2363</v>
      </c>
      <c r="C185" t="s">
        <v>3590</v>
      </c>
      <c r="D185" t="s">
        <v>3571</v>
      </c>
      <c r="E185">
        <v>1</v>
      </c>
      <c r="F185">
        <v>0</v>
      </c>
      <c r="G185">
        <v>1</v>
      </c>
      <c r="H185">
        <v>28.5</v>
      </c>
    </row>
    <row r="186" spans="1:8">
      <c r="A186" s="427" t="s">
        <v>3763</v>
      </c>
      <c r="B186" t="s">
        <v>3764</v>
      </c>
      <c r="C186" t="s">
        <v>3528</v>
      </c>
      <c r="D186" t="s">
        <v>3552</v>
      </c>
      <c r="E186">
        <v>1.1000000000000001</v>
      </c>
      <c r="F186">
        <v>0.05</v>
      </c>
      <c r="G186">
        <v>1.1499999999999999</v>
      </c>
      <c r="H186">
        <v>19</v>
      </c>
    </row>
    <row r="187" spans="1:8">
      <c r="A187" s="427" t="s">
        <v>3765</v>
      </c>
      <c r="B187" t="s">
        <v>3766</v>
      </c>
      <c r="C187" t="s">
        <v>3555</v>
      </c>
      <c r="D187" t="s">
        <v>3531</v>
      </c>
      <c r="E187">
        <v>0.3</v>
      </c>
      <c r="F187">
        <v>0</v>
      </c>
      <c r="G187">
        <v>0.3</v>
      </c>
      <c r="H187">
        <v>19.3</v>
      </c>
    </row>
    <row r="188" spans="1:8">
      <c r="A188" s="427" t="s">
        <v>3767</v>
      </c>
      <c r="B188" t="s">
        <v>3768</v>
      </c>
      <c r="C188" t="s">
        <v>3551</v>
      </c>
      <c r="D188" t="s">
        <v>3546</v>
      </c>
      <c r="E188">
        <v>0.35</v>
      </c>
      <c r="F188">
        <v>0</v>
      </c>
      <c r="G188">
        <v>0.35</v>
      </c>
      <c r="H188">
        <v>11.7</v>
      </c>
    </row>
    <row r="189" spans="1:8">
      <c r="A189" s="427" t="s">
        <v>3769</v>
      </c>
      <c r="B189" t="s">
        <v>3770</v>
      </c>
      <c r="C189" t="s">
        <v>3551</v>
      </c>
      <c r="D189" t="s">
        <v>3529</v>
      </c>
      <c r="E189">
        <v>1.2</v>
      </c>
      <c r="F189">
        <v>0</v>
      </c>
      <c r="G189">
        <v>1.2</v>
      </c>
      <c r="H189">
        <v>26</v>
      </c>
    </row>
    <row r="190" spans="1:8">
      <c r="A190" s="427" t="s">
        <v>3771</v>
      </c>
      <c r="B190" t="s">
        <v>3772</v>
      </c>
      <c r="C190" t="s">
        <v>3528</v>
      </c>
      <c r="D190" t="s">
        <v>3538</v>
      </c>
      <c r="E190">
        <v>0</v>
      </c>
      <c r="F190">
        <v>0</v>
      </c>
      <c r="G190">
        <v>0</v>
      </c>
      <c r="H190">
        <v>7.27</v>
      </c>
    </row>
    <row r="191" spans="1:8">
      <c r="A191" s="427" t="s">
        <v>3773</v>
      </c>
      <c r="B191" t="s">
        <v>3774</v>
      </c>
      <c r="C191" t="s">
        <v>3579</v>
      </c>
      <c r="D191" t="s">
        <v>3565</v>
      </c>
      <c r="E191">
        <v>2</v>
      </c>
      <c r="F191">
        <v>0</v>
      </c>
      <c r="G191">
        <v>2</v>
      </c>
      <c r="H191">
        <v>27.2</v>
      </c>
    </row>
    <row r="192" spans="1:8">
      <c r="A192" s="427" t="s">
        <v>3775</v>
      </c>
      <c r="B192" t="s">
        <v>3776</v>
      </c>
      <c r="C192" t="s">
        <v>3717</v>
      </c>
      <c r="D192" t="s">
        <v>3777</v>
      </c>
      <c r="E192">
        <v>0</v>
      </c>
      <c r="F192">
        <v>0</v>
      </c>
      <c r="G192">
        <v>0</v>
      </c>
      <c r="H192" t="s">
        <v>3729</v>
      </c>
    </row>
    <row r="193" spans="1:8">
      <c r="A193" s="427" t="s">
        <v>3778</v>
      </c>
      <c r="B193" t="s">
        <v>3779</v>
      </c>
      <c r="C193" t="s">
        <v>3545</v>
      </c>
      <c r="D193" t="s">
        <v>3591</v>
      </c>
      <c r="E193">
        <v>2</v>
      </c>
      <c r="F193">
        <v>0</v>
      </c>
      <c r="G193">
        <v>2</v>
      </c>
      <c r="H193">
        <v>27</v>
      </c>
    </row>
    <row r="194" spans="1:8">
      <c r="A194" s="427" t="s">
        <v>3780</v>
      </c>
      <c r="B194" t="s">
        <v>3781</v>
      </c>
      <c r="C194" t="s">
        <v>3545</v>
      </c>
      <c r="D194" t="s">
        <v>3571</v>
      </c>
      <c r="E194">
        <v>3.57</v>
      </c>
      <c r="F194">
        <v>0</v>
      </c>
      <c r="G194">
        <v>3.57</v>
      </c>
      <c r="H194">
        <v>52.7</v>
      </c>
    </row>
    <row r="195" spans="1:8">
      <c r="A195" s="427" t="s">
        <v>4051</v>
      </c>
      <c r="B195" t="s">
        <v>3914</v>
      </c>
      <c r="C195" t="s">
        <v>3973</v>
      </c>
      <c r="D195" t="s">
        <v>3594</v>
      </c>
      <c r="E195">
        <v>0</v>
      </c>
      <c r="F195">
        <v>0</v>
      </c>
      <c r="G195">
        <v>0</v>
      </c>
      <c r="H195">
        <v>13.2</v>
      </c>
    </row>
    <row r="196" spans="1:8">
      <c r="A196" s="427" t="s">
        <v>2384</v>
      </c>
      <c r="B196" t="s">
        <v>1992</v>
      </c>
      <c r="C196" t="s">
        <v>3973</v>
      </c>
      <c r="D196" t="s">
        <v>3565</v>
      </c>
      <c r="E196">
        <v>6</v>
      </c>
      <c r="F196">
        <v>0.8</v>
      </c>
      <c r="G196">
        <v>6.8</v>
      </c>
      <c r="H196">
        <v>276</v>
      </c>
    </row>
    <row r="197" spans="1:8">
      <c r="A197" s="427" t="s">
        <v>3872</v>
      </c>
      <c r="B197" t="s">
        <v>3452</v>
      </c>
      <c r="C197" t="s">
        <v>3870</v>
      </c>
      <c r="D197" t="s">
        <v>3571</v>
      </c>
      <c r="E197">
        <v>3.5</v>
      </c>
      <c r="F197">
        <v>0</v>
      </c>
      <c r="G197">
        <v>3.5</v>
      </c>
      <c r="H197">
        <v>69.5</v>
      </c>
    </row>
    <row r="198" spans="1:8">
      <c r="A198" s="427" t="s">
        <v>3782</v>
      </c>
      <c r="B198" t="s">
        <v>464</v>
      </c>
      <c r="C198" t="s">
        <v>3590</v>
      </c>
      <c r="D198" t="s">
        <v>3644</v>
      </c>
      <c r="E198">
        <v>0</v>
      </c>
      <c r="F198">
        <v>0</v>
      </c>
      <c r="G198">
        <v>0</v>
      </c>
      <c r="H198">
        <v>38.799999999999997</v>
      </c>
    </row>
    <row r="199" spans="1:8">
      <c r="A199" s="427" t="s">
        <v>3783</v>
      </c>
      <c r="B199" t="s">
        <v>3784</v>
      </c>
      <c r="C199" t="s">
        <v>3551</v>
      </c>
      <c r="D199" t="s">
        <v>3571</v>
      </c>
      <c r="E199">
        <v>0</v>
      </c>
      <c r="F199">
        <v>0</v>
      </c>
      <c r="G199">
        <v>0</v>
      </c>
      <c r="H199">
        <v>9.6199999999999992</v>
      </c>
    </row>
    <row r="200" spans="1:8">
      <c r="A200" s="427" t="s">
        <v>3785</v>
      </c>
      <c r="B200" t="s">
        <v>3453</v>
      </c>
      <c r="C200" t="s">
        <v>3545</v>
      </c>
      <c r="D200" t="s">
        <v>3571</v>
      </c>
      <c r="E200">
        <v>1.6</v>
      </c>
      <c r="F200">
        <v>0</v>
      </c>
      <c r="G200">
        <v>1.6</v>
      </c>
      <c r="H200">
        <v>24.1</v>
      </c>
    </row>
    <row r="201" spans="1:8">
      <c r="A201" s="427" t="s">
        <v>3786</v>
      </c>
      <c r="B201" t="s">
        <v>3787</v>
      </c>
      <c r="C201" t="s">
        <v>3551</v>
      </c>
      <c r="D201" t="s">
        <v>3571</v>
      </c>
      <c r="E201">
        <v>0.8</v>
      </c>
      <c r="F201">
        <v>0.8</v>
      </c>
      <c r="G201">
        <v>1.6</v>
      </c>
      <c r="H201">
        <v>15.9</v>
      </c>
    </row>
    <row r="202" spans="1:8">
      <c r="A202" s="427" t="s">
        <v>2389</v>
      </c>
      <c r="B202" t="s">
        <v>2390</v>
      </c>
      <c r="C202" t="s">
        <v>3555</v>
      </c>
      <c r="D202" t="s">
        <v>3616</v>
      </c>
      <c r="E202">
        <v>6</v>
      </c>
      <c r="F202">
        <v>0</v>
      </c>
      <c r="G202">
        <v>6</v>
      </c>
      <c r="H202">
        <v>93</v>
      </c>
    </row>
    <row r="203" spans="1:8">
      <c r="A203" s="427" t="s">
        <v>3788</v>
      </c>
      <c r="B203" t="s">
        <v>472</v>
      </c>
      <c r="C203" t="s">
        <v>3555</v>
      </c>
      <c r="D203" t="s">
        <v>3619</v>
      </c>
      <c r="E203">
        <v>0</v>
      </c>
      <c r="F203">
        <v>0</v>
      </c>
      <c r="G203">
        <v>0</v>
      </c>
      <c r="H203">
        <v>6.54</v>
      </c>
    </row>
    <row r="204" spans="1:8">
      <c r="A204" s="427" t="s">
        <v>3789</v>
      </c>
      <c r="B204" t="s">
        <v>3456</v>
      </c>
      <c r="C204" t="s">
        <v>3568</v>
      </c>
      <c r="D204" t="s">
        <v>3552</v>
      </c>
      <c r="E204">
        <v>3.7</v>
      </c>
      <c r="F204">
        <v>0</v>
      </c>
      <c r="G204">
        <v>3.7</v>
      </c>
      <c r="H204">
        <v>58.8</v>
      </c>
    </row>
    <row r="205" spans="1:8">
      <c r="A205" s="427" t="s">
        <v>3790</v>
      </c>
      <c r="B205" t="s">
        <v>3791</v>
      </c>
      <c r="C205" t="s">
        <v>3528</v>
      </c>
      <c r="D205" t="s">
        <v>3573</v>
      </c>
      <c r="E205">
        <v>1.5</v>
      </c>
      <c r="F205">
        <v>0</v>
      </c>
      <c r="G205">
        <v>1.5</v>
      </c>
      <c r="H205">
        <v>26.2</v>
      </c>
    </row>
    <row r="206" spans="1:8">
      <c r="A206" s="427" t="s">
        <v>2395</v>
      </c>
      <c r="B206" t="s">
        <v>1949</v>
      </c>
      <c r="C206" t="s">
        <v>3575</v>
      </c>
      <c r="D206" t="s">
        <v>3552</v>
      </c>
      <c r="E206">
        <v>0</v>
      </c>
      <c r="F206">
        <v>0</v>
      </c>
      <c r="G206">
        <v>0</v>
      </c>
      <c r="H206">
        <v>3.6</v>
      </c>
    </row>
    <row r="207" spans="1:8">
      <c r="A207" s="427" t="s">
        <v>3792</v>
      </c>
      <c r="B207" t="s">
        <v>3336</v>
      </c>
      <c r="C207" t="s">
        <v>3557</v>
      </c>
      <c r="D207" t="s">
        <v>3793</v>
      </c>
      <c r="E207">
        <v>0</v>
      </c>
      <c r="F207">
        <v>0</v>
      </c>
      <c r="G207">
        <v>0</v>
      </c>
      <c r="H207">
        <v>1.23</v>
      </c>
    </row>
    <row r="208" spans="1:8">
      <c r="A208" s="427" t="s">
        <v>3794</v>
      </c>
      <c r="B208" t="s">
        <v>473</v>
      </c>
      <c r="C208" t="s">
        <v>3551</v>
      </c>
      <c r="D208" t="s">
        <v>3573</v>
      </c>
      <c r="E208">
        <v>0</v>
      </c>
      <c r="F208">
        <v>0</v>
      </c>
      <c r="G208">
        <v>0</v>
      </c>
      <c r="H208">
        <v>2.36</v>
      </c>
    </row>
    <row r="209" spans="1:8">
      <c r="A209" s="427" t="s">
        <v>3795</v>
      </c>
      <c r="B209" t="s">
        <v>3796</v>
      </c>
      <c r="C209" t="s">
        <v>3551</v>
      </c>
      <c r="D209" t="s">
        <v>3558</v>
      </c>
      <c r="E209">
        <v>15</v>
      </c>
      <c r="F209">
        <v>0.5</v>
      </c>
      <c r="G209">
        <v>15.5</v>
      </c>
      <c r="H209">
        <v>504</v>
      </c>
    </row>
    <row r="210" spans="1:8">
      <c r="A210" s="427" t="s">
        <v>2397</v>
      </c>
      <c r="B210" t="s">
        <v>2398</v>
      </c>
      <c r="C210" t="s">
        <v>3631</v>
      </c>
      <c r="D210" t="s">
        <v>3797</v>
      </c>
      <c r="E210">
        <v>9</v>
      </c>
      <c r="F210">
        <v>0</v>
      </c>
      <c r="G210">
        <v>9</v>
      </c>
      <c r="H210">
        <v>369</v>
      </c>
    </row>
    <row r="211" spans="1:8">
      <c r="A211" s="427" t="s">
        <v>3798</v>
      </c>
      <c r="B211" t="s">
        <v>3799</v>
      </c>
      <c r="C211" t="s">
        <v>3525</v>
      </c>
      <c r="D211" t="s">
        <v>3660</v>
      </c>
      <c r="E211">
        <v>4.5999999999999996</v>
      </c>
      <c r="F211">
        <v>0</v>
      </c>
      <c r="G211">
        <v>4.5999999999999996</v>
      </c>
      <c r="H211">
        <v>150</v>
      </c>
    </row>
    <row r="212" spans="1:8">
      <c r="A212" s="427" t="s">
        <v>3800</v>
      </c>
      <c r="B212" t="s">
        <v>520</v>
      </c>
      <c r="C212" t="s">
        <v>3555</v>
      </c>
      <c r="D212" t="s">
        <v>3610</v>
      </c>
      <c r="E212">
        <v>1.5</v>
      </c>
      <c r="F212">
        <v>0</v>
      </c>
      <c r="G212">
        <v>1.5</v>
      </c>
      <c r="H212">
        <v>42</v>
      </c>
    </row>
    <row r="213" spans="1:8">
      <c r="A213" s="427" t="s">
        <v>3968</v>
      </c>
      <c r="B213" t="s">
        <v>3969</v>
      </c>
      <c r="C213" t="s">
        <v>3870</v>
      </c>
      <c r="D213" t="s">
        <v>3970</v>
      </c>
      <c r="E213">
        <v>0</v>
      </c>
      <c r="F213">
        <v>0</v>
      </c>
      <c r="G213">
        <v>0</v>
      </c>
    </row>
    <row r="214" spans="1:8">
      <c r="A214" s="427" t="s">
        <v>3801</v>
      </c>
      <c r="B214" t="s">
        <v>3802</v>
      </c>
      <c r="C214" t="s">
        <v>3545</v>
      </c>
      <c r="D214" t="s">
        <v>3654</v>
      </c>
      <c r="E214">
        <v>0</v>
      </c>
      <c r="F214">
        <v>0</v>
      </c>
      <c r="G214">
        <v>0</v>
      </c>
      <c r="H214">
        <v>18.2</v>
      </c>
    </row>
    <row r="215" spans="1:8">
      <c r="A215" s="427" t="s">
        <v>3971</v>
      </c>
      <c r="B215" t="s">
        <v>3972</v>
      </c>
      <c r="C215" t="s">
        <v>3973</v>
      </c>
      <c r="D215" t="s">
        <v>3571</v>
      </c>
      <c r="E215">
        <v>2</v>
      </c>
      <c r="F215">
        <v>0</v>
      </c>
      <c r="G215">
        <v>2</v>
      </c>
      <c r="H215">
        <v>38</v>
      </c>
    </row>
    <row r="216" spans="1:8">
      <c r="A216" s="427" t="s">
        <v>4052</v>
      </c>
      <c r="B216" t="s">
        <v>4053</v>
      </c>
      <c r="C216" t="s">
        <v>3973</v>
      </c>
      <c r="D216" t="s">
        <v>3571</v>
      </c>
      <c r="E216">
        <v>0</v>
      </c>
      <c r="F216">
        <v>0</v>
      </c>
      <c r="G216">
        <v>0</v>
      </c>
      <c r="H216">
        <v>7.7</v>
      </c>
    </row>
    <row r="217" spans="1:8">
      <c r="A217" s="427" t="s">
        <v>3803</v>
      </c>
      <c r="B217" t="s">
        <v>3804</v>
      </c>
      <c r="C217" t="s">
        <v>3590</v>
      </c>
      <c r="D217" t="s">
        <v>3558</v>
      </c>
      <c r="E217">
        <v>3</v>
      </c>
      <c r="F217">
        <v>0</v>
      </c>
      <c r="G217">
        <v>3</v>
      </c>
      <c r="H217">
        <v>121</v>
      </c>
    </row>
    <row r="218" spans="1:8">
      <c r="A218" s="427" t="s">
        <v>3873</v>
      </c>
      <c r="B218" t="s">
        <v>3874</v>
      </c>
      <c r="C218" t="s">
        <v>3870</v>
      </c>
      <c r="D218" t="s">
        <v>3571</v>
      </c>
      <c r="E218">
        <v>2.12</v>
      </c>
      <c r="F218">
        <v>0</v>
      </c>
      <c r="G218">
        <v>2.12</v>
      </c>
      <c r="H218">
        <v>42.1</v>
      </c>
    </row>
    <row r="219" spans="1:8">
      <c r="A219" s="427" t="s">
        <v>3805</v>
      </c>
      <c r="B219" t="s">
        <v>3806</v>
      </c>
      <c r="C219" t="s">
        <v>3537</v>
      </c>
      <c r="D219" t="s">
        <v>3616</v>
      </c>
      <c r="E219">
        <v>0</v>
      </c>
      <c r="F219">
        <v>0</v>
      </c>
      <c r="G219">
        <v>0</v>
      </c>
      <c r="H219">
        <v>37.200000000000003</v>
      </c>
    </row>
    <row r="220" spans="1:8">
      <c r="A220" s="427" t="s">
        <v>3807</v>
      </c>
      <c r="B220" t="s">
        <v>1880</v>
      </c>
      <c r="C220" t="s">
        <v>3568</v>
      </c>
      <c r="D220" t="s">
        <v>3565</v>
      </c>
      <c r="E220">
        <v>4</v>
      </c>
      <c r="F220">
        <v>0</v>
      </c>
      <c r="G220">
        <v>4</v>
      </c>
      <c r="H220">
        <v>56.1</v>
      </c>
    </row>
    <row r="221" spans="1:8">
      <c r="A221" s="427" t="s">
        <v>3808</v>
      </c>
      <c r="B221" t="s">
        <v>3809</v>
      </c>
      <c r="C221" t="s">
        <v>3590</v>
      </c>
      <c r="D221" t="s">
        <v>3565</v>
      </c>
      <c r="E221">
        <v>2</v>
      </c>
      <c r="F221">
        <v>0</v>
      </c>
      <c r="G221">
        <v>2</v>
      </c>
      <c r="H221">
        <v>86</v>
      </c>
    </row>
    <row r="222" spans="1:8">
      <c r="A222" s="427" t="s">
        <v>3810</v>
      </c>
      <c r="B222" t="s">
        <v>1900</v>
      </c>
      <c r="C222" t="s">
        <v>3590</v>
      </c>
      <c r="D222" t="s">
        <v>3591</v>
      </c>
      <c r="E222">
        <v>1.5</v>
      </c>
      <c r="F222">
        <v>2.5</v>
      </c>
      <c r="G222">
        <v>4</v>
      </c>
      <c r="H222">
        <v>62.6</v>
      </c>
    </row>
    <row r="223" spans="1:8">
      <c r="A223" s="427" t="s">
        <v>3811</v>
      </c>
      <c r="B223" t="s">
        <v>3812</v>
      </c>
      <c r="C223" t="s">
        <v>3641</v>
      </c>
      <c r="D223" t="s">
        <v>3591</v>
      </c>
      <c r="E223">
        <v>0</v>
      </c>
      <c r="F223">
        <v>0</v>
      </c>
      <c r="G223">
        <v>0</v>
      </c>
      <c r="H223">
        <v>80.5</v>
      </c>
    </row>
    <row r="224" spans="1:8">
      <c r="A224" s="427" t="s">
        <v>3813</v>
      </c>
      <c r="B224" t="s">
        <v>3814</v>
      </c>
      <c r="C224" t="s">
        <v>3545</v>
      </c>
      <c r="D224" t="s">
        <v>3554</v>
      </c>
      <c r="E224">
        <v>1.9870000000000001</v>
      </c>
      <c r="F224">
        <v>0</v>
      </c>
      <c r="G224">
        <v>1.9870000000000001</v>
      </c>
      <c r="H224">
        <v>31.5</v>
      </c>
    </row>
    <row r="225" spans="1:8">
      <c r="A225" s="427" t="s">
        <v>3815</v>
      </c>
      <c r="B225" t="s">
        <v>3816</v>
      </c>
      <c r="C225" t="s">
        <v>3525</v>
      </c>
      <c r="D225" t="s">
        <v>3660</v>
      </c>
      <c r="E225">
        <v>0</v>
      </c>
      <c r="F225">
        <v>0</v>
      </c>
      <c r="G225">
        <v>0</v>
      </c>
      <c r="H225">
        <v>202</v>
      </c>
    </row>
    <row r="226" spans="1:8">
      <c r="A226" s="427" t="s">
        <v>3817</v>
      </c>
      <c r="B226" t="s">
        <v>3818</v>
      </c>
      <c r="C226" t="s">
        <v>3551</v>
      </c>
      <c r="D226" t="s">
        <v>3672</v>
      </c>
      <c r="E226">
        <v>3.1160000000000001</v>
      </c>
      <c r="F226">
        <v>0</v>
      </c>
      <c r="G226">
        <v>3.1160000000000001</v>
      </c>
      <c r="H226">
        <v>50.1</v>
      </c>
    </row>
    <row r="227" spans="1:8">
      <c r="A227" s="427" t="s">
        <v>3875</v>
      </c>
      <c r="B227" t="s">
        <v>3876</v>
      </c>
      <c r="C227" t="s">
        <v>3870</v>
      </c>
      <c r="D227" t="s">
        <v>3646</v>
      </c>
      <c r="E227">
        <v>0</v>
      </c>
      <c r="F227">
        <v>0</v>
      </c>
      <c r="G227">
        <v>0</v>
      </c>
      <c r="H227">
        <v>47.8</v>
      </c>
    </row>
    <row r="228" spans="1:8">
      <c r="A228" s="427" t="s">
        <v>3819</v>
      </c>
      <c r="B228" t="s">
        <v>3820</v>
      </c>
      <c r="C228" t="s">
        <v>3590</v>
      </c>
      <c r="D228" t="s">
        <v>3660</v>
      </c>
      <c r="E228">
        <v>3</v>
      </c>
      <c r="F228">
        <v>5</v>
      </c>
      <c r="G228">
        <v>8</v>
      </c>
      <c r="H228">
        <v>300</v>
      </c>
    </row>
    <row r="229" spans="1:8">
      <c r="A229" s="427" t="s">
        <v>3821</v>
      </c>
      <c r="B229" t="s">
        <v>3822</v>
      </c>
      <c r="C229" t="s">
        <v>3717</v>
      </c>
      <c r="D229" t="s">
        <v>3663</v>
      </c>
      <c r="E229">
        <v>6.1449999999999996</v>
      </c>
      <c r="F229">
        <v>0</v>
      </c>
      <c r="G229">
        <v>6.1449999999999996</v>
      </c>
      <c r="H229" t="s">
        <v>3458</v>
      </c>
    </row>
    <row r="230" spans="1:8">
      <c r="A230" s="427" t="s">
        <v>3823</v>
      </c>
      <c r="B230" t="s">
        <v>3824</v>
      </c>
      <c r="C230" t="s">
        <v>3575</v>
      </c>
      <c r="D230" t="s">
        <v>3689</v>
      </c>
      <c r="E230">
        <v>3</v>
      </c>
      <c r="F230">
        <v>0</v>
      </c>
      <c r="G230">
        <v>3</v>
      </c>
      <c r="H230">
        <v>81.5</v>
      </c>
    </row>
    <row r="231" spans="1:8">
      <c r="A231" s="427" t="s">
        <v>3974</v>
      </c>
      <c r="B231" t="s">
        <v>3975</v>
      </c>
      <c r="C231" t="s">
        <v>3973</v>
      </c>
      <c r="D231" t="s">
        <v>3616</v>
      </c>
      <c r="E231">
        <v>0</v>
      </c>
      <c r="F231">
        <v>0</v>
      </c>
      <c r="G231">
        <v>0</v>
      </c>
      <c r="H231">
        <v>39.4</v>
      </c>
    </row>
    <row r="232" spans="1:8">
      <c r="A232" s="427" t="s">
        <v>3825</v>
      </c>
      <c r="B232" t="s">
        <v>3826</v>
      </c>
      <c r="C232" t="s">
        <v>3579</v>
      </c>
      <c r="D232" t="s">
        <v>3613</v>
      </c>
      <c r="E232">
        <v>0.3</v>
      </c>
      <c r="F232">
        <v>0</v>
      </c>
      <c r="G232">
        <v>0.3</v>
      </c>
      <c r="H232">
        <v>30.7</v>
      </c>
    </row>
    <row r="233" spans="1:8">
      <c r="A233" s="427" t="s">
        <v>3877</v>
      </c>
      <c r="B233" t="s">
        <v>3878</v>
      </c>
      <c r="C233" t="s">
        <v>3870</v>
      </c>
      <c r="D233" t="s">
        <v>3654</v>
      </c>
      <c r="E233">
        <v>2.5</v>
      </c>
      <c r="F233">
        <v>0</v>
      </c>
      <c r="G233">
        <v>2.5</v>
      </c>
      <c r="H233">
        <v>43</v>
      </c>
    </row>
    <row r="234" spans="1:8">
      <c r="A234" s="427" t="s">
        <v>3879</v>
      </c>
      <c r="B234" t="s">
        <v>3880</v>
      </c>
      <c r="C234" t="s">
        <v>3870</v>
      </c>
      <c r="D234" t="s">
        <v>3534</v>
      </c>
      <c r="E234">
        <v>6</v>
      </c>
      <c r="F234">
        <v>1</v>
      </c>
      <c r="G234">
        <v>7</v>
      </c>
      <c r="H234">
        <v>187</v>
      </c>
    </row>
    <row r="235" spans="1:8">
      <c r="A235" s="427" t="s">
        <v>3827</v>
      </c>
      <c r="B235" t="s">
        <v>3828</v>
      </c>
      <c r="C235" t="s">
        <v>3568</v>
      </c>
      <c r="D235" t="s">
        <v>3797</v>
      </c>
      <c r="E235">
        <v>0</v>
      </c>
      <c r="F235">
        <v>0</v>
      </c>
      <c r="G235">
        <v>0</v>
      </c>
      <c r="H235">
        <v>38.4</v>
      </c>
    </row>
    <row r="236" spans="1:8">
      <c r="A236" s="427" t="s">
        <v>3829</v>
      </c>
      <c r="B236" t="s">
        <v>3337</v>
      </c>
      <c r="C236" t="s">
        <v>3528</v>
      </c>
      <c r="D236" t="s">
        <v>3571</v>
      </c>
      <c r="E236">
        <v>2</v>
      </c>
      <c r="F236">
        <v>0.2</v>
      </c>
      <c r="G236">
        <v>2.2000000000000002</v>
      </c>
      <c r="H236">
        <v>38.299999999999997</v>
      </c>
    </row>
    <row r="237" spans="1:8">
      <c r="A237" s="427" t="s">
        <v>3830</v>
      </c>
      <c r="B237" t="s">
        <v>3338</v>
      </c>
      <c r="C237" t="s">
        <v>3528</v>
      </c>
      <c r="D237" t="s">
        <v>3663</v>
      </c>
      <c r="E237">
        <v>7</v>
      </c>
      <c r="F237">
        <v>0</v>
      </c>
      <c r="G237">
        <v>7</v>
      </c>
      <c r="H237">
        <v>90</v>
      </c>
    </row>
    <row r="238" spans="1:8">
      <c r="A238" s="427" t="s">
        <v>2407</v>
      </c>
      <c r="B238" t="s">
        <v>1966</v>
      </c>
      <c r="C238" t="s">
        <v>3557</v>
      </c>
      <c r="D238" t="s">
        <v>3552</v>
      </c>
      <c r="E238">
        <v>1.5</v>
      </c>
      <c r="F238">
        <v>0</v>
      </c>
      <c r="G238">
        <v>1.5</v>
      </c>
      <c r="H238">
        <v>26.3</v>
      </c>
    </row>
    <row r="239" spans="1:8">
      <c r="A239" s="427" t="s">
        <v>3831</v>
      </c>
      <c r="B239" t="s">
        <v>488</v>
      </c>
      <c r="C239" t="s">
        <v>3585</v>
      </c>
      <c r="D239" t="s">
        <v>3558</v>
      </c>
      <c r="E239">
        <v>7.8</v>
      </c>
      <c r="F239">
        <v>0</v>
      </c>
      <c r="G239">
        <v>7.8</v>
      </c>
      <c r="H239">
        <v>139</v>
      </c>
    </row>
    <row r="240" spans="1:8">
      <c r="A240" s="427" t="s">
        <v>3832</v>
      </c>
      <c r="B240" t="s">
        <v>3334</v>
      </c>
      <c r="C240" t="s">
        <v>3590</v>
      </c>
      <c r="D240" t="s">
        <v>3538</v>
      </c>
      <c r="E240">
        <v>2</v>
      </c>
      <c r="F240">
        <v>0</v>
      </c>
      <c r="G240">
        <v>2</v>
      </c>
      <c r="H240">
        <v>22.2</v>
      </c>
    </row>
    <row r="241" spans="1:8">
      <c r="A241" s="427" t="s">
        <v>3833</v>
      </c>
      <c r="B241" t="s">
        <v>1787</v>
      </c>
      <c r="C241" t="s">
        <v>3545</v>
      </c>
      <c r="D241" t="s">
        <v>3571</v>
      </c>
      <c r="E241">
        <v>0</v>
      </c>
      <c r="F241">
        <v>0</v>
      </c>
      <c r="G241">
        <v>0</v>
      </c>
      <c r="H241">
        <v>9</v>
      </c>
    </row>
    <row r="242" spans="1:8">
      <c r="A242" s="427" t="s">
        <v>3834</v>
      </c>
      <c r="B242" t="s">
        <v>3835</v>
      </c>
      <c r="C242" t="s">
        <v>3528</v>
      </c>
      <c r="D242" t="s">
        <v>3594</v>
      </c>
      <c r="E242">
        <v>0</v>
      </c>
      <c r="F242">
        <v>0</v>
      </c>
      <c r="G242">
        <v>0</v>
      </c>
      <c r="H242">
        <v>5.5</v>
      </c>
    </row>
    <row r="243" spans="1:8">
      <c r="A243" s="427" t="s">
        <v>3836</v>
      </c>
      <c r="B243" t="s">
        <v>3837</v>
      </c>
      <c r="C243" t="s">
        <v>3631</v>
      </c>
      <c r="D243" t="s">
        <v>3736</v>
      </c>
      <c r="E243">
        <v>0</v>
      </c>
      <c r="F243">
        <v>0</v>
      </c>
      <c r="G243">
        <v>0</v>
      </c>
      <c r="H243">
        <v>8.23</v>
      </c>
    </row>
    <row r="244" spans="1:8">
      <c r="A244" s="427" t="s">
        <v>3838</v>
      </c>
      <c r="B244" t="s">
        <v>3326</v>
      </c>
      <c r="C244" t="s">
        <v>3545</v>
      </c>
      <c r="D244" t="s">
        <v>3591</v>
      </c>
      <c r="E244">
        <v>1.2</v>
      </c>
      <c r="F244">
        <v>0</v>
      </c>
      <c r="G244">
        <v>1.2</v>
      </c>
      <c r="H244">
        <v>20.7</v>
      </c>
    </row>
    <row r="245" spans="1:8">
      <c r="A245" s="427" t="s">
        <v>3839</v>
      </c>
      <c r="B245" t="s">
        <v>3840</v>
      </c>
      <c r="C245" t="s">
        <v>3575</v>
      </c>
      <c r="D245" t="s">
        <v>3622</v>
      </c>
      <c r="E245">
        <v>0.8</v>
      </c>
      <c r="F245">
        <v>0</v>
      </c>
      <c r="G245">
        <v>0.8</v>
      </c>
      <c r="H245">
        <v>30.9</v>
      </c>
    </row>
    <row r="246" spans="1:8">
      <c r="A246" s="427" t="s">
        <v>3841</v>
      </c>
      <c r="B246" t="s">
        <v>3842</v>
      </c>
      <c r="C246" t="s">
        <v>3555</v>
      </c>
      <c r="D246" t="s">
        <v>3797</v>
      </c>
      <c r="E246">
        <v>0</v>
      </c>
      <c r="F246">
        <v>0</v>
      </c>
      <c r="G246">
        <v>0</v>
      </c>
    </row>
    <row r="247" spans="1:8">
      <c r="A247" s="427" t="s">
        <v>3843</v>
      </c>
      <c r="B247" t="s">
        <v>3844</v>
      </c>
      <c r="C247" t="s">
        <v>3590</v>
      </c>
      <c r="D247" t="s">
        <v>3607</v>
      </c>
      <c r="E247">
        <v>0.5</v>
      </c>
      <c r="F247">
        <v>0</v>
      </c>
      <c r="G247">
        <v>0.5</v>
      </c>
      <c r="H247">
        <v>58</v>
      </c>
    </row>
    <row r="248" spans="1:8">
      <c r="A248" s="427" t="s">
        <v>3845</v>
      </c>
      <c r="B248" t="s">
        <v>3846</v>
      </c>
      <c r="C248" t="s">
        <v>3537</v>
      </c>
      <c r="D248" t="s">
        <v>3616</v>
      </c>
      <c r="E248">
        <v>3.5</v>
      </c>
      <c r="F248">
        <v>0</v>
      </c>
      <c r="G248">
        <v>3.5</v>
      </c>
      <c r="H248">
        <v>141</v>
      </c>
    </row>
    <row r="249" spans="1:8">
      <c r="A249" s="427" t="s">
        <v>3847</v>
      </c>
      <c r="B249" t="s">
        <v>3848</v>
      </c>
      <c r="C249" t="s">
        <v>3590</v>
      </c>
      <c r="D249" t="s">
        <v>3531</v>
      </c>
      <c r="E249">
        <v>0.3</v>
      </c>
      <c r="F249">
        <v>1</v>
      </c>
      <c r="G249">
        <v>1.3</v>
      </c>
      <c r="H249">
        <v>34</v>
      </c>
    </row>
    <row r="250" spans="1:8">
      <c r="A250" s="427" t="s">
        <v>2422</v>
      </c>
      <c r="B250" t="s">
        <v>1804</v>
      </c>
      <c r="C250" t="s">
        <v>3551</v>
      </c>
      <c r="D250" t="s">
        <v>3672</v>
      </c>
      <c r="E250">
        <v>6.8</v>
      </c>
      <c r="F250">
        <v>0</v>
      </c>
      <c r="G250">
        <v>6.8</v>
      </c>
      <c r="H250">
        <v>337</v>
      </c>
    </row>
    <row r="251" spans="1:8">
      <c r="A251" s="427" t="s">
        <v>3881</v>
      </c>
      <c r="B251" t="s">
        <v>497</v>
      </c>
      <c r="C251" t="s">
        <v>3870</v>
      </c>
      <c r="D251" t="s">
        <v>3565</v>
      </c>
      <c r="E251">
        <v>1.2</v>
      </c>
      <c r="F251">
        <v>0</v>
      </c>
      <c r="G251">
        <v>1.2</v>
      </c>
      <c r="H251">
        <v>22</v>
      </c>
    </row>
    <row r="252" spans="1:8">
      <c r="A252" s="427" t="s">
        <v>4054</v>
      </c>
      <c r="B252" t="s">
        <v>499</v>
      </c>
      <c r="C252" t="s">
        <v>3973</v>
      </c>
      <c r="D252" t="s">
        <v>3571</v>
      </c>
      <c r="E252">
        <v>2.5</v>
      </c>
      <c r="F252">
        <v>0</v>
      </c>
      <c r="G252">
        <v>2.5</v>
      </c>
      <c r="H252">
        <v>38.5</v>
      </c>
    </row>
    <row r="253" spans="1:8">
      <c r="A253" s="427" t="s">
        <v>3976</v>
      </c>
      <c r="B253" t="s">
        <v>3977</v>
      </c>
      <c r="C253" t="s">
        <v>3973</v>
      </c>
      <c r="D253" t="s">
        <v>3571</v>
      </c>
      <c r="E253">
        <v>3.6</v>
      </c>
      <c r="F253">
        <v>0</v>
      </c>
      <c r="G253">
        <v>3.6</v>
      </c>
      <c r="H253">
        <v>54</v>
      </c>
    </row>
    <row r="254" spans="1:8">
      <c r="A254" s="427" t="s">
        <v>3849</v>
      </c>
      <c r="B254" t="s">
        <v>503</v>
      </c>
      <c r="C254" t="s">
        <v>3850</v>
      </c>
      <c r="D254" t="s">
        <v>3597</v>
      </c>
      <c r="E254">
        <v>3.15</v>
      </c>
      <c r="F254">
        <v>0</v>
      </c>
      <c r="G254">
        <v>3.15</v>
      </c>
      <c r="H254">
        <v>49.1</v>
      </c>
    </row>
    <row r="255" spans="1:8">
      <c r="A255" s="427" t="s">
        <v>2431</v>
      </c>
      <c r="B255" t="s">
        <v>504</v>
      </c>
      <c r="C255" t="s">
        <v>3555</v>
      </c>
      <c r="D255" t="s">
        <v>3619</v>
      </c>
      <c r="E255">
        <v>2.8</v>
      </c>
      <c r="F255">
        <v>0</v>
      </c>
      <c r="G255">
        <v>2.8</v>
      </c>
      <c r="H255">
        <v>84</v>
      </c>
    </row>
    <row r="256" spans="1:8">
      <c r="A256" s="427" t="s">
        <v>3851</v>
      </c>
      <c r="B256" t="s">
        <v>3852</v>
      </c>
      <c r="C256" t="s">
        <v>3555</v>
      </c>
      <c r="D256" t="s">
        <v>3660</v>
      </c>
      <c r="E256">
        <v>7</v>
      </c>
      <c r="F256">
        <v>0</v>
      </c>
      <c r="G256">
        <v>7</v>
      </c>
      <c r="H256">
        <v>211</v>
      </c>
    </row>
    <row r="257" spans="1:8">
      <c r="A257" s="427" t="s">
        <v>3853</v>
      </c>
      <c r="B257" t="s">
        <v>3854</v>
      </c>
      <c r="C257" t="s">
        <v>3557</v>
      </c>
      <c r="D257" t="s">
        <v>3534</v>
      </c>
      <c r="E257">
        <v>2.10608</v>
      </c>
      <c r="F257">
        <v>1.8</v>
      </c>
      <c r="G257">
        <v>3.9060800000000002</v>
      </c>
      <c r="H257">
        <v>89</v>
      </c>
    </row>
    <row r="258" spans="1:8">
      <c r="A258" s="427" t="s">
        <v>3855</v>
      </c>
      <c r="B258" t="s">
        <v>3856</v>
      </c>
      <c r="C258" t="s">
        <v>3652</v>
      </c>
      <c r="D258" t="s">
        <v>3857</v>
      </c>
      <c r="E258">
        <v>1.45</v>
      </c>
      <c r="F258">
        <v>1</v>
      </c>
      <c r="G258">
        <v>2.4500000000000002</v>
      </c>
      <c r="H258">
        <v>97.5</v>
      </c>
    </row>
    <row r="259" spans="1:8">
      <c r="A259" s="427" t="s">
        <v>3882</v>
      </c>
      <c r="B259" t="s">
        <v>505</v>
      </c>
      <c r="C259" t="s">
        <v>3870</v>
      </c>
      <c r="D259" t="s">
        <v>3534</v>
      </c>
      <c r="E259">
        <v>0.6</v>
      </c>
      <c r="F259">
        <v>0.6</v>
      </c>
      <c r="G259">
        <v>1.2</v>
      </c>
      <c r="H259" t="s">
        <v>3729</v>
      </c>
    </row>
    <row r="260" spans="1:8">
      <c r="A260" s="427" t="s">
        <v>3978</v>
      </c>
      <c r="B260" t="s">
        <v>3979</v>
      </c>
      <c r="C260" t="s">
        <v>3973</v>
      </c>
      <c r="D260" t="s">
        <v>3531</v>
      </c>
      <c r="E260">
        <v>0.85</v>
      </c>
      <c r="F260">
        <v>0</v>
      </c>
      <c r="G260">
        <v>0.85</v>
      </c>
      <c r="H260" t="s">
        <v>3729</v>
      </c>
    </row>
    <row r="261" spans="1:8">
      <c r="A261" s="427" t="s">
        <v>3858</v>
      </c>
      <c r="B261" t="s">
        <v>510</v>
      </c>
      <c r="C261" t="s">
        <v>3555</v>
      </c>
      <c r="D261" t="s">
        <v>3571</v>
      </c>
      <c r="E261">
        <v>2.5</v>
      </c>
      <c r="F261">
        <v>0</v>
      </c>
      <c r="G261">
        <v>2.5</v>
      </c>
      <c r="H261">
        <v>40</v>
      </c>
    </row>
    <row r="262" spans="1:8">
      <c r="A262" s="427" t="s">
        <v>3859</v>
      </c>
      <c r="B262" t="s">
        <v>3339</v>
      </c>
      <c r="C262" t="s">
        <v>3589</v>
      </c>
      <c r="D262" t="s">
        <v>3613</v>
      </c>
      <c r="E262">
        <v>0</v>
      </c>
      <c r="F262">
        <v>0</v>
      </c>
      <c r="G262">
        <v>0</v>
      </c>
      <c r="H262">
        <v>15.7</v>
      </c>
    </row>
    <row r="263" spans="1:8">
      <c r="A263" s="427" t="s">
        <v>2434</v>
      </c>
      <c r="B263" t="s">
        <v>1823</v>
      </c>
      <c r="C263" t="s">
        <v>3870</v>
      </c>
      <c r="D263" t="s">
        <v>3571</v>
      </c>
      <c r="E263">
        <v>6</v>
      </c>
      <c r="F263">
        <v>0</v>
      </c>
      <c r="G263">
        <v>6</v>
      </c>
      <c r="H263">
        <v>92.8</v>
      </c>
    </row>
    <row r="264" spans="1:8">
      <c r="A264" s="427" t="s">
        <v>3860</v>
      </c>
      <c r="B264" t="s">
        <v>3861</v>
      </c>
      <c r="C264" t="s">
        <v>3659</v>
      </c>
      <c r="D264" t="s">
        <v>3660</v>
      </c>
      <c r="E264">
        <v>4.1365400000000001</v>
      </c>
      <c r="F264">
        <v>0</v>
      </c>
      <c r="G264">
        <v>4.1365400000000001</v>
      </c>
    </row>
    <row r="265" spans="1:8">
      <c r="A265" s="427" t="s">
        <v>2437</v>
      </c>
      <c r="B265" t="s">
        <v>2438</v>
      </c>
      <c r="C265" t="s">
        <v>3870</v>
      </c>
      <c r="D265" t="s">
        <v>3546</v>
      </c>
      <c r="E265">
        <v>2</v>
      </c>
      <c r="F265">
        <v>0</v>
      </c>
      <c r="G265">
        <v>2</v>
      </c>
      <c r="H265">
        <v>52.9</v>
      </c>
    </row>
    <row r="266" spans="1:8">
      <c r="A266" s="427" t="s">
        <v>3862</v>
      </c>
      <c r="B266" t="s">
        <v>3863</v>
      </c>
      <c r="C266" t="s">
        <v>3551</v>
      </c>
      <c r="D266" t="s">
        <v>3538</v>
      </c>
      <c r="E266">
        <v>0.3</v>
      </c>
      <c r="F266">
        <v>0</v>
      </c>
      <c r="G266">
        <v>0.3</v>
      </c>
      <c r="H266">
        <v>12.1</v>
      </c>
    </row>
    <row r="267" spans="1:8">
      <c r="A267" s="427" t="s">
        <v>3864</v>
      </c>
      <c r="B267" t="s">
        <v>3340</v>
      </c>
      <c r="C267" t="s">
        <v>3590</v>
      </c>
      <c r="D267" t="s">
        <v>3616</v>
      </c>
      <c r="E267">
        <v>2</v>
      </c>
      <c r="F267">
        <v>0</v>
      </c>
      <c r="G267">
        <v>2</v>
      </c>
      <c r="H267">
        <v>82.6</v>
      </c>
    </row>
    <row r="268" spans="1:8">
      <c r="A268" s="427" t="s">
        <v>3865</v>
      </c>
      <c r="B268" t="s">
        <v>3866</v>
      </c>
      <c r="C268" t="s">
        <v>3551</v>
      </c>
      <c r="D268" t="s">
        <v>3797</v>
      </c>
      <c r="E268">
        <v>0.7</v>
      </c>
      <c r="F268">
        <v>0</v>
      </c>
      <c r="G268">
        <v>0.7</v>
      </c>
      <c r="H268">
        <v>27.7</v>
      </c>
    </row>
    <row r="269" spans="1:8">
      <c r="A269" s="427" t="s">
        <v>3867</v>
      </c>
      <c r="B269" t="s">
        <v>3868</v>
      </c>
      <c r="C269" t="s">
        <v>3659</v>
      </c>
      <c r="D269" t="s">
        <v>3660</v>
      </c>
      <c r="E269">
        <v>1.2041900000000001</v>
      </c>
      <c r="F269">
        <v>0</v>
      </c>
      <c r="G269">
        <v>1.2041900000000001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50" r:id="rId4" name="CommandButton1">
          <controlPr defaultSize="0" autoLine="0" r:id="rId5">
            <anchor moveWithCells="1">
              <from>
                <xdr:col>11</xdr:col>
                <xdr:colOff>381000</xdr:colOff>
                <xdr:row>0</xdr:row>
                <xdr:rowOff>85725</xdr:rowOff>
              </from>
              <to>
                <xdr:col>12</xdr:col>
                <xdr:colOff>381000</xdr:colOff>
                <xdr:row>0</xdr:row>
                <xdr:rowOff>552450</xdr:rowOff>
              </to>
            </anchor>
          </controlPr>
        </control>
      </mc:Choice>
      <mc:Fallback>
        <control shapeId="104450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 filterMode="1"/>
  <dimension ref="A1:AM334"/>
  <sheetViews>
    <sheetView zoomScale="80" zoomScaleNormal="8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J341" sqref="J340:J341"/>
    </sheetView>
  </sheetViews>
  <sheetFormatPr defaultColWidth="9" defaultRowHeight="16.5"/>
  <cols>
    <col min="1" max="4" width="13.375" style="234" customWidth="1"/>
    <col min="5" max="8" width="13.375" style="235" customWidth="1"/>
    <col min="9" max="14" width="13.375" style="234" customWidth="1"/>
    <col min="15" max="17" width="13.375" style="235" customWidth="1"/>
    <col min="18" max="26" width="13.375" style="234" customWidth="1"/>
    <col min="27" max="16384" width="9" style="234"/>
  </cols>
  <sheetData>
    <row r="1" spans="1:39" s="386" customFormat="1" ht="48.75" customHeight="1">
      <c r="A1" s="382" t="s">
        <v>3170</v>
      </c>
      <c r="B1" s="383" t="s">
        <v>2043</v>
      </c>
      <c r="C1" s="383" t="s">
        <v>2044</v>
      </c>
      <c r="D1" s="384">
        <f ca="1">TODAY()</f>
        <v>42438</v>
      </c>
      <c r="E1" s="383" t="s">
        <v>2045</v>
      </c>
      <c r="F1" s="383" t="s">
        <v>2046</v>
      </c>
      <c r="G1" s="383" t="s">
        <v>2047</v>
      </c>
      <c r="H1" s="385" t="s">
        <v>3461</v>
      </c>
      <c r="I1" s="386" t="s">
        <v>3462</v>
      </c>
      <c r="J1" s="386" t="s">
        <v>3463</v>
      </c>
      <c r="K1" s="386" t="s">
        <v>3465</v>
      </c>
      <c r="L1" s="386" t="s">
        <v>3466</v>
      </c>
      <c r="M1" s="386" t="s">
        <v>3467</v>
      </c>
      <c r="N1" s="386" t="s">
        <v>3468</v>
      </c>
      <c r="O1" s="387" t="s">
        <v>3469</v>
      </c>
      <c r="P1" s="387" t="s">
        <v>3470</v>
      </c>
      <c r="Q1" s="387" t="s">
        <v>3471</v>
      </c>
      <c r="R1" s="386" t="s">
        <v>3472</v>
      </c>
      <c r="T1" s="386">
        <v>10502</v>
      </c>
      <c r="U1" s="386">
        <v>12172</v>
      </c>
      <c r="V1" s="386" t="s">
        <v>2599</v>
      </c>
      <c r="W1" s="386" t="s">
        <v>2600</v>
      </c>
      <c r="X1" s="386">
        <v>11</v>
      </c>
      <c r="Y1" s="386">
        <v>11</v>
      </c>
      <c r="Z1" s="386">
        <v>0</v>
      </c>
      <c r="AA1" s="386">
        <v>0</v>
      </c>
      <c r="AB1" s="386">
        <v>3000</v>
      </c>
      <c r="AC1" s="386">
        <v>3</v>
      </c>
      <c r="AD1" s="388">
        <v>0</v>
      </c>
      <c r="AE1" s="388"/>
      <c r="AF1" s="388"/>
      <c r="AG1" s="388"/>
      <c r="AH1" s="388"/>
      <c r="AI1" s="388"/>
      <c r="AJ1" s="388"/>
      <c r="AK1" s="388"/>
      <c r="AL1" s="388"/>
      <c r="AM1" s="388"/>
    </row>
    <row r="2" spans="1:39" hidden="1">
      <c r="A2" s="244" t="s">
        <v>2505</v>
      </c>
      <c r="B2" s="244" t="s">
        <v>2506</v>
      </c>
      <c r="C2" s="244">
        <v>47031</v>
      </c>
      <c r="D2" s="245">
        <v>42121.000006736111</v>
      </c>
      <c r="E2" s="245">
        <v>43217.000006736111</v>
      </c>
      <c r="F2" s="246">
        <v>300000000</v>
      </c>
      <c r="G2" s="246">
        <v>300000000</v>
      </c>
      <c r="H2" s="243">
        <v>1</v>
      </c>
      <c r="I2" s="234">
        <v>780</v>
      </c>
      <c r="J2" s="234">
        <v>21.75</v>
      </c>
      <c r="K2" s="234">
        <v>60.1</v>
      </c>
      <c r="L2" s="234" t="e">
        <f>VLOOKUP(4703,收盤價!A:C,3,0)</f>
        <v>#N/A</v>
      </c>
      <c r="M2" s="234">
        <v>1664</v>
      </c>
      <c r="N2" s="234">
        <v>100</v>
      </c>
      <c r="O2" s="235">
        <v>-3.5977000000000001</v>
      </c>
      <c r="Q2" s="235">
        <v>-0.60096153846153844</v>
      </c>
      <c r="R2" s="234">
        <f>VLOOKUP(47031,U:AC,9,0)</f>
        <v>299</v>
      </c>
      <c r="S2" s="234" t="e">
        <f>VLOOKUP(4703,季財報!A:N,8,0)</f>
        <v>#N/A</v>
      </c>
      <c r="T2" s="234">
        <v>10502</v>
      </c>
      <c r="U2" s="234">
        <v>12173</v>
      </c>
      <c r="V2" s="234" t="s">
        <v>2601</v>
      </c>
      <c r="W2" s="234" t="s">
        <v>2600</v>
      </c>
      <c r="X2" s="234">
        <v>593</v>
      </c>
      <c r="Y2" s="234">
        <v>4608</v>
      </c>
      <c r="Z2" s="234">
        <v>-4015</v>
      </c>
      <c r="AA2" s="234">
        <v>-87.13</v>
      </c>
      <c r="AB2" s="234">
        <v>10000</v>
      </c>
      <c r="AC2" s="234">
        <v>4</v>
      </c>
      <c r="AD2" s="26">
        <v>0</v>
      </c>
      <c r="AE2" s="26" t="s">
        <v>3500</v>
      </c>
      <c r="AF2" s="26"/>
      <c r="AG2" s="26"/>
      <c r="AH2" s="26"/>
      <c r="AI2" s="26"/>
      <c r="AJ2" s="26"/>
      <c r="AK2" s="26"/>
      <c r="AL2" s="26"/>
      <c r="AM2" s="26"/>
    </row>
    <row r="3" spans="1:39" hidden="1">
      <c r="A3" s="244" t="s">
        <v>2123</v>
      </c>
      <c r="B3" s="244" t="s">
        <v>2124</v>
      </c>
      <c r="C3" s="244">
        <v>24193</v>
      </c>
      <c r="D3" s="245">
        <v>41305.000006736111</v>
      </c>
      <c r="E3" s="245">
        <v>42400.000006736111</v>
      </c>
      <c r="F3" s="246">
        <v>500000000</v>
      </c>
      <c r="G3" s="246">
        <v>29100000</v>
      </c>
      <c r="H3" s="243">
        <v>0.06</v>
      </c>
      <c r="I3" s="234">
        <v>-37</v>
      </c>
      <c r="J3" s="234">
        <v>99.9</v>
      </c>
      <c r="K3" s="234">
        <v>14</v>
      </c>
      <c r="L3" s="234">
        <f>VLOOKUP(2419,收盤價!A:C,3,0)</f>
        <v>23.95</v>
      </c>
      <c r="M3" s="234">
        <v>7143</v>
      </c>
      <c r="N3" s="234">
        <v>149.28869999999998</v>
      </c>
      <c r="O3" s="235">
        <v>-0.49440000000000001</v>
      </c>
      <c r="P3" s="235">
        <v>0.3301</v>
      </c>
      <c r="Q3" s="235">
        <v>-0.13999720005599889</v>
      </c>
      <c r="R3" s="234" t="e">
        <f>VLOOKUP(24193,U:AC,9,0)</f>
        <v>#N/A</v>
      </c>
      <c r="S3" s="234">
        <f>VLOOKUP(2419,季財報!A:N,8,0)</f>
        <v>4</v>
      </c>
      <c r="T3" s="234">
        <v>10502</v>
      </c>
      <c r="U3" s="234">
        <v>12181</v>
      </c>
      <c r="V3" s="234" t="s">
        <v>2602</v>
      </c>
      <c r="W3" s="234" t="s">
        <v>2603</v>
      </c>
      <c r="X3" s="234">
        <v>531</v>
      </c>
      <c r="Y3" s="234">
        <v>531</v>
      </c>
      <c r="Z3" s="234">
        <v>0</v>
      </c>
      <c r="AA3" s="234">
        <v>0</v>
      </c>
      <c r="AB3" s="234">
        <v>5000</v>
      </c>
      <c r="AC3" s="234">
        <v>19</v>
      </c>
      <c r="AD3" s="26">
        <v>0</v>
      </c>
      <c r="AE3" s="26" t="s">
        <v>3501</v>
      </c>
      <c r="AF3" s="26"/>
      <c r="AG3" s="26"/>
      <c r="AH3" s="26"/>
      <c r="AI3" s="26"/>
      <c r="AJ3" s="26"/>
      <c r="AK3" s="26"/>
      <c r="AL3" s="26"/>
      <c r="AM3" s="26"/>
    </row>
    <row r="4" spans="1:39" hidden="1">
      <c r="A4" s="244" t="s">
        <v>2339</v>
      </c>
      <c r="B4" s="244" t="s">
        <v>2340</v>
      </c>
      <c r="C4" s="244">
        <v>53884</v>
      </c>
      <c r="D4" s="245">
        <v>40785.000006736111</v>
      </c>
      <c r="E4" s="245">
        <v>42612.000006736111</v>
      </c>
      <c r="F4" s="246">
        <v>600000000</v>
      </c>
      <c r="G4" s="246">
        <v>20200000</v>
      </c>
      <c r="H4" s="243">
        <v>0.03</v>
      </c>
      <c r="I4" s="234">
        <v>175</v>
      </c>
      <c r="J4" s="234">
        <v>205</v>
      </c>
      <c r="K4" s="234">
        <v>32.950000000000003</v>
      </c>
      <c r="L4" s="234">
        <f>VLOOKUP(5388,收盤價!A:C,3,0)</f>
        <v>81.8</v>
      </c>
      <c r="M4" s="234">
        <v>3035</v>
      </c>
      <c r="N4" s="234">
        <v>260.40300000000002</v>
      </c>
      <c r="O4" s="235">
        <v>-0.27029999999999998</v>
      </c>
      <c r="P4" s="235">
        <v>0.61599999999999999</v>
      </c>
      <c r="Q4" s="235">
        <v>-0.32948929159802304</v>
      </c>
      <c r="R4" s="234">
        <f>VLOOKUP(53884,U:AC,9,0)</f>
        <v>2</v>
      </c>
      <c r="S4" s="234">
        <f>VLOOKUP(5388,季財報!A:N,8,0)</f>
        <v>5</v>
      </c>
      <c r="T4" s="234">
        <v>10502</v>
      </c>
      <c r="U4" s="234">
        <v>12581</v>
      </c>
      <c r="V4" s="234" t="s">
        <v>2604</v>
      </c>
      <c r="W4" s="234" t="s">
        <v>2605</v>
      </c>
      <c r="X4" s="234">
        <v>2121</v>
      </c>
      <c r="Y4" s="234">
        <v>2265</v>
      </c>
      <c r="Z4" s="234">
        <v>-144</v>
      </c>
      <c r="AA4" s="234">
        <v>-6.36</v>
      </c>
      <c r="AB4" s="234">
        <v>2500</v>
      </c>
      <c r="AC4" s="234">
        <v>31</v>
      </c>
      <c r="AD4" s="26">
        <v>0</v>
      </c>
      <c r="AE4" s="26" t="s">
        <v>3181</v>
      </c>
      <c r="AF4" s="26">
        <v>113</v>
      </c>
      <c r="AG4" s="26" t="s">
        <v>3473</v>
      </c>
      <c r="AH4" s="26">
        <v>113</v>
      </c>
      <c r="AI4" s="26" t="s">
        <v>3474</v>
      </c>
      <c r="AJ4" s="26">
        <v>113</v>
      </c>
      <c r="AK4" s="26" t="s">
        <v>3475</v>
      </c>
      <c r="AL4" s="26">
        <v>113</v>
      </c>
      <c r="AM4" s="26"/>
    </row>
    <row r="5" spans="1:39" hidden="1">
      <c r="A5" s="244" t="s">
        <v>2279</v>
      </c>
      <c r="B5" s="244" t="s">
        <v>1943</v>
      </c>
      <c r="C5" s="244">
        <v>41143</v>
      </c>
      <c r="D5" s="245">
        <v>40567.000006736111</v>
      </c>
      <c r="E5" s="245">
        <v>42393.000006736111</v>
      </c>
      <c r="F5" s="246">
        <v>350000000</v>
      </c>
      <c r="G5" s="246">
        <v>12100000</v>
      </c>
      <c r="H5" s="243">
        <v>0.03</v>
      </c>
      <c r="I5" s="234">
        <v>-44</v>
      </c>
      <c r="J5" s="234">
        <v>140</v>
      </c>
      <c r="K5" s="234">
        <v>26.09</v>
      </c>
      <c r="L5" s="234">
        <f>VLOOKUP(4114,收盤價!A:C,3,0)</f>
        <v>33.450000000000003</v>
      </c>
      <c r="M5" s="234">
        <v>3833</v>
      </c>
      <c r="N5" s="234">
        <v>123.99755</v>
      </c>
      <c r="O5" s="235">
        <v>-0.1143</v>
      </c>
      <c r="P5" s="235">
        <v>0.19350000000000001</v>
      </c>
      <c r="Q5" s="235">
        <v>-0.26089225150013046</v>
      </c>
      <c r="R5" s="234" t="e">
        <f>VLOOKUP(41143,U:AC,9,0)</f>
        <v>#N/A</v>
      </c>
      <c r="S5" s="234">
        <f>VLOOKUP(4114,季財報!A:N,8,0)</f>
        <v>3</v>
      </c>
      <c r="T5" s="234">
        <v>10502</v>
      </c>
      <c r="U5" s="234">
        <v>13162</v>
      </c>
      <c r="V5" s="234" t="s">
        <v>2606</v>
      </c>
      <c r="W5" s="234" t="s">
        <v>2607</v>
      </c>
      <c r="X5" s="234">
        <v>2000</v>
      </c>
      <c r="Y5" s="234">
        <v>2000</v>
      </c>
      <c r="Z5" s="234">
        <v>0</v>
      </c>
      <c r="AA5" s="234">
        <v>0</v>
      </c>
      <c r="AB5" s="234">
        <v>2000</v>
      </c>
      <c r="AC5" s="234">
        <v>9</v>
      </c>
      <c r="AD5" s="26">
        <v>0</v>
      </c>
      <c r="AE5" s="26" t="s">
        <v>3178</v>
      </c>
      <c r="AF5" s="26">
        <v>1</v>
      </c>
      <c r="AG5" s="26" t="s">
        <v>3476</v>
      </c>
      <c r="AH5" s="118">
        <v>8.8999999999999999E-3</v>
      </c>
      <c r="AI5" s="26" t="s">
        <v>3477</v>
      </c>
      <c r="AJ5" s="26">
        <v>1</v>
      </c>
      <c r="AK5" s="26"/>
      <c r="AL5" s="26"/>
      <c r="AM5" s="26"/>
    </row>
    <row r="6" spans="1:39" hidden="1">
      <c r="A6" s="244" t="s">
        <v>2212</v>
      </c>
      <c r="B6" s="244" t="s">
        <v>2213</v>
      </c>
      <c r="C6" s="244">
        <v>31492</v>
      </c>
      <c r="D6" s="245">
        <v>41877.000006736111</v>
      </c>
      <c r="E6" s="245">
        <v>42973.000006736111</v>
      </c>
      <c r="F6" s="246">
        <v>500000000</v>
      </c>
      <c r="G6" s="246">
        <v>500000000</v>
      </c>
      <c r="H6" s="243">
        <v>1</v>
      </c>
      <c r="I6" s="234">
        <v>536</v>
      </c>
      <c r="J6" s="234">
        <v>90.5</v>
      </c>
      <c r="K6" s="234">
        <v>33.299999999999997</v>
      </c>
      <c r="L6" s="234">
        <f>VLOOKUP(3149,收盤價!A:C,3,0)</f>
        <v>12.9</v>
      </c>
      <c r="M6" s="234">
        <v>3003</v>
      </c>
      <c r="N6" s="234">
        <v>100</v>
      </c>
      <c r="O6" s="235">
        <v>-0.105</v>
      </c>
      <c r="P6" s="235">
        <v>-1.7073</v>
      </c>
      <c r="Q6" s="235">
        <v>-0.33300033300033299</v>
      </c>
      <c r="R6" s="234">
        <f>VLOOKUP(31492,U:AC,9,0)</f>
        <v>198</v>
      </c>
      <c r="S6" s="234">
        <f>VLOOKUP(3149,季財報!A:N,8,0)</f>
        <v>3</v>
      </c>
      <c r="T6" s="234">
        <v>10502</v>
      </c>
      <c r="U6" s="234">
        <v>13361</v>
      </c>
      <c r="V6" s="234" t="s">
        <v>2608</v>
      </c>
      <c r="W6" s="234" t="s">
        <v>2609</v>
      </c>
      <c r="X6" s="234">
        <v>3500</v>
      </c>
      <c r="Y6" s="234">
        <v>3500</v>
      </c>
      <c r="Z6" s="234">
        <v>0</v>
      </c>
      <c r="AA6" s="234">
        <v>0</v>
      </c>
      <c r="AB6" s="234">
        <v>3500</v>
      </c>
      <c r="AC6" s="234">
        <v>13</v>
      </c>
      <c r="AD6" s="26">
        <v>0</v>
      </c>
      <c r="AE6" s="26" t="s">
        <v>3478</v>
      </c>
      <c r="AF6" s="117">
        <v>100000</v>
      </c>
      <c r="AG6" s="26" t="s">
        <v>3479</v>
      </c>
      <c r="AH6" s="117">
        <v>150000</v>
      </c>
      <c r="AI6" s="26" t="s">
        <v>3480</v>
      </c>
      <c r="AJ6" s="118">
        <v>0</v>
      </c>
      <c r="AK6" s="26" t="s">
        <v>3481</v>
      </c>
      <c r="AL6" s="26">
        <v>101</v>
      </c>
      <c r="AM6" s="26"/>
    </row>
    <row r="7" spans="1:39" hidden="1">
      <c r="A7" s="244" t="s">
        <v>2276</v>
      </c>
      <c r="B7" s="244" t="s">
        <v>1975</v>
      </c>
      <c r="C7" s="244">
        <v>41072</v>
      </c>
      <c r="D7" s="245">
        <v>41543.000006736111</v>
      </c>
      <c r="E7" s="245">
        <v>42639.000006736111</v>
      </c>
      <c r="F7" s="246">
        <v>160000000</v>
      </c>
      <c r="G7" s="246">
        <v>10900000</v>
      </c>
      <c r="H7" s="243">
        <v>7.0000000000000007E-2</v>
      </c>
      <c r="I7" s="234">
        <v>202</v>
      </c>
      <c r="J7" s="234">
        <v>192</v>
      </c>
      <c r="K7" s="234">
        <v>66.599999999999994</v>
      </c>
      <c r="L7" s="234">
        <f>VLOOKUP(4107,收盤價!A:C,3,0)</f>
        <v>141</v>
      </c>
      <c r="M7" s="234">
        <v>1502</v>
      </c>
      <c r="N7" s="234">
        <v>211.78200000000001</v>
      </c>
      <c r="O7" s="235">
        <v>-0.10299999999999999</v>
      </c>
      <c r="P7" s="235">
        <v>0.52769999999999995</v>
      </c>
      <c r="Q7" s="235">
        <v>-0.66577896138482029</v>
      </c>
      <c r="R7" s="234" t="e">
        <f>VLOOKUP(41072,U:AC,9,0)</f>
        <v>#N/A</v>
      </c>
      <c r="S7" s="234">
        <f>VLOOKUP(4107,季財報!A:N,8,0)</f>
        <v>3</v>
      </c>
      <c r="T7" s="234">
        <v>10502</v>
      </c>
      <c r="U7" s="234">
        <v>14321</v>
      </c>
      <c r="V7" s="234" t="s">
        <v>2610</v>
      </c>
      <c r="W7" s="234" t="s">
        <v>2611</v>
      </c>
      <c r="X7" s="234">
        <v>2500</v>
      </c>
      <c r="Y7" s="234">
        <v>2500</v>
      </c>
      <c r="Z7" s="234">
        <v>0</v>
      </c>
      <c r="AA7" s="234">
        <v>0</v>
      </c>
      <c r="AB7" s="234">
        <v>2500</v>
      </c>
      <c r="AC7" s="234">
        <v>13</v>
      </c>
      <c r="AD7" s="26">
        <v>0</v>
      </c>
      <c r="AE7" s="26" t="s">
        <v>3482</v>
      </c>
      <c r="AF7" s="26" t="s">
        <v>3460</v>
      </c>
      <c r="AG7" s="26" t="s">
        <v>3483</v>
      </c>
      <c r="AH7" s="26" t="s">
        <v>3498</v>
      </c>
      <c r="AI7" s="26" t="s">
        <v>3484</v>
      </c>
      <c r="AJ7" s="26" t="s">
        <v>3460</v>
      </c>
      <c r="AK7" s="26" t="s">
        <v>3485</v>
      </c>
      <c r="AL7" s="26" t="s">
        <v>3498</v>
      </c>
      <c r="AM7" s="26"/>
    </row>
    <row r="8" spans="1:39">
      <c r="A8" s="244" t="s">
        <v>2289</v>
      </c>
      <c r="B8" s="244" t="s">
        <v>351</v>
      </c>
      <c r="C8" s="244">
        <v>41531</v>
      </c>
      <c r="D8" s="245">
        <v>41634.000006736111</v>
      </c>
      <c r="E8" s="245">
        <v>42730.000006736111</v>
      </c>
      <c r="F8" s="246">
        <v>200000000</v>
      </c>
      <c r="G8" s="246">
        <v>132800000</v>
      </c>
      <c r="H8" s="243">
        <v>0.66</v>
      </c>
      <c r="I8" s="234">
        <v>293</v>
      </c>
      <c r="J8" s="234">
        <v>205</v>
      </c>
      <c r="K8" s="234">
        <v>31.5</v>
      </c>
      <c r="L8" s="234">
        <f>VLOOKUP(4153,收盤價!A:C,3,0)</f>
        <v>70.5</v>
      </c>
      <c r="M8" s="234">
        <v>3175</v>
      </c>
      <c r="N8" s="234">
        <v>222.56749999999997</v>
      </c>
      <c r="O8" s="235">
        <v>-8.5699999999999998E-2</v>
      </c>
      <c r="P8" s="235">
        <v>0.55059999999999998</v>
      </c>
      <c r="Q8" s="235">
        <v>-0.31496062992125984</v>
      </c>
      <c r="R8" s="234">
        <f>VLOOKUP(41531,U:AC,9,0)</f>
        <v>7</v>
      </c>
      <c r="S8" s="234">
        <f>VLOOKUP(4153,季財報!A:N,8,0)</f>
        <v>3</v>
      </c>
      <c r="T8" s="234">
        <v>10502</v>
      </c>
      <c r="U8" s="234">
        <v>14322</v>
      </c>
      <c r="V8" s="234" t="s">
        <v>2612</v>
      </c>
      <c r="W8" s="234" t="s">
        <v>2611</v>
      </c>
      <c r="X8" s="234">
        <v>1954</v>
      </c>
      <c r="Y8" s="234">
        <v>1954</v>
      </c>
      <c r="Z8" s="234">
        <v>0</v>
      </c>
      <c r="AA8" s="234">
        <v>0</v>
      </c>
      <c r="AB8" s="234">
        <v>2500</v>
      </c>
      <c r="AC8" s="234">
        <v>109</v>
      </c>
      <c r="AD8" s="26">
        <v>0</v>
      </c>
      <c r="AE8" s="26" t="s">
        <v>3486</v>
      </c>
      <c r="AF8" s="26" t="s">
        <v>3487</v>
      </c>
      <c r="AG8" s="26" t="s">
        <v>3488</v>
      </c>
      <c r="AH8" s="26" t="s">
        <v>3499</v>
      </c>
      <c r="AI8" s="26" t="s">
        <v>3489</v>
      </c>
      <c r="AJ8" s="26" t="s">
        <v>3498</v>
      </c>
      <c r="AK8" s="26" t="s">
        <v>3490</v>
      </c>
      <c r="AL8" s="26" t="s">
        <v>2329</v>
      </c>
      <c r="AM8" s="26"/>
    </row>
    <row r="9" spans="1:39" hidden="1">
      <c r="A9" s="244" t="s">
        <v>2322</v>
      </c>
      <c r="B9" s="244" t="s">
        <v>1607</v>
      </c>
      <c r="C9" s="244">
        <v>49711</v>
      </c>
      <c r="D9" s="245">
        <v>41828.000006736111</v>
      </c>
      <c r="E9" s="245">
        <v>42924.000006736111</v>
      </c>
      <c r="F9" s="246">
        <v>300000000</v>
      </c>
      <c r="G9" s="246">
        <v>1400000</v>
      </c>
      <c r="H9" s="243">
        <v>0</v>
      </c>
      <c r="I9" s="234">
        <v>487</v>
      </c>
      <c r="J9" s="234">
        <v>168</v>
      </c>
      <c r="K9" s="234">
        <v>68.900000000000006</v>
      </c>
      <c r="L9" s="234">
        <f>VLOOKUP(4971,收盤價!A:C,3,0)</f>
        <v>138</v>
      </c>
      <c r="M9" s="234">
        <v>1451</v>
      </c>
      <c r="N9" s="234">
        <v>180.64949999999999</v>
      </c>
      <c r="O9" s="235">
        <v>-7.5300000000000006E-2</v>
      </c>
      <c r="P9" s="235">
        <v>0.4466</v>
      </c>
      <c r="Q9" s="235">
        <v>-0.68917987594762231</v>
      </c>
      <c r="R9" s="234" t="e">
        <f>VLOOKUP(49711,U:AC,9,0)</f>
        <v>#N/A</v>
      </c>
      <c r="S9" s="234">
        <f>VLOOKUP(4971,季財報!A:N,8,0)</f>
        <v>1</v>
      </c>
      <c r="T9" s="234">
        <v>10502</v>
      </c>
      <c r="U9" s="234">
        <v>14423</v>
      </c>
      <c r="V9" s="234" t="s">
        <v>2613</v>
      </c>
      <c r="W9" s="234" t="s">
        <v>2614</v>
      </c>
      <c r="X9" s="234">
        <v>8000</v>
      </c>
      <c r="Y9" s="234">
        <v>8000</v>
      </c>
      <c r="Z9" s="234">
        <v>0</v>
      </c>
      <c r="AA9" s="234">
        <v>0</v>
      </c>
      <c r="AB9" s="234">
        <v>8000</v>
      </c>
      <c r="AC9" s="234">
        <v>13</v>
      </c>
      <c r="AD9" s="26">
        <v>0</v>
      </c>
      <c r="AE9" s="26" t="s">
        <v>3491</v>
      </c>
      <c r="AF9" s="26" t="s">
        <v>3497</v>
      </c>
      <c r="AG9" s="26" t="s">
        <v>3464</v>
      </c>
      <c r="AH9" s="26">
        <v>41.6</v>
      </c>
      <c r="AI9" s="26" t="s">
        <v>3491</v>
      </c>
      <c r="AJ9" s="26" t="s">
        <v>3497</v>
      </c>
      <c r="AK9" s="26" t="s">
        <v>3492</v>
      </c>
      <c r="AL9" s="26" t="s">
        <v>96</v>
      </c>
      <c r="AM9" s="26"/>
    </row>
    <row r="10" spans="1:39" hidden="1">
      <c r="A10" s="244" t="s">
        <v>2244</v>
      </c>
      <c r="B10" s="244" t="s">
        <v>2245</v>
      </c>
      <c r="C10" s="244">
        <v>35523</v>
      </c>
      <c r="D10" s="245">
        <v>41303.000006736111</v>
      </c>
      <c r="E10" s="245">
        <v>43129.000006736111</v>
      </c>
      <c r="F10" s="246">
        <v>300000000</v>
      </c>
      <c r="G10" s="246">
        <v>600000</v>
      </c>
      <c r="H10" s="243">
        <v>0</v>
      </c>
      <c r="I10" s="234">
        <v>692</v>
      </c>
      <c r="J10" s="234">
        <v>543</v>
      </c>
      <c r="K10" s="234">
        <v>62.78</v>
      </c>
      <c r="L10" s="234">
        <f>VLOOKUP(3552,收盤價!A:C,3,0)</f>
        <v>429</v>
      </c>
      <c r="M10" s="234">
        <v>1593</v>
      </c>
      <c r="N10" s="234">
        <v>581.44500000000005</v>
      </c>
      <c r="O10" s="235">
        <v>-7.0800000000000002E-2</v>
      </c>
      <c r="P10" s="235">
        <v>0.82799999999999996</v>
      </c>
      <c r="Q10" s="235">
        <v>-0.62774639045825487</v>
      </c>
      <c r="R10" s="234" t="e">
        <f>VLOOKUP(35523,U:AC,9,0)</f>
        <v>#N/A</v>
      </c>
      <c r="S10" s="234">
        <f>VLOOKUP(3552,季財報!A:N,8,0)</f>
        <v>3</v>
      </c>
      <c r="T10" s="234">
        <v>10502</v>
      </c>
      <c r="U10" s="234">
        <v>14641</v>
      </c>
      <c r="V10" s="234" t="s">
        <v>2615</v>
      </c>
      <c r="W10" s="234" t="s">
        <v>2616</v>
      </c>
      <c r="X10" s="234">
        <v>884</v>
      </c>
      <c r="Y10" s="234">
        <v>921</v>
      </c>
      <c r="Z10" s="234">
        <v>-37</v>
      </c>
      <c r="AA10" s="234">
        <v>-4.0199999999999996</v>
      </c>
      <c r="AB10" s="234">
        <v>2000</v>
      </c>
      <c r="AC10" s="234">
        <v>25</v>
      </c>
      <c r="AD10" s="26">
        <v>0</v>
      </c>
      <c r="AE10" s="26" t="s">
        <v>3493</v>
      </c>
      <c r="AF10" s="26"/>
      <c r="AG10" s="26" t="s">
        <v>3494</v>
      </c>
      <c r="AH10" s="26">
        <v>0</v>
      </c>
      <c r="AI10" s="26" t="s">
        <v>3495</v>
      </c>
      <c r="AJ10" s="26" t="s">
        <v>3487</v>
      </c>
      <c r="AK10" s="26" t="s">
        <v>3496</v>
      </c>
      <c r="AL10" s="380">
        <v>2403.85</v>
      </c>
      <c r="AM10" s="26"/>
    </row>
    <row r="11" spans="1:39" hidden="1">
      <c r="A11" s="244" t="s">
        <v>2216</v>
      </c>
      <c r="B11" s="244" t="s">
        <v>280</v>
      </c>
      <c r="C11" s="244">
        <v>32052</v>
      </c>
      <c r="D11" s="245">
        <v>42173.000006736111</v>
      </c>
      <c r="E11" s="245">
        <v>43269.000006736111</v>
      </c>
      <c r="F11" s="246">
        <v>100000000</v>
      </c>
      <c r="G11" s="246">
        <v>39500000</v>
      </c>
      <c r="H11" s="243">
        <v>0.4</v>
      </c>
      <c r="I11" s="234">
        <v>832</v>
      </c>
      <c r="J11" s="234">
        <v>342</v>
      </c>
      <c r="K11" s="234">
        <v>89.54</v>
      </c>
      <c r="L11" s="234">
        <f>VLOOKUP(3205,收盤價!A:C,3,0)</f>
        <v>320</v>
      </c>
      <c r="M11" s="234">
        <v>1117</v>
      </c>
      <c r="N11" s="234">
        <v>356.88150000000002</v>
      </c>
      <c r="O11" s="235">
        <v>-4.3499999999999997E-2</v>
      </c>
      <c r="P11" s="235">
        <v>0.71970000000000001</v>
      </c>
      <c r="Q11" s="235">
        <v>-0.89525514771709935</v>
      </c>
      <c r="R11" s="234">
        <f>VLOOKUP(32052,U:AC,9,0)</f>
        <v>6</v>
      </c>
      <c r="S11" s="234">
        <f>VLOOKUP(3205,季財報!A:N,8,0)</f>
        <v>5</v>
      </c>
      <c r="T11" s="234">
        <v>10502</v>
      </c>
      <c r="U11" s="234">
        <v>14642</v>
      </c>
      <c r="V11" s="234" t="s">
        <v>2617</v>
      </c>
      <c r="W11" s="234" t="s">
        <v>2616</v>
      </c>
      <c r="X11" s="234">
        <v>291</v>
      </c>
      <c r="Y11" s="234">
        <v>291</v>
      </c>
      <c r="Z11" s="234">
        <v>0</v>
      </c>
      <c r="AA11" s="234">
        <v>0</v>
      </c>
      <c r="AB11" s="234">
        <v>2500</v>
      </c>
      <c r="AC11" s="234">
        <v>15</v>
      </c>
      <c r="AD11" s="26">
        <v>0</v>
      </c>
      <c r="AE11" s="26"/>
      <c r="AF11" s="26"/>
      <c r="AG11" s="26"/>
      <c r="AH11" s="26"/>
      <c r="AI11" s="26"/>
      <c r="AJ11" s="26"/>
      <c r="AK11" s="26"/>
      <c r="AL11" s="26"/>
      <c r="AM11" s="26"/>
    </row>
    <row r="12" spans="1:39" hidden="1">
      <c r="A12" s="244" t="s">
        <v>2401</v>
      </c>
      <c r="B12" s="244" t="s">
        <v>2402</v>
      </c>
      <c r="C12" s="244">
        <v>67021</v>
      </c>
      <c r="D12" s="245">
        <v>41921.000006736111</v>
      </c>
      <c r="E12" s="245">
        <v>43747.000006736111</v>
      </c>
      <c r="F12" s="246">
        <v>1000000000</v>
      </c>
      <c r="G12" s="246">
        <v>180400000</v>
      </c>
      <c r="H12" s="243">
        <v>0.18</v>
      </c>
      <c r="I12" s="234">
        <v>1310</v>
      </c>
      <c r="J12" s="234">
        <v>94.8</v>
      </c>
      <c r="K12" s="234">
        <v>11.1</v>
      </c>
      <c r="L12" s="234">
        <f>VLOOKUP(6702,收盤價!A:C,3,0)</f>
        <v>7.48</v>
      </c>
      <c r="M12" s="234">
        <v>9009</v>
      </c>
      <c r="N12" s="234">
        <v>100</v>
      </c>
      <c r="O12" s="235">
        <v>-5.4899999999999997E-2</v>
      </c>
      <c r="P12" s="235">
        <v>-0.47799999999999998</v>
      </c>
      <c r="Q12" s="235">
        <v>-0.11100011100011101</v>
      </c>
      <c r="R12" s="234">
        <f>VLOOKUP(67021,U:AC,9,0)</f>
        <v>76</v>
      </c>
      <c r="S12" s="234">
        <f>VLOOKUP(6702,季財報!A:N,8,0)</f>
        <v>2</v>
      </c>
      <c r="T12" s="234">
        <v>10502</v>
      </c>
      <c r="U12" s="234">
        <v>14662</v>
      </c>
      <c r="V12" s="234" t="s">
        <v>2618</v>
      </c>
      <c r="W12" s="234" t="s">
        <v>2619</v>
      </c>
      <c r="X12" s="234">
        <v>527</v>
      </c>
      <c r="Y12" s="234">
        <v>527</v>
      </c>
      <c r="Z12" s="234">
        <v>0</v>
      </c>
      <c r="AA12" s="234">
        <v>0</v>
      </c>
      <c r="AB12" s="234">
        <v>3000</v>
      </c>
      <c r="AC12" s="234">
        <v>13</v>
      </c>
      <c r="AD12" s="234">
        <v>0</v>
      </c>
    </row>
    <row r="13" spans="1:39" hidden="1">
      <c r="A13" s="244" t="s">
        <v>2190</v>
      </c>
      <c r="B13" s="244" t="s">
        <v>1441</v>
      </c>
      <c r="C13" s="244">
        <v>29243</v>
      </c>
      <c r="D13" s="245">
        <v>42292.000006736111</v>
      </c>
      <c r="E13" s="245">
        <v>43388.000006736111</v>
      </c>
      <c r="F13" s="246">
        <v>100000000</v>
      </c>
      <c r="G13" s="246">
        <v>100000000</v>
      </c>
      <c r="H13" s="243">
        <v>1</v>
      </c>
      <c r="I13" s="234">
        <v>951</v>
      </c>
      <c r="J13" s="234">
        <v>96.4</v>
      </c>
      <c r="K13" s="234">
        <v>70.400000000000006</v>
      </c>
      <c r="L13" s="234">
        <f>VLOOKUP(2924,收盤價!A:C,3,0)</f>
        <v>57.9</v>
      </c>
      <c r="M13" s="234">
        <v>1420</v>
      </c>
      <c r="N13" s="234">
        <v>100</v>
      </c>
      <c r="O13" s="235">
        <v>-3.73E-2</v>
      </c>
      <c r="P13" s="235">
        <v>-0.2014</v>
      </c>
      <c r="Q13" s="235">
        <v>-0.70422535211267601</v>
      </c>
      <c r="R13" s="234">
        <f>VLOOKUP(29243,U:AC,9,0)</f>
        <v>31</v>
      </c>
      <c r="S13" s="234">
        <f>VLOOKUP(2924,季財報!A:N,8,0)</f>
        <v>1</v>
      </c>
      <c r="T13" s="234">
        <v>10502</v>
      </c>
      <c r="U13" s="234">
        <v>14663</v>
      </c>
      <c r="V13" s="234" t="s">
        <v>2620</v>
      </c>
      <c r="W13" s="234" t="s">
        <v>2609</v>
      </c>
      <c r="X13" s="234">
        <v>4000</v>
      </c>
      <c r="Y13" s="234">
        <v>4000</v>
      </c>
      <c r="Z13" s="234">
        <v>0</v>
      </c>
      <c r="AA13" s="234">
        <v>0</v>
      </c>
      <c r="AB13" s="234">
        <v>4000</v>
      </c>
      <c r="AC13" s="234">
        <v>21</v>
      </c>
      <c r="AD13" s="234">
        <v>0</v>
      </c>
    </row>
    <row r="14" spans="1:39" hidden="1">
      <c r="A14" s="244" t="s">
        <v>2334</v>
      </c>
      <c r="B14" s="244" t="s">
        <v>2335</v>
      </c>
      <c r="C14" s="244">
        <v>52851</v>
      </c>
      <c r="D14" s="245">
        <v>41891.000006736111</v>
      </c>
      <c r="E14" s="245">
        <v>43717.000006736111</v>
      </c>
      <c r="F14" s="246">
        <v>720000000</v>
      </c>
      <c r="G14" s="246">
        <v>720000000</v>
      </c>
      <c r="H14" s="243">
        <v>1</v>
      </c>
      <c r="I14" s="234">
        <v>1280</v>
      </c>
      <c r="J14" s="234">
        <v>98.6</v>
      </c>
      <c r="K14" s="234">
        <v>42.66</v>
      </c>
      <c r="L14" s="234">
        <f>VLOOKUP(5285,收盤價!A:C,3,0)</f>
        <v>31.5</v>
      </c>
      <c r="M14" s="234">
        <v>2344</v>
      </c>
      <c r="N14" s="234">
        <v>100</v>
      </c>
      <c r="O14" s="235">
        <v>-1.4200000000000001E-2</v>
      </c>
      <c r="P14" s="235">
        <v>-0.49419999999999997</v>
      </c>
      <c r="Q14" s="235">
        <v>-0.42662116040955633</v>
      </c>
      <c r="R14" s="234">
        <f>VLOOKUP(52851,U:AC,9,0)</f>
        <v>70</v>
      </c>
      <c r="S14" s="234">
        <f>VLOOKUP(5285,季財報!A:N,8,0)</f>
        <v>4</v>
      </c>
      <c r="T14" s="234">
        <v>10502</v>
      </c>
      <c r="U14" s="234">
        <v>14774</v>
      </c>
      <c r="V14" s="234" t="s">
        <v>2621</v>
      </c>
      <c r="W14" s="234" t="s">
        <v>2622</v>
      </c>
      <c r="X14" s="234">
        <v>2372</v>
      </c>
      <c r="Y14" s="234">
        <v>2387</v>
      </c>
      <c r="Z14" s="234">
        <v>-15</v>
      </c>
      <c r="AA14" s="234">
        <v>-0.63</v>
      </c>
      <c r="AB14" s="234">
        <v>7000</v>
      </c>
      <c r="AC14" s="234">
        <v>93</v>
      </c>
      <c r="AD14" s="234">
        <v>0</v>
      </c>
    </row>
    <row r="15" spans="1:39" hidden="1">
      <c r="A15" s="244" t="s">
        <v>2137</v>
      </c>
      <c r="B15" s="244" t="s">
        <v>2138</v>
      </c>
      <c r="C15" s="244">
        <v>24571</v>
      </c>
      <c r="D15" s="245">
        <v>41794.000006736111</v>
      </c>
      <c r="E15" s="245">
        <v>42890.000006736111</v>
      </c>
      <c r="F15" s="246">
        <v>1500000000</v>
      </c>
      <c r="G15" s="246">
        <v>1297500000</v>
      </c>
      <c r="H15" s="243">
        <v>0.86</v>
      </c>
      <c r="I15" s="234">
        <v>453</v>
      </c>
      <c r="J15" s="234">
        <v>95.7</v>
      </c>
      <c r="K15" s="234">
        <v>19</v>
      </c>
      <c r="L15" s="234">
        <f>VLOOKUP(2457,收盤價!A:C,3,0)</f>
        <v>13.25</v>
      </c>
      <c r="M15" s="234">
        <v>5263</v>
      </c>
      <c r="N15" s="234">
        <v>100</v>
      </c>
      <c r="O15" s="235">
        <v>-4.4900000000000002E-2</v>
      </c>
      <c r="P15" s="235">
        <v>-0.47289999999999999</v>
      </c>
      <c r="Q15" s="235">
        <v>-0.19000570017100513</v>
      </c>
      <c r="R15" s="234">
        <f>VLOOKUP(24571,U:AC,9,0)</f>
        <v>134</v>
      </c>
      <c r="S15" s="234">
        <f>VLOOKUP(2457,季財報!A:N,8,0)</f>
        <v>2</v>
      </c>
      <c r="T15" s="234">
        <v>10502</v>
      </c>
      <c r="U15" s="234">
        <v>15061</v>
      </c>
      <c r="V15" s="234" t="s">
        <v>2623</v>
      </c>
      <c r="W15" s="234" t="s">
        <v>2624</v>
      </c>
      <c r="X15" s="234">
        <v>6999</v>
      </c>
      <c r="Y15" s="234">
        <v>6999</v>
      </c>
      <c r="Z15" s="234">
        <v>0</v>
      </c>
      <c r="AA15" s="234">
        <v>0</v>
      </c>
      <c r="AB15" s="234">
        <v>7000</v>
      </c>
      <c r="AC15" s="234">
        <v>16</v>
      </c>
      <c r="AD15" s="234">
        <v>0</v>
      </c>
    </row>
    <row r="16" spans="1:39" hidden="1">
      <c r="A16" s="244" t="s">
        <v>2319</v>
      </c>
      <c r="B16" s="244" t="s">
        <v>1981</v>
      </c>
      <c r="C16" s="244">
        <v>49441</v>
      </c>
      <c r="D16" s="245">
        <v>40977.000006736111</v>
      </c>
      <c r="E16" s="245">
        <v>42803.000006736111</v>
      </c>
      <c r="F16" s="246">
        <v>300000000</v>
      </c>
      <c r="G16" s="246">
        <v>48100000</v>
      </c>
      <c r="H16" s="243">
        <v>0.16</v>
      </c>
      <c r="I16" s="234">
        <v>366</v>
      </c>
      <c r="J16" s="234">
        <v>96</v>
      </c>
      <c r="K16" s="234">
        <v>27.46</v>
      </c>
      <c r="L16" s="234">
        <f>VLOOKUP(4944,收盤價!A:C,3,0)</f>
        <v>11.4</v>
      </c>
      <c r="M16" s="234">
        <v>3642</v>
      </c>
      <c r="N16" s="234">
        <v>100</v>
      </c>
      <c r="O16" s="235">
        <v>-4.1700000000000001E-2</v>
      </c>
      <c r="P16" s="235">
        <v>-1.4628000000000001</v>
      </c>
      <c r="Q16" s="235">
        <v>-0.27457440966501923</v>
      </c>
      <c r="R16" s="234">
        <f>VLOOKUP(49441,U:AC,9,0)</f>
        <v>36</v>
      </c>
      <c r="S16" s="234">
        <f>VLOOKUP(4944,季財報!A:N,8,0)</f>
        <v>2</v>
      </c>
      <c r="T16" s="234">
        <v>10502</v>
      </c>
      <c r="U16" s="234">
        <v>15302</v>
      </c>
      <c r="V16" s="234" t="s">
        <v>2625</v>
      </c>
      <c r="W16" s="234" t="s">
        <v>2626</v>
      </c>
      <c r="X16" s="234">
        <v>4000</v>
      </c>
      <c r="Y16" s="234">
        <v>4000</v>
      </c>
      <c r="Z16" s="234">
        <v>0</v>
      </c>
      <c r="AA16" s="234">
        <v>0</v>
      </c>
      <c r="AB16" s="234">
        <v>4000</v>
      </c>
      <c r="AC16" s="234">
        <v>25</v>
      </c>
      <c r="AD16" s="234">
        <v>0</v>
      </c>
    </row>
    <row r="17" spans="1:30" hidden="1">
      <c r="A17" s="244" t="s">
        <v>2408</v>
      </c>
      <c r="B17" s="244" t="s">
        <v>2409</v>
      </c>
      <c r="C17" s="244">
        <v>81101</v>
      </c>
      <c r="D17" s="245">
        <v>41957.000006736111</v>
      </c>
      <c r="E17" s="245">
        <v>43053.000006736111</v>
      </c>
      <c r="F17" s="246">
        <v>600000000</v>
      </c>
      <c r="G17" s="246">
        <v>600000000</v>
      </c>
      <c r="H17" s="243">
        <v>1</v>
      </c>
      <c r="I17" s="234">
        <v>616</v>
      </c>
      <c r="J17" s="234">
        <v>96</v>
      </c>
      <c r="K17" s="234">
        <v>14.3</v>
      </c>
      <c r="L17" s="234">
        <f>VLOOKUP(8110,收盤價!A:C,3,0)</f>
        <v>9.35</v>
      </c>
      <c r="M17" s="234">
        <v>6993</v>
      </c>
      <c r="N17" s="234">
        <v>100</v>
      </c>
      <c r="O17" s="235">
        <v>-4.1700000000000001E-2</v>
      </c>
      <c r="P17" s="235">
        <v>-0.54259999999999997</v>
      </c>
      <c r="Q17" s="235">
        <v>-0.14300014300014299</v>
      </c>
      <c r="R17" s="234">
        <f>VLOOKUP(81101,U:AC,9,0)</f>
        <v>63</v>
      </c>
      <c r="S17" s="234">
        <f>VLOOKUP(8110,季財報!A:N,8,0)</f>
        <v>4</v>
      </c>
      <c r="T17" s="234">
        <v>10502</v>
      </c>
      <c r="U17" s="234">
        <v>15661</v>
      </c>
      <c r="V17" s="234" t="s">
        <v>2627</v>
      </c>
      <c r="W17" s="234" t="s">
        <v>2628</v>
      </c>
      <c r="X17" s="234">
        <v>853</v>
      </c>
      <c r="Y17" s="234">
        <v>853</v>
      </c>
      <c r="Z17" s="234">
        <v>0</v>
      </c>
      <c r="AA17" s="234">
        <v>0</v>
      </c>
      <c r="AB17" s="234">
        <v>5000</v>
      </c>
      <c r="AC17" s="234">
        <v>22</v>
      </c>
      <c r="AD17" s="234">
        <v>0</v>
      </c>
    </row>
    <row r="18" spans="1:30" hidden="1">
      <c r="A18" s="244" t="s">
        <v>2105</v>
      </c>
      <c r="B18" s="244" t="s">
        <v>2106</v>
      </c>
      <c r="C18" s="244">
        <v>21151</v>
      </c>
      <c r="D18" s="245">
        <v>42102.000006736111</v>
      </c>
      <c r="E18" s="245">
        <v>43198.000006736111</v>
      </c>
      <c r="F18" s="246">
        <v>400000000</v>
      </c>
      <c r="G18" s="246">
        <v>400000000</v>
      </c>
      <c r="H18" s="243">
        <v>1</v>
      </c>
      <c r="I18" s="234">
        <v>761</v>
      </c>
      <c r="J18" s="234">
        <v>98</v>
      </c>
      <c r="K18" s="234">
        <v>60.5</v>
      </c>
      <c r="L18" s="234">
        <f>VLOOKUP(2115,收盤價!A:C,3,0)</f>
        <v>42.5</v>
      </c>
      <c r="M18" s="234">
        <v>1653</v>
      </c>
      <c r="N18" s="234">
        <v>100</v>
      </c>
      <c r="O18" s="235">
        <v>-2.0400000000000001E-2</v>
      </c>
      <c r="P18" s="235">
        <v>-0.41689999999999999</v>
      </c>
      <c r="Q18" s="235">
        <v>-0.60496067755595895</v>
      </c>
      <c r="R18" s="234">
        <f>VLOOKUP(21151,U:AC,9,0)</f>
        <v>46</v>
      </c>
      <c r="S18" s="234">
        <f>VLOOKUP(2115,季財報!A:N,8,0)</f>
        <v>3</v>
      </c>
      <c r="T18" s="234">
        <v>10502</v>
      </c>
      <c r="U18" s="234">
        <v>15695</v>
      </c>
      <c r="V18" s="234" t="s">
        <v>2629</v>
      </c>
      <c r="W18" s="234" t="s">
        <v>2630</v>
      </c>
      <c r="X18" s="234">
        <v>2000</v>
      </c>
      <c r="Y18" s="234">
        <v>2000</v>
      </c>
      <c r="Z18" s="234">
        <v>0</v>
      </c>
      <c r="AA18" s="234">
        <v>0</v>
      </c>
      <c r="AB18" s="234">
        <v>2000</v>
      </c>
      <c r="AC18" s="234">
        <v>10</v>
      </c>
      <c r="AD18" s="234">
        <v>0</v>
      </c>
    </row>
    <row r="19" spans="1:30" hidden="1">
      <c r="A19" s="244" t="s">
        <v>2431</v>
      </c>
      <c r="B19" s="244" t="s">
        <v>504</v>
      </c>
      <c r="C19" s="244">
        <v>84501</v>
      </c>
      <c r="D19" s="245">
        <v>42198.000006736111</v>
      </c>
      <c r="E19" s="245">
        <v>43294.000006736111</v>
      </c>
      <c r="F19" s="246">
        <v>600000000</v>
      </c>
      <c r="G19" s="246">
        <v>597000000</v>
      </c>
      <c r="H19" s="243">
        <v>1</v>
      </c>
      <c r="I19" s="234">
        <v>857</v>
      </c>
      <c r="J19" s="234">
        <v>100.1</v>
      </c>
      <c r="K19" s="234">
        <v>86</v>
      </c>
      <c r="L19" s="234">
        <f>VLOOKUP(8450,收盤價!A:C,3,0)</f>
        <v>84.4</v>
      </c>
      <c r="M19" s="234">
        <v>1163</v>
      </c>
      <c r="N19" s="234">
        <v>100</v>
      </c>
      <c r="O19" s="235">
        <v>1E-3</v>
      </c>
      <c r="P19" s="235">
        <v>-4.4999999999999998E-2</v>
      </c>
      <c r="Q19" s="235">
        <v>-0.85984522785898543</v>
      </c>
      <c r="R19" s="234">
        <f>VLOOKUP(84501,U:AC,9,0)</f>
        <v>125</v>
      </c>
      <c r="S19" s="234">
        <f>VLOOKUP(8450,季財報!A:N,8,0)</f>
        <v>3</v>
      </c>
      <c r="T19" s="234">
        <v>10502</v>
      </c>
      <c r="U19" s="234">
        <v>15822</v>
      </c>
      <c r="V19" s="234" t="s">
        <v>2631</v>
      </c>
      <c r="W19" s="234" t="s">
        <v>2632</v>
      </c>
      <c r="X19" s="234">
        <v>8000</v>
      </c>
      <c r="Y19" s="234">
        <v>8000</v>
      </c>
      <c r="Z19" s="234">
        <v>0</v>
      </c>
      <c r="AA19" s="234">
        <v>0</v>
      </c>
      <c r="AB19" s="234">
        <v>8000</v>
      </c>
      <c r="AC19" s="234">
        <v>59</v>
      </c>
      <c r="AD19" s="234">
        <v>0</v>
      </c>
    </row>
    <row r="20" spans="1:30" hidden="1">
      <c r="A20" s="244" t="s">
        <v>2119</v>
      </c>
      <c r="B20" s="244" t="s">
        <v>2120</v>
      </c>
      <c r="C20" s="244">
        <v>24022</v>
      </c>
      <c r="D20" s="245">
        <v>41884.000006736111</v>
      </c>
      <c r="E20" s="245">
        <v>42980.000006736111</v>
      </c>
      <c r="F20" s="246">
        <v>2000000000</v>
      </c>
      <c r="G20" s="246">
        <v>2000000000</v>
      </c>
      <c r="H20" s="243">
        <v>1</v>
      </c>
      <c r="I20" s="234">
        <v>543</v>
      </c>
      <c r="J20" s="234">
        <v>96.2</v>
      </c>
      <c r="K20" s="234">
        <v>40.700000000000003</v>
      </c>
      <c r="L20" s="234">
        <f>VLOOKUP(2402,收盤價!A:C,3,0)</f>
        <v>17</v>
      </c>
      <c r="M20" s="234">
        <v>2457</v>
      </c>
      <c r="N20" s="234">
        <v>100</v>
      </c>
      <c r="O20" s="235">
        <v>-3.95E-2</v>
      </c>
      <c r="P20" s="235">
        <v>-1.3732</v>
      </c>
      <c r="Q20" s="235">
        <v>-0.40700040700040696</v>
      </c>
      <c r="R20" s="234">
        <f>VLOOKUP(24022,U:AC,9,0)</f>
        <v>67</v>
      </c>
      <c r="S20" s="234">
        <f>VLOOKUP(2402,季財報!A:N,8,0)</f>
        <v>2</v>
      </c>
      <c r="T20" s="234">
        <v>10502</v>
      </c>
      <c r="U20" s="234">
        <v>15831</v>
      </c>
      <c r="V20" s="234" t="s">
        <v>2633</v>
      </c>
      <c r="W20" s="234" t="s">
        <v>2634</v>
      </c>
      <c r="X20" s="234">
        <v>6000</v>
      </c>
      <c r="Y20" s="234">
        <v>6000</v>
      </c>
      <c r="Z20" s="234">
        <v>0</v>
      </c>
      <c r="AA20" s="234">
        <v>0</v>
      </c>
      <c r="AB20" s="234">
        <v>6000</v>
      </c>
      <c r="AC20" s="234">
        <v>60</v>
      </c>
      <c r="AD20" s="234">
        <v>0</v>
      </c>
    </row>
    <row r="21" spans="1:30" hidden="1">
      <c r="A21" s="244" t="s">
        <v>2149</v>
      </c>
      <c r="B21" s="244" t="s">
        <v>2150</v>
      </c>
      <c r="C21" s="244">
        <v>24865</v>
      </c>
      <c r="D21" s="245">
        <v>41726.000006736111</v>
      </c>
      <c r="E21" s="245">
        <v>43552.000006736111</v>
      </c>
      <c r="F21" s="246">
        <v>1100000000</v>
      </c>
      <c r="G21" s="246">
        <v>1100000000</v>
      </c>
      <c r="H21" s="243">
        <v>1</v>
      </c>
      <c r="I21" s="234">
        <v>1115</v>
      </c>
      <c r="J21" s="234">
        <v>97</v>
      </c>
      <c r="K21" s="234">
        <v>22.3</v>
      </c>
      <c r="L21" s="234">
        <f>VLOOKUP(2486,收盤價!A:C,3,0)</f>
        <v>10.25</v>
      </c>
      <c r="M21" s="234">
        <v>4484</v>
      </c>
      <c r="N21" s="234">
        <v>100</v>
      </c>
      <c r="O21" s="235">
        <v>-3.09E-2</v>
      </c>
      <c r="P21" s="235">
        <v>-1.2079</v>
      </c>
      <c r="Q21" s="235">
        <v>-0.22301516503122212</v>
      </c>
      <c r="R21" s="234">
        <f>VLOOKUP(24865,U:AC,9,0)</f>
        <v>105</v>
      </c>
      <c r="S21" s="234">
        <f>VLOOKUP(2486,季財報!A:N,8,0)</f>
        <v>2</v>
      </c>
      <c r="T21" s="234">
        <v>10502</v>
      </c>
      <c r="U21" s="234">
        <v>15861</v>
      </c>
      <c r="V21" s="234" t="s">
        <v>2635</v>
      </c>
      <c r="W21" s="234" t="s">
        <v>2636</v>
      </c>
      <c r="X21" s="234">
        <v>2916</v>
      </c>
      <c r="Y21" s="234">
        <v>3000</v>
      </c>
      <c r="Z21" s="234">
        <v>-84</v>
      </c>
      <c r="AA21" s="234">
        <v>-2.8</v>
      </c>
      <c r="AB21" s="234">
        <v>3000</v>
      </c>
      <c r="AC21" s="234">
        <v>50</v>
      </c>
      <c r="AD21" s="234">
        <v>0</v>
      </c>
    </row>
    <row r="22" spans="1:30">
      <c r="A22" s="244" t="s">
        <v>2488</v>
      </c>
      <c r="B22" s="244" t="s">
        <v>2489</v>
      </c>
      <c r="C22" s="244">
        <v>27321</v>
      </c>
      <c r="D22" s="245">
        <v>42394.000006736111</v>
      </c>
      <c r="E22" s="245">
        <v>43490.000006736111</v>
      </c>
      <c r="F22" s="246">
        <v>300000000</v>
      </c>
      <c r="G22" s="246">
        <v>300000000</v>
      </c>
      <c r="H22" s="243">
        <v>1</v>
      </c>
      <c r="I22" s="234">
        <v>1053</v>
      </c>
      <c r="J22" s="234">
        <v>119</v>
      </c>
      <c r="K22" s="234">
        <v>71</v>
      </c>
      <c r="L22" s="234">
        <f>VLOOKUP(2732,收盤價!A:C,3,0)</f>
        <v>81.400000000000006</v>
      </c>
      <c r="M22" s="234">
        <v>1408</v>
      </c>
      <c r="N22" s="234">
        <v>113.20320000000001</v>
      </c>
      <c r="O22" s="235">
        <v>4.87E-2</v>
      </c>
      <c r="P22" s="235">
        <v>0.1169</v>
      </c>
      <c r="Q22" s="235">
        <v>-0.71022727272727271</v>
      </c>
      <c r="R22" s="234">
        <f>VLOOKUP(27321,U:AC,9,0)</f>
        <v>37</v>
      </c>
      <c r="S22" s="234">
        <f>VLOOKUP(2732,季財報!A:N,8,0)</f>
        <v>4</v>
      </c>
      <c r="T22" s="234">
        <v>10502</v>
      </c>
      <c r="U22" s="234">
        <v>15891</v>
      </c>
      <c r="V22" s="234" t="s">
        <v>2637</v>
      </c>
      <c r="W22" s="234" t="s">
        <v>2638</v>
      </c>
      <c r="X22" s="234">
        <v>2000</v>
      </c>
      <c r="Y22" s="234">
        <v>2456</v>
      </c>
      <c r="Z22" s="234">
        <v>-456</v>
      </c>
      <c r="AA22" s="234">
        <v>-18.57</v>
      </c>
      <c r="AB22" s="234">
        <v>15000</v>
      </c>
      <c r="AC22" s="234">
        <v>25</v>
      </c>
      <c r="AD22" s="234">
        <v>0</v>
      </c>
    </row>
    <row r="23" spans="1:30" hidden="1">
      <c r="A23" s="244" t="s">
        <v>2437</v>
      </c>
      <c r="B23" s="244" t="s">
        <v>2438</v>
      </c>
      <c r="C23" s="244">
        <v>98022</v>
      </c>
      <c r="D23" s="245">
        <v>41575.000006736111</v>
      </c>
      <c r="E23" s="245">
        <v>42671.000006736111</v>
      </c>
      <c r="F23" s="246">
        <v>400000000</v>
      </c>
      <c r="G23" s="246">
        <v>23500000</v>
      </c>
      <c r="H23" s="243">
        <v>0.06</v>
      </c>
      <c r="I23" s="234">
        <v>234</v>
      </c>
      <c r="J23" s="234">
        <v>154</v>
      </c>
      <c r="K23" s="234">
        <v>32.5</v>
      </c>
      <c r="L23" s="234">
        <f>VLOOKUP(9802,收盤價!A:C,3,0)</f>
        <v>53</v>
      </c>
      <c r="M23" s="234">
        <v>3077</v>
      </c>
      <c r="N23" s="234">
        <v>160.00399999999999</v>
      </c>
      <c r="O23" s="235">
        <v>-3.9E-2</v>
      </c>
      <c r="P23" s="235">
        <v>0.375</v>
      </c>
      <c r="Q23" s="235">
        <v>-0.3249918752031199</v>
      </c>
      <c r="R23" s="234">
        <f>VLOOKUP(98022,U:AC,9,0)</f>
        <v>6</v>
      </c>
      <c r="S23" s="234">
        <f>VLOOKUP(9802,季財報!A:N,8,0)</f>
        <v>2</v>
      </c>
      <c r="T23" s="234">
        <v>10502</v>
      </c>
      <c r="U23" s="234">
        <v>15892</v>
      </c>
      <c r="V23" s="234" t="s">
        <v>2639</v>
      </c>
      <c r="W23" s="234" t="s">
        <v>2638</v>
      </c>
      <c r="X23" s="234">
        <v>25000</v>
      </c>
      <c r="Y23" s="234">
        <v>25000</v>
      </c>
      <c r="Z23" s="234">
        <v>0</v>
      </c>
      <c r="AA23" s="234">
        <v>0</v>
      </c>
      <c r="AB23" s="234">
        <v>25000</v>
      </c>
      <c r="AC23" s="234">
        <v>145</v>
      </c>
      <c r="AD23" s="234">
        <v>0</v>
      </c>
    </row>
    <row r="24" spans="1:30" hidden="1">
      <c r="A24" s="244" t="s">
        <v>2287</v>
      </c>
      <c r="B24" s="244" t="s">
        <v>2288</v>
      </c>
      <c r="C24" s="244">
        <v>41411</v>
      </c>
      <c r="D24" s="245">
        <v>41409.000006736111</v>
      </c>
      <c r="E24" s="245">
        <v>43235.000006736111</v>
      </c>
      <c r="F24" s="246">
        <v>400000000</v>
      </c>
      <c r="G24" s="246">
        <v>23600000</v>
      </c>
      <c r="H24" s="243">
        <v>0.06</v>
      </c>
      <c r="I24" s="234">
        <v>798</v>
      </c>
      <c r="J24" s="234">
        <v>96.4</v>
      </c>
      <c r="K24" s="234">
        <v>54.8</v>
      </c>
      <c r="L24" s="234">
        <f>VLOOKUP(4141,收盤價!A:C,3,0)</f>
        <v>35.299999999999997</v>
      </c>
      <c r="M24" s="234">
        <v>1825</v>
      </c>
      <c r="N24" s="234">
        <v>100</v>
      </c>
      <c r="O24" s="235">
        <v>-3.73E-2</v>
      </c>
      <c r="P24" s="235">
        <v>-0.83889999999999998</v>
      </c>
      <c r="Q24" s="235">
        <v>-0.54794520547945202</v>
      </c>
      <c r="R24" s="234">
        <f>VLOOKUP(41411,U:AC,9,0)</f>
        <v>31</v>
      </c>
      <c r="S24" s="234">
        <f>VLOOKUP(4141,季財報!A:N,8,0)</f>
        <v>1</v>
      </c>
      <c r="T24" s="234">
        <v>10502</v>
      </c>
      <c r="U24" s="234">
        <v>15931</v>
      </c>
      <c r="V24" s="234" t="s">
        <v>2640</v>
      </c>
      <c r="W24" s="234" t="s">
        <v>2641</v>
      </c>
      <c r="X24" s="234">
        <v>600</v>
      </c>
      <c r="Y24" s="234">
        <v>600</v>
      </c>
      <c r="Z24" s="234">
        <v>0</v>
      </c>
      <c r="AA24" s="234">
        <v>0</v>
      </c>
      <c r="AB24" s="234">
        <v>600</v>
      </c>
      <c r="AC24" s="234">
        <v>14</v>
      </c>
      <c r="AD24" s="234">
        <v>0</v>
      </c>
    </row>
    <row r="25" spans="1:30" hidden="1">
      <c r="A25" s="244" t="s">
        <v>2410</v>
      </c>
      <c r="B25" s="244" t="s">
        <v>2411</v>
      </c>
      <c r="C25" s="244">
        <v>81127</v>
      </c>
      <c r="D25" s="245">
        <v>41611.000006736111</v>
      </c>
      <c r="E25" s="245">
        <v>42707.000006736111</v>
      </c>
      <c r="F25" s="246">
        <v>600000000</v>
      </c>
      <c r="G25" s="246">
        <v>5800000</v>
      </c>
      <c r="H25" s="243">
        <v>0.01</v>
      </c>
      <c r="I25" s="234">
        <v>270</v>
      </c>
      <c r="J25" s="234">
        <v>115</v>
      </c>
      <c r="K25" s="234">
        <v>11.6</v>
      </c>
      <c r="L25" s="234">
        <f>VLOOKUP(8112,收盤價!A:C,3,0)</f>
        <v>15.4</v>
      </c>
      <c r="M25" s="234">
        <v>8621</v>
      </c>
      <c r="N25" s="234">
        <v>110.77985</v>
      </c>
      <c r="O25" s="235">
        <v>-3.6700000000000003E-2</v>
      </c>
      <c r="P25" s="235">
        <v>9.7299999999999998E-2</v>
      </c>
      <c r="Q25" s="235">
        <v>-0.11599582415033059</v>
      </c>
      <c r="R25" s="234" t="e">
        <f>VLOOKUP(81127,U:AC,9,0)</f>
        <v>#N/A</v>
      </c>
      <c r="S25" s="234">
        <f>VLOOKUP(8112,季財報!A:N,8,0)</f>
        <v>4</v>
      </c>
      <c r="T25" s="234">
        <v>10502</v>
      </c>
      <c r="U25" s="234">
        <v>15951</v>
      </c>
      <c r="V25" s="234" t="s">
        <v>2642</v>
      </c>
      <c r="W25" s="234" t="s">
        <v>2643</v>
      </c>
      <c r="X25" s="234">
        <v>2400</v>
      </c>
      <c r="Y25" s="234">
        <v>2400</v>
      </c>
      <c r="Z25" s="234">
        <v>0</v>
      </c>
      <c r="AA25" s="234">
        <v>0</v>
      </c>
      <c r="AB25" s="234">
        <v>2400</v>
      </c>
      <c r="AC25" s="234">
        <v>29</v>
      </c>
      <c r="AD25" s="234">
        <v>0</v>
      </c>
    </row>
    <row r="26" spans="1:30" hidden="1">
      <c r="A26" s="244" t="s">
        <v>2365</v>
      </c>
      <c r="B26" s="244" t="s">
        <v>2366</v>
      </c>
      <c r="C26" s="244">
        <v>61534</v>
      </c>
      <c r="D26" s="245">
        <v>41928.000006736111</v>
      </c>
      <c r="E26" s="245">
        <v>43024.000006736111</v>
      </c>
      <c r="F26" s="246">
        <v>1500000000</v>
      </c>
      <c r="G26" s="246">
        <v>1500000000</v>
      </c>
      <c r="H26" s="243">
        <v>1</v>
      </c>
      <c r="I26" s="234">
        <v>587</v>
      </c>
      <c r="J26" s="234">
        <v>97</v>
      </c>
      <c r="K26" s="234">
        <v>45.8</v>
      </c>
      <c r="L26" s="234">
        <f>VLOOKUP(6153,收盤價!A:C,3,0)</f>
        <v>22.6</v>
      </c>
      <c r="M26" s="234">
        <v>2183</v>
      </c>
      <c r="N26" s="234">
        <v>100</v>
      </c>
      <c r="O26" s="235">
        <v>-3.09E-2</v>
      </c>
      <c r="P26" s="235">
        <v>-0.99560000000000004</v>
      </c>
      <c r="Q26" s="235">
        <v>-0.45808520384791573</v>
      </c>
      <c r="R26" s="234">
        <f>VLOOKUP(61534,U:AC,9,0)</f>
        <v>74</v>
      </c>
      <c r="S26" s="234">
        <f>VLOOKUP(6153,季財報!A:N,8,0)</f>
        <v>3</v>
      </c>
      <c r="T26" s="234">
        <v>10502</v>
      </c>
      <c r="U26" s="234">
        <v>16112</v>
      </c>
      <c r="V26" s="234" t="s">
        <v>2644</v>
      </c>
      <c r="W26" s="234" t="s">
        <v>2645</v>
      </c>
      <c r="X26" s="234">
        <v>435</v>
      </c>
      <c r="Y26" s="234">
        <v>435</v>
      </c>
      <c r="Z26" s="234">
        <v>0</v>
      </c>
      <c r="AA26" s="234">
        <v>0</v>
      </c>
      <c r="AB26" s="234">
        <v>16000</v>
      </c>
      <c r="AC26" s="234">
        <v>5</v>
      </c>
      <c r="AD26" s="234">
        <v>0</v>
      </c>
    </row>
    <row r="27" spans="1:30" hidden="1">
      <c r="A27" s="244" t="s">
        <v>2063</v>
      </c>
      <c r="B27" s="244" t="s">
        <v>2064</v>
      </c>
      <c r="C27" s="244">
        <v>14774</v>
      </c>
      <c r="D27" s="245">
        <v>41145.000006736111</v>
      </c>
      <c r="E27" s="245">
        <v>42971.000006736111</v>
      </c>
      <c r="F27" s="246">
        <v>700000000</v>
      </c>
      <c r="G27" s="246">
        <v>238900000</v>
      </c>
      <c r="H27" s="243">
        <v>0.34</v>
      </c>
      <c r="I27" s="234">
        <v>534</v>
      </c>
      <c r="J27" s="234">
        <v>291</v>
      </c>
      <c r="K27" s="234">
        <v>72.8</v>
      </c>
      <c r="L27" s="234">
        <f>VLOOKUP(1477,收盤價!A:C,3,0)</f>
        <v>196</v>
      </c>
      <c r="M27" s="234">
        <v>1374</v>
      </c>
      <c r="N27" s="234">
        <v>276.17399999999998</v>
      </c>
      <c r="O27" s="235">
        <v>5.0900000000000001E-2</v>
      </c>
      <c r="P27" s="235">
        <v>0.63780000000000003</v>
      </c>
      <c r="Q27" s="235">
        <v>-0.72780203784570596</v>
      </c>
      <c r="R27" s="234">
        <f>VLOOKUP(14774,U:AC,9,0)</f>
        <v>93</v>
      </c>
      <c r="S27" s="234">
        <f>VLOOKUP(1477,季財報!A:N,8,0)</f>
        <v>4</v>
      </c>
      <c r="T27" s="234">
        <v>10502</v>
      </c>
      <c r="U27" s="234">
        <v>16261</v>
      </c>
      <c r="V27" s="234" t="s">
        <v>2646</v>
      </c>
      <c r="W27" s="234" t="s">
        <v>2647</v>
      </c>
      <c r="X27" s="234">
        <v>8239</v>
      </c>
      <c r="Y27" s="234">
        <v>8239</v>
      </c>
      <c r="Z27" s="234">
        <v>0</v>
      </c>
      <c r="AA27" s="234">
        <v>0</v>
      </c>
      <c r="AB27" s="234">
        <v>13000</v>
      </c>
      <c r="AC27" s="234">
        <v>198</v>
      </c>
      <c r="AD27" s="234">
        <v>0</v>
      </c>
    </row>
    <row r="28" spans="1:30" hidden="1">
      <c r="A28" s="244" t="s">
        <v>2098</v>
      </c>
      <c r="B28" s="244" t="s">
        <v>2099</v>
      </c>
      <c r="C28" s="244">
        <v>19093</v>
      </c>
      <c r="D28" s="245">
        <v>41856.000006736111</v>
      </c>
      <c r="E28" s="245">
        <v>42952.000006736111</v>
      </c>
      <c r="F28" s="246">
        <v>1600000000</v>
      </c>
      <c r="G28" s="246">
        <v>1600000000</v>
      </c>
      <c r="H28" s="243">
        <v>1</v>
      </c>
      <c r="I28" s="234">
        <v>515</v>
      </c>
      <c r="J28" s="234">
        <v>98.2</v>
      </c>
      <c r="K28" s="234">
        <v>16.7</v>
      </c>
      <c r="L28" s="234">
        <f>VLOOKUP(1909,收盤價!A:C,3,0)</f>
        <v>11.3</v>
      </c>
      <c r="M28" s="234">
        <v>5988</v>
      </c>
      <c r="N28" s="234">
        <v>100</v>
      </c>
      <c r="O28" s="235">
        <v>-1.83E-2</v>
      </c>
      <c r="P28" s="235">
        <v>-0.53920000000000001</v>
      </c>
      <c r="Q28" s="235">
        <v>-0.16700066800267202</v>
      </c>
      <c r="R28" s="234">
        <f>VLOOKUP(19093,U:AC,9,0)</f>
        <v>79</v>
      </c>
      <c r="S28" s="234">
        <f>VLOOKUP(1909,季財報!A:N,8,0)</f>
        <v>2</v>
      </c>
      <c r="T28" s="234">
        <v>10502</v>
      </c>
      <c r="U28" s="234">
        <v>17071</v>
      </c>
      <c r="V28" s="234" t="s">
        <v>2648</v>
      </c>
      <c r="W28" s="234" t="s">
        <v>2649</v>
      </c>
      <c r="X28" s="234">
        <v>9889</v>
      </c>
      <c r="Y28" s="234">
        <v>9889</v>
      </c>
      <c r="Z28" s="234">
        <v>0</v>
      </c>
      <c r="AA28" s="234">
        <v>0</v>
      </c>
      <c r="AB28" s="234">
        <v>10000</v>
      </c>
      <c r="AC28" s="234">
        <v>90</v>
      </c>
      <c r="AD28" s="234">
        <v>0</v>
      </c>
    </row>
    <row r="29" spans="1:30" hidden="1">
      <c r="A29" s="244" t="s">
        <v>2212</v>
      </c>
      <c r="B29" s="244" t="s">
        <v>2213</v>
      </c>
      <c r="C29" s="244">
        <v>31491</v>
      </c>
      <c r="D29" s="245">
        <v>41876.000006736111</v>
      </c>
      <c r="E29" s="245">
        <v>43702.000006736111</v>
      </c>
      <c r="F29" s="246">
        <v>480000000</v>
      </c>
      <c r="G29" s="246">
        <v>480000000</v>
      </c>
      <c r="H29" s="243">
        <v>1</v>
      </c>
      <c r="I29" s="234">
        <v>1265</v>
      </c>
      <c r="J29" s="234">
        <v>97</v>
      </c>
      <c r="K29" s="234">
        <v>33.799999999999997</v>
      </c>
      <c r="L29" s="234">
        <f>VLOOKUP(3149,收盤價!A:C,3,0)</f>
        <v>12.9</v>
      </c>
      <c r="M29" s="234">
        <v>2959</v>
      </c>
      <c r="N29" s="234">
        <v>100</v>
      </c>
      <c r="O29" s="235">
        <v>-3.09E-2</v>
      </c>
      <c r="P29" s="235">
        <v>-1.748</v>
      </c>
      <c r="Q29" s="235">
        <v>-0.33795201081446435</v>
      </c>
      <c r="R29" s="234">
        <f>VLOOKUP(31491,U:AC,9,0)</f>
        <v>46</v>
      </c>
      <c r="S29" s="234">
        <f>VLOOKUP(3149,季財報!A:N,8,0)</f>
        <v>3</v>
      </c>
      <c r="T29" s="234">
        <v>10502</v>
      </c>
      <c r="U29" s="234">
        <v>17091</v>
      </c>
      <c r="V29" s="234" t="s">
        <v>2650</v>
      </c>
      <c r="W29" s="234" t="s">
        <v>2651</v>
      </c>
      <c r="X29" s="234">
        <v>7000</v>
      </c>
      <c r="Y29" s="234">
        <v>7000</v>
      </c>
      <c r="Z29" s="234">
        <v>0</v>
      </c>
      <c r="AA29" s="234">
        <v>0</v>
      </c>
      <c r="AB29" s="234">
        <v>7000</v>
      </c>
      <c r="AC29" s="234">
        <v>52</v>
      </c>
      <c r="AD29" s="234">
        <v>0</v>
      </c>
    </row>
    <row r="30" spans="1:30" hidden="1">
      <c r="A30" s="244" t="s">
        <v>2235</v>
      </c>
      <c r="B30" s="244" t="s">
        <v>2236</v>
      </c>
      <c r="C30" s="244">
        <v>34941</v>
      </c>
      <c r="D30" s="245">
        <v>40715.000006736111</v>
      </c>
      <c r="E30" s="245">
        <v>42541.000006736111</v>
      </c>
      <c r="F30" s="246">
        <v>500000000</v>
      </c>
      <c r="G30" s="246">
        <v>13400000</v>
      </c>
      <c r="H30" s="243">
        <v>0.03</v>
      </c>
      <c r="I30" s="234">
        <v>104</v>
      </c>
      <c r="J30" s="234">
        <v>97</v>
      </c>
      <c r="K30" s="234">
        <v>22.4</v>
      </c>
      <c r="L30" s="234">
        <f>VLOOKUP(3494,收盤價!A:C,3,0)</f>
        <v>17.649999999999999</v>
      </c>
      <c r="M30" s="234">
        <v>4464</v>
      </c>
      <c r="N30" s="234">
        <v>100</v>
      </c>
      <c r="O30" s="235">
        <v>-3.09E-2</v>
      </c>
      <c r="P30" s="235">
        <v>-0.62909999999999999</v>
      </c>
      <c r="Q30" s="235">
        <v>-0.2240143369175627</v>
      </c>
      <c r="R30" s="234">
        <f>VLOOKUP(34941,U:AC,9,0)</f>
        <v>14</v>
      </c>
      <c r="S30" s="234">
        <f>VLOOKUP(3494,季財報!A:N,8,0)</f>
        <v>0</v>
      </c>
      <c r="T30" s="234">
        <v>10502</v>
      </c>
      <c r="U30" s="234">
        <v>17121</v>
      </c>
      <c r="V30" s="234" t="s">
        <v>2652</v>
      </c>
      <c r="W30" s="234" t="s">
        <v>2653</v>
      </c>
      <c r="X30" s="234">
        <v>10287</v>
      </c>
      <c r="Y30" s="234">
        <v>10287</v>
      </c>
      <c r="Z30" s="234">
        <v>0</v>
      </c>
      <c r="AA30" s="234">
        <v>0</v>
      </c>
      <c r="AB30" s="234">
        <v>12000</v>
      </c>
      <c r="AC30" s="234">
        <v>85</v>
      </c>
      <c r="AD30" s="234">
        <v>0</v>
      </c>
    </row>
    <row r="31" spans="1:30" hidden="1">
      <c r="A31" s="244" t="s">
        <v>2129</v>
      </c>
      <c r="B31" s="244" t="s">
        <v>2130</v>
      </c>
      <c r="C31" s="244">
        <v>24391</v>
      </c>
      <c r="D31" s="245">
        <v>42033.000006736111</v>
      </c>
      <c r="E31" s="245">
        <v>43129.000006736111</v>
      </c>
      <c r="F31" s="246">
        <v>1500000000</v>
      </c>
      <c r="G31" s="246">
        <v>1500000000</v>
      </c>
      <c r="H31" s="243">
        <v>1</v>
      </c>
      <c r="I31" s="234">
        <v>692</v>
      </c>
      <c r="J31" s="234">
        <v>97.05</v>
      </c>
      <c r="K31" s="234">
        <v>116.1</v>
      </c>
      <c r="L31" s="234">
        <f>VLOOKUP(2439,收盤價!A:C,3,0)</f>
        <v>57.5</v>
      </c>
      <c r="M31" s="234">
        <v>861</v>
      </c>
      <c r="N31" s="234">
        <v>100</v>
      </c>
      <c r="O31" s="235">
        <v>-3.04E-2</v>
      </c>
      <c r="P31" s="235">
        <v>-0.95779999999999998</v>
      </c>
      <c r="Q31" s="235">
        <v>-1.1614401858304297</v>
      </c>
      <c r="R31" s="234">
        <f>VLOOKUP(24391,U:AC,9,0)</f>
        <v>63</v>
      </c>
      <c r="S31" s="234">
        <f>VLOOKUP(2439,季財報!A:N,8,0)</f>
        <v>2</v>
      </c>
      <c r="T31" s="234">
        <v>10502</v>
      </c>
      <c r="U31" s="234">
        <v>171501</v>
      </c>
      <c r="V31" s="234" t="s">
        <v>2654</v>
      </c>
      <c r="W31" s="234" t="s">
        <v>2655</v>
      </c>
      <c r="X31" s="234">
        <v>2000</v>
      </c>
      <c r="Y31" s="234">
        <v>2000</v>
      </c>
      <c r="Z31" s="234">
        <v>0</v>
      </c>
      <c r="AA31" s="234">
        <v>0</v>
      </c>
      <c r="AB31" s="234">
        <v>2000</v>
      </c>
      <c r="AC31" s="234">
        <v>6</v>
      </c>
      <c r="AD31" s="234">
        <v>0</v>
      </c>
    </row>
    <row r="32" spans="1:30" hidden="1">
      <c r="A32" s="244" t="s">
        <v>2348</v>
      </c>
      <c r="B32" s="244" t="s">
        <v>1968</v>
      </c>
      <c r="C32" s="244">
        <v>55291</v>
      </c>
      <c r="D32" s="245">
        <v>42027.000006736111</v>
      </c>
      <c r="E32" s="245">
        <v>43123.000006736111</v>
      </c>
      <c r="F32" s="246">
        <v>400000000</v>
      </c>
      <c r="G32" s="246">
        <v>400000000</v>
      </c>
      <c r="H32" s="243">
        <v>1</v>
      </c>
      <c r="I32" s="234">
        <v>686</v>
      </c>
      <c r="J32" s="234">
        <v>99</v>
      </c>
      <c r="K32" s="234">
        <v>14.8</v>
      </c>
      <c r="L32" s="234">
        <f>VLOOKUP(5529,收盤價!A:C,3,0)</f>
        <v>9.92</v>
      </c>
      <c r="M32" s="234">
        <v>6757</v>
      </c>
      <c r="N32" s="234">
        <v>100</v>
      </c>
      <c r="O32" s="235">
        <v>-1.01E-2</v>
      </c>
      <c r="P32" s="235">
        <v>-0.83850000000000002</v>
      </c>
      <c r="Q32" s="235">
        <v>-0.1479946721918011</v>
      </c>
      <c r="R32" s="234">
        <f>VLOOKUP(55291,U:AC,9,0)</f>
        <v>17</v>
      </c>
      <c r="S32" s="234">
        <f>VLOOKUP(5529,季財報!A:N,8,0)</f>
        <v>0</v>
      </c>
      <c r="T32" s="234">
        <v>10502</v>
      </c>
      <c r="U32" s="234">
        <v>17151</v>
      </c>
      <c r="V32" s="234" t="s">
        <v>2656</v>
      </c>
      <c r="W32" s="234" t="s">
        <v>2657</v>
      </c>
      <c r="X32" s="234">
        <v>117</v>
      </c>
      <c r="Y32" s="234">
        <v>117</v>
      </c>
      <c r="Z32" s="234">
        <v>0</v>
      </c>
      <c r="AA32" s="234">
        <v>0</v>
      </c>
      <c r="AB32" s="234">
        <v>10000</v>
      </c>
      <c r="AC32" s="234">
        <v>6</v>
      </c>
      <c r="AD32" s="234">
        <v>0</v>
      </c>
    </row>
    <row r="33" spans="1:30" hidden="1">
      <c r="A33" s="244" t="s">
        <v>2344</v>
      </c>
      <c r="B33" s="244" t="s">
        <v>2345</v>
      </c>
      <c r="C33" s="244">
        <v>55192</v>
      </c>
      <c r="D33" s="245">
        <v>42264.000006736111</v>
      </c>
      <c r="E33" s="245">
        <v>43360.000006736111</v>
      </c>
      <c r="F33" s="246">
        <v>100000000</v>
      </c>
      <c r="G33" s="246">
        <v>99100000</v>
      </c>
      <c r="H33" s="243">
        <v>0.99</v>
      </c>
      <c r="I33" s="234">
        <v>923</v>
      </c>
      <c r="J33" s="234">
        <v>97.3</v>
      </c>
      <c r="K33" s="234">
        <v>14.18</v>
      </c>
      <c r="L33" s="234">
        <f>VLOOKUP(5519,收盤價!A:C,3,0)</f>
        <v>13</v>
      </c>
      <c r="M33" s="234">
        <v>7052</v>
      </c>
      <c r="N33" s="234">
        <v>100</v>
      </c>
      <c r="O33" s="235">
        <v>-2.7699999999999999E-2</v>
      </c>
      <c r="P33" s="235">
        <v>-0.11219999999999999</v>
      </c>
      <c r="Q33" s="235">
        <v>-0.14180374361883152</v>
      </c>
      <c r="R33" s="234">
        <f>VLOOKUP(55192,U:AC,9,0)</f>
        <v>47</v>
      </c>
      <c r="S33" s="234">
        <f>VLOOKUP(5519,季財報!A:N,8,0)</f>
        <v>2</v>
      </c>
      <c r="T33" s="234">
        <v>10502</v>
      </c>
      <c r="U33" s="234">
        <v>17152</v>
      </c>
      <c r="V33" s="234" t="s">
        <v>2658</v>
      </c>
      <c r="W33" s="234" t="s">
        <v>2655</v>
      </c>
      <c r="X33" s="234">
        <v>1284</v>
      </c>
      <c r="Y33" s="234">
        <v>1284</v>
      </c>
      <c r="Z33" s="234">
        <v>0</v>
      </c>
      <c r="AA33" s="234">
        <v>0</v>
      </c>
      <c r="AB33" s="234">
        <v>7000</v>
      </c>
      <c r="AC33" s="234">
        <v>27</v>
      </c>
      <c r="AD33" s="234">
        <v>0</v>
      </c>
    </row>
    <row r="34" spans="1:30" hidden="1">
      <c r="A34" s="244" t="s">
        <v>2351</v>
      </c>
      <c r="B34" s="244" t="s">
        <v>2352</v>
      </c>
      <c r="C34" s="244">
        <v>56085</v>
      </c>
      <c r="D34" s="245">
        <v>42047.000006736111</v>
      </c>
      <c r="E34" s="245">
        <v>43143.000006736111</v>
      </c>
      <c r="F34" s="246">
        <v>250000000</v>
      </c>
      <c r="G34" s="246">
        <v>249200000</v>
      </c>
      <c r="H34" s="243">
        <v>1</v>
      </c>
      <c r="I34" s="234">
        <v>706</v>
      </c>
      <c r="J34" s="234">
        <v>98.85</v>
      </c>
      <c r="K34" s="234">
        <v>16.98</v>
      </c>
      <c r="L34" s="234">
        <f>VLOOKUP(5608,收盤價!A:C,3,0)</f>
        <v>13.2</v>
      </c>
      <c r="M34" s="234">
        <v>5889</v>
      </c>
      <c r="N34" s="234">
        <v>100</v>
      </c>
      <c r="O34" s="235">
        <v>-1.1599999999999999E-2</v>
      </c>
      <c r="P34" s="235">
        <v>-0.30109999999999998</v>
      </c>
      <c r="Q34" s="235">
        <v>-0.16980811682798438</v>
      </c>
      <c r="R34" s="234">
        <f>VLOOKUP(56085,U:AC,9,0)</f>
        <v>169</v>
      </c>
      <c r="S34" s="234">
        <f>VLOOKUP(5608,季財報!A:N,8,0)</f>
        <v>2</v>
      </c>
      <c r="T34" s="234">
        <v>10502</v>
      </c>
      <c r="U34" s="234">
        <v>17153</v>
      </c>
      <c r="V34" s="234" t="s">
        <v>2659</v>
      </c>
      <c r="W34" s="234" t="s">
        <v>2655</v>
      </c>
      <c r="X34" s="234">
        <v>7000</v>
      </c>
      <c r="Y34" s="234">
        <v>7000</v>
      </c>
      <c r="Z34" s="234">
        <v>0</v>
      </c>
      <c r="AA34" s="234">
        <v>0</v>
      </c>
      <c r="AB34" s="234">
        <v>7000</v>
      </c>
      <c r="AC34" s="234">
        <v>39</v>
      </c>
      <c r="AD34" s="234">
        <v>0</v>
      </c>
    </row>
    <row r="35" spans="1:30" hidden="1">
      <c r="A35" s="244" t="s">
        <v>2229</v>
      </c>
      <c r="B35" s="244" t="s">
        <v>1952</v>
      </c>
      <c r="C35" s="244">
        <v>33392</v>
      </c>
      <c r="D35" s="245">
        <v>41768.000006736111</v>
      </c>
      <c r="E35" s="245">
        <v>42864.000006736111</v>
      </c>
      <c r="F35" s="246">
        <v>800000000</v>
      </c>
      <c r="G35" s="246">
        <v>800000000</v>
      </c>
      <c r="H35" s="243">
        <v>1</v>
      </c>
      <c r="I35" s="234">
        <v>427</v>
      </c>
      <c r="J35" s="234">
        <v>97</v>
      </c>
      <c r="K35" s="234">
        <v>16</v>
      </c>
      <c r="L35" s="234">
        <f>VLOOKUP(3339,收盤價!A:C,3,0)</f>
        <v>3.72</v>
      </c>
      <c r="M35" s="234">
        <v>6250</v>
      </c>
      <c r="N35" s="234">
        <v>100</v>
      </c>
      <c r="O35" s="235">
        <v>-3.09E-2</v>
      </c>
      <c r="P35" s="235">
        <v>-3.1775000000000002</v>
      </c>
      <c r="Q35" s="235">
        <v>-0.16</v>
      </c>
      <c r="R35" s="234">
        <f>VLOOKUP(33392,U:AC,9,0)</f>
        <v>34</v>
      </c>
      <c r="S35" s="234">
        <f>VLOOKUP(3339,季財報!A:N,8,0)</f>
        <v>2</v>
      </c>
      <c r="T35" s="234">
        <v>10502</v>
      </c>
      <c r="U35" s="234">
        <v>17301</v>
      </c>
      <c r="V35" s="234" t="s">
        <v>2660</v>
      </c>
      <c r="W35" s="234" t="s">
        <v>2661</v>
      </c>
      <c r="X35" s="234">
        <v>2000</v>
      </c>
      <c r="Y35" s="234">
        <v>0</v>
      </c>
      <c r="Z35" s="234">
        <v>2000</v>
      </c>
      <c r="AA35" s="234">
        <v>100</v>
      </c>
      <c r="AB35" s="234">
        <v>0</v>
      </c>
      <c r="AC35" s="234">
        <v>28</v>
      </c>
      <c r="AD35" s="234">
        <v>0</v>
      </c>
    </row>
    <row r="36" spans="1:30" hidden="1">
      <c r="A36" s="244" t="s">
        <v>2230</v>
      </c>
      <c r="B36" s="244" t="s">
        <v>2231</v>
      </c>
      <c r="C36" s="244">
        <v>33835</v>
      </c>
      <c r="D36" s="245">
        <v>41871.000006736111</v>
      </c>
      <c r="E36" s="245">
        <v>42967.000006736111</v>
      </c>
      <c r="F36" s="246">
        <v>600000000</v>
      </c>
      <c r="G36" s="246">
        <v>600000000</v>
      </c>
      <c r="H36" s="243">
        <v>1</v>
      </c>
      <c r="I36" s="234">
        <v>530</v>
      </c>
      <c r="J36" s="234">
        <v>98.05</v>
      </c>
      <c r="K36" s="234">
        <v>21.1</v>
      </c>
      <c r="L36" s="234">
        <f>VLOOKUP(3383,收盤價!A:C,3,0)</f>
        <v>7.72</v>
      </c>
      <c r="M36" s="234">
        <v>4739</v>
      </c>
      <c r="N36" s="234">
        <v>100</v>
      </c>
      <c r="O36" s="235">
        <v>-1.9900000000000001E-2</v>
      </c>
      <c r="P36" s="235">
        <v>-1.7332000000000001</v>
      </c>
      <c r="Q36" s="235">
        <v>-0.21101498206372651</v>
      </c>
      <c r="R36" s="234">
        <f>VLOOKUP(33835,U:AC,9,0)</f>
        <v>16</v>
      </c>
      <c r="S36" s="234">
        <f>VLOOKUP(3383,季財報!A:N,8,0)</f>
        <v>1</v>
      </c>
      <c r="T36" s="234">
        <v>10502</v>
      </c>
      <c r="U36" s="234">
        <v>17332</v>
      </c>
      <c r="V36" s="234" t="s">
        <v>2662</v>
      </c>
      <c r="W36" s="234" t="s">
        <v>2663</v>
      </c>
      <c r="X36" s="234">
        <v>3650</v>
      </c>
      <c r="Y36" s="234">
        <v>3650</v>
      </c>
      <c r="Z36" s="234">
        <v>0</v>
      </c>
      <c r="AA36" s="234">
        <v>0</v>
      </c>
      <c r="AB36" s="234">
        <v>4000</v>
      </c>
      <c r="AC36" s="234">
        <v>57</v>
      </c>
      <c r="AD36" s="234">
        <v>0</v>
      </c>
    </row>
    <row r="37" spans="1:30" hidden="1">
      <c r="A37" s="244" t="s">
        <v>2417</v>
      </c>
      <c r="B37" s="244" t="s">
        <v>1950</v>
      </c>
      <c r="C37" s="244">
        <v>82773</v>
      </c>
      <c r="D37" s="245">
        <v>41876.000006736111</v>
      </c>
      <c r="E37" s="245">
        <v>42972.000006736111</v>
      </c>
      <c r="F37" s="246">
        <v>300000000</v>
      </c>
      <c r="G37" s="246">
        <v>300000000</v>
      </c>
      <c r="H37" s="243">
        <v>1</v>
      </c>
      <c r="I37" s="234">
        <v>535</v>
      </c>
      <c r="J37" s="234">
        <v>98</v>
      </c>
      <c r="K37" s="234">
        <v>22.2</v>
      </c>
      <c r="L37" s="234">
        <f>VLOOKUP(8277,收盤價!A:C,3,0)</f>
        <v>7.77</v>
      </c>
      <c r="M37" s="234">
        <v>4504</v>
      </c>
      <c r="N37" s="234">
        <v>100</v>
      </c>
      <c r="O37" s="235">
        <v>-2.0400000000000001E-2</v>
      </c>
      <c r="P37" s="235">
        <v>-2.0495000000000001</v>
      </c>
      <c r="Q37" s="235">
        <v>-0.22202486678507993</v>
      </c>
      <c r="R37" s="234">
        <f>VLOOKUP(82773,U:AC,9,0)</f>
        <v>21</v>
      </c>
      <c r="S37" s="234">
        <f>VLOOKUP(8277,季財報!A:N,8,0)</f>
        <v>2</v>
      </c>
      <c r="T37" s="234">
        <v>10502</v>
      </c>
      <c r="U37" s="234">
        <v>17522</v>
      </c>
      <c r="V37" s="234" t="s">
        <v>2664</v>
      </c>
      <c r="W37" s="234" t="s">
        <v>2665</v>
      </c>
      <c r="X37" s="234">
        <v>241</v>
      </c>
      <c r="Y37" s="234">
        <v>253</v>
      </c>
      <c r="Z37" s="234">
        <v>-12</v>
      </c>
      <c r="AA37" s="234">
        <v>-4.74</v>
      </c>
      <c r="AB37" s="234">
        <v>4000</v>
      </c>
      <c r="AC37" s="234">
        <v>8</v>
      </c>
      <c r="AD37" s="234">
        <v>0</v>
      </c>
    </row>
    <row r="38" spans="1:30" hidden="1">
      <c r="A38" s="244" t="s">
        <v>2389</v>
      </c>
      <c r="B38" s="244" t="s">
        <v>2390</v>
      </c>
      <c r="C38" s="244">
        <v>62711</v>
      </c>
      <c r="D38" s="245">
        <v>41753.000006736111</v>
      </c>
      <c r="E38" s="245">
        <v>42849.000006736111</v>
      </c>
      <c r="F38" s="246">
        <v>2000000000</v>
      </c>
      <c r="G38" s="246">
        <v>2000000000</v>
      </c>
      <c r="H38" s="243">
        <v>1</v>
      </c>
      <c r="I38" s="234">
        <v>412</v>
      </c>
      <c r="J38" s="234">
        <v>98.9</v>
      </c>
      <c r="K38" s="234">
        <v>142.6</v>
      </c>
      <c r="L38" s="234">
        <f>VLOOKUP(6271,收盤價!A:C,3,0)</f>
        <v>90.9</v>
      </c>
      <c r="M38" s="234">
        <v>701</v>
      </c>
      <c r="N38" s="234">
        <v>100</v>
      </c>
      <c r="O38" s="235">
        <v>-1.11E-2</v>
      </c>
      <c r="P38" s="235">
        <v>-0.70569999999999999</v>
      </c>
      <c r="Q38" s="235">
        <v>-1.4265335235378029</v>
      </c>
      <c r="R38" s="234">
        <f>VLOOKUP(62711,U:AC,9,0)</f>
        <v>72</v>
      </c>
      <c r="S38" s="234">
        <f>VLOOKUP(6271,季財報!A:N,8,0)</f>
        <v>2</v>
      </c>
      <c r="T38" s="234">
        <v>10502</v>
      </c>
      <c r="U38" s="234">
        <v>18083</v>
      </c>
      <c r="V38" s="234" t="s">
        <v>2666</v>
      </c>
      <c r="W38" s="234" t="s">
        <v>2667</v>
      </c>
      <c r="X38" s="234">
        <v>15000</v>
      </c>
      <c r="Y38" s="234">
        <v>15000</v>
      </c>
      <c r="Z38" s="234">
        <v>0</v>
      </c>
      <c r="AA38" s="234">
        <v>0</v>
      </c>
      <c r="AB38" s="234">
        <v>15000</v>
      </c>
      <c r="AC38" s="234">
        <v>15</v>
      </c>
      <c r="AD38" s="234">
        <v>0</v>
      </c>
    </row>
    <row r="39" spans="1:30" hidden="1">
      <c r="A39" s="244" t="s">
        <v>2117</v>
      </c>
      <c r="B39" s="244" t="s">
        <v>2118</v>
      </c>
      <c r="C39" s="244">
        <v>23936</v>
      </c>
      <c r="D39" s="245">
        <v>42142.000006736111</v>
      </c>
      <c r="E39" s="245">
        <v>43969.000006736111</v>
      </c>
      <c r="F39" s="246">
        <v>5000000000</v>
      </c>
      <c r="G39" s="246">
        <v>4645700000</v>
      </c>
      <c r="H39" s="243">
        <v>0.93</v>
      </c>
      <c r="I39" s="234">
        <v>1532</v>
      </c>
      <c r="J39" s="234">
        <v>98</v>
      </c>
      <c r="K39" s="234">
        <v>74.599999999999994</v>
      </c>
      <c r="L39" s="234">
        <f>VLOOKUP(2393,收盤價!A:C,3,0)</f>
        <v>55.6</v>
      </c>
      <c r="M39" s="234">
        <v>1340</v>
      </c>
      <c r="N39" s="234">
        <v>100</v>
      </c>
      <c r="O39" s="235">
        <v>-2.0400000000000001E-2</v>
      </c>
      <c r="P39" s="235">
        <v>-0.2475</v>
      </c>
      <c r="Q39" s="235">
        <v>-0.74626865671641796</v>
      </c>
      <c r="R39" s="234">
        <f>VLOOKUP(23936,U:AC,9,0)</f>
        <v>101</v>
      </c>
      <c r="S39" s="234">
        <f>VLOOKUP(2393,季財報!A:N,8,0)</f>
        <v>2</v>
      </c>
      <c r="T39" s="234">
        <v>10502</v>
      </c>
      <c r="U39" s="234">
        <v>18153</v>
      </c>
      <c r="V39" s="234" t="s">
        <v>2668</v>
      </c>
      <c r="W39" s="234" t="s">
        <v>2669</v>
      </c>
      <c r="X39" s="234">
        <v>15</v>
      </c>
      <c r="Y39" s="234">
        <v>15</v>
      </c>
      <c r="Z39" s="234">
        <v>0</v>
      </c>
      <c r="AA39" s="234">
        <v>0</v>
      </c>
      <c r="AB39" s="234">
        <v>7500</v>
      </c>
      <c r="AC39" s="234">
        <v>3</v>
      </c>
      <c r="AD39" s="234">
        <v>0</v>
      </c>
    </row>
    <row r="40" spans="1:30" hidden="1">
      <c r="A40" s="244" t="s">
        <v>2270</v>
      </c>
      <c r="B40" s="244" t="s">
        <v>2271</v>
      </c>
      <c r="C40" s="244">
        <v>36982</v>
      </c>
      <c r="D40" s="245">
        <v>41648.000006736111</v>
      </c>
      <c r="E40" s="245">
        <v>43474.000006736111</v>
      </c>
      <c r="F40" s="246">
        <v>2000000000</v>
      </c>
      <c r="G40" s="246">
        <v>1998000000</v>
      </c>
      <c r="H40" s="243">
        <v>1</v>
      </c>
      <c r="I40" s="234">
        <v>1037</v>
      </c>
      <c r="J40" s="234">
        <v>99.2</v>
      </c>
      <c r="K40" s="234">
        <v>30.08</v>
      </c>
      <c r="L40" s="234">
        <f>VLOOKUP(3698,收盤價!A:C,3,0)</f>
        <v>17.45</v>
      </c>
      <c r="M40" s="234">
        <v>3324</v>
      </c>
      <c r="N40" s="234">
        <v>100</v>
      </c>
      <c r="O40" s="235">
        <v>-8.0999999999999996E-3</v>
      </c>
      <c r="P40" s="235">
        <v>-0.73870000000000002</v>
      </c>
      <c r="Q40" s="235">
        <v>-0.30084235860409148</v>
      </c>
      <c r="R40" s="234">
        <f>VLOOKUP(36982,U:AC,9,0)</f>
        <v>125</v>
      </c>
      <c r="S40" s="234">
        <f>VLOOKUP(3698,季財報!A:N,8,0)</f>
        <v>1</v>
      </c>
      <c r="T40" s="234">
        <v>10502</v>
      </c>
      <c r="U40" s="234">
        <v>18154</v>
      </c>
      <c r="V40" s="234" t="s">
        <v>2670</v>
      </c>
      <c r="W40" s="234" t="s">
        <v>2669</v>
      </c>
      <c r="X40" s="234">
        <v>3307</v>
      </c>
      <c r="Y40" s="234">
        <v>3307</v>
      </c>
      <c r="Z40" s="234">
        <v>0</v>
      </c>
      <c r="AA40" s="234">
        <v>0</v>
      </c>
      <c r="AB40" s="234">
        <v>5000</v>
      </c>
      <c r="AC40" s="234">
        <v>57</v>
      </c>
      <c r="AD40" s="234">
        <v>0</v>
      </c>
    </row>
    <row r="41" spans="1:30" hidden="1">
      <c r="A41" s="244" t="s">
        <v>2073</v>
      </c>
      <c r="B41" s="244" t="s">
        <v>2074</v>
      </c>
      <c r="C41" s="244">
        <v>15831</v>
      </c>
      <c r="D41" s="245">
        <v>42074.000006736111</v>
      </c>
      <c r="E41" s="245">
        <v>43901.000006736111</v>
      </c>
      <c r="F41" s="246">
        <v>600000000</v>
      </c>
      <c r="G41" s="246">
        <v>600000000</v>
      </c>
      <c r="H41" s="243">
        <v>1</v>
      </c>
      <c r="I41" s="234">
        <v>1464</v>
      </c>
      <c r="J41" s="234">
        <v>97.2</v>
      </c>
      <c r="K41" s="234">
        <v>96.6</v>
      </c>
      <c r="L41" s="234">
        <f>VLOOKUP(1583,收盤價!A:C,3,0)</f>
        <v>66.7</v>
      </c>
      <c r="M41" s="234">
        <v>1035</v>
      </c>
      <c r="N41" s="234">
        <v>100</v>
      </c>
      <c r="O41" s="235">
        <v>-2.8799999999999999E-2</v>
      </c>
      <c r="P41" s="235">
        <v>-0.46139999999999998</v>
      </c>
      <c r="Q41" s="235">
        <v>-0.96618357487922713</v>
      </c>
      <c r="R41" s="234">
        <f>VLOOKUP(15831,U:AC,9,0)</f>
        <v>60</v>
      </c>
      <c r="S41" s="234">
        <f>VLOOKUP(1583,季財報!A:N,8,0)</f>
        <v>1</v>
      </c>
      <c r="T41" s="234">
        <v>10502</v>
      </c>
      <c r="U41" s="234">
        <v>19093</v>
      </c>
      <c r="V41" s="234" t="s">
        <v>2671</v>
      </c>
      <c r="W41" s="234" t="s">
        <v>2672</v>
      </c>
      <c r="X41" s="234">
        <v>16000</v>
      </c>
      <c r="Y41" s="234">
        <v>16000</v>
      </c>
      <c r="Z41" s="234">
        <v>0</v>
      </c>
      <c r="AA41" s="234">
        <v>0</v>
      </c>
      <c r="AB41" s="234">
        <v>16000</v>
      </c>
      <c r="AC41" s="234">
        <v>79</v>
      </c>
      <c r="AD41" s="234">
        <v>0</v>
      </c>
    </row>
    <row r="42" spans="1:30">
      <c r="A42" s="244" t="s">
        <v>2107</v>
      </c>
      <c r="B42" s="244" t="s">
        <v>2108</v>
      </c>
      <c r="C42" s="244">
        <v>22281</v>
      </c>
      <c r="D42" s="245">
        <v>42150.000006736111</v>
      </c>
      <c r="E42" s="245">
        <v>43246.000006736111</v>
      </c>
      <c r="F42" s="246">
        <v>300000000</v>
      </c>
      <c r="G42" s="246">
        <v>251300000</v>
      </c>
      <c r="H42" s="243">
        <v>0.84</v>
      </c>
      <c r="I42" s="234">
        <v>809</v>
      </c>
      <c r="J42" s="234">
        <v>143</v>
      </c>
      <c r="K42" s="234">
        <v>131.9</v>
      </c>
      <c r="L42" s="234">
        <f>VLOOKUP(2228,收盤價!A:C,3,0)</f>
        <v>180.5</v>
      </c>
      <c r="M42" s="234">
        <v>758</v>
      </c>
      <c r="N42" s="234">
        <v>143.262</v>
      </c>
      <c r="O42" s="235">
        <v>-1.8E-3</v>
      </c>
      <c r="P42" s="235">
        <v>0.30209999999999998</v>
      </c>
      <c r="Q42" s="235">
        <v>-1.3192612137203166</v>
      </c>
      <c r="R42" s="234">
        <f>VLOOKUP(22281,U:AC,9,0)</f>
        <v>30</v>
      </c>
      <c r="S42" s="234">
        <f>VLOOKUP(2228,季財報!A:N,8,0)</f>
        <v>4</v>
      </c>
      <c r="T42" s="234">
        <v>10502</v>
      </c>
      <c r="U42" s="234">
        <v>20066</v>
      </c>
      <c r="V42" s="234" t="s">
        <v>2673</v>
      </c>
      <c r="W42" s="234" t="s">
        <v>2674</v>
      </c>
      <c r="X42" s="234">
        <v>24822</v>
      </c>
      <c r="Y42" s="234">
        <v>24822</v>
      </c>
      <c r="Z42" s="234">
        <v>0</v>
      </c>
      <c r="AA42" s="234">
        <v>0</v>
      </c>
      <c r="AB42" s="234">
        <v>25000</v>
      </c>
      <c r="AC42" s="234">
        <v>45</v>
      </c>
      <c r="AD42" s="234">
        <v>0</v>
      </c>
    </row>
    <row r="43" spans="1:30" hidden="1">
      <c r="A43" s="244" t="s">
        <v>2155</v>
      </c>
      <c r="B43" s="244" t="s">
        <v>2156</v>
      </c>
      <c r="C43" s="244">
        <v>25353</v>
      </c>
      <c r="D43" s="245">
        <v>41653.000006736111</v>
      </c>
      <c r="E43" s="245">
        <v>43479.000006736111</v>
      </c>
      <c r="F43" s="246">
        <v>600000000</v>
      </c>
      <c r="G43" s="246">
        <v>600000000</v>
      </c>
      <c r="H43" s="243">
        <v>1</v>
      </c>
      <c r="I43" s="234">
        <v>1042</v>
      </c>
      <c r="J43" s="234">
        <v>99.5</v>
      </c>
      <c r="K43" s="234">
        <v>23.6</v>
      </c>
      <c r="L43" s="234">
        <f>VLOOKUP(2535,收盤價!A:C,3,0)</f>
        <v>16.600000000000001</v>
      </c>
      <c r="M43" s="234">
        <v>4237</v>
      </c>
      <c r="N43" s="234">
        <v>100</v>
      </c>
      <c r="O43" s="235">
        <v>-5.0000000000000001E-3</v>
      </c>
      <c r="P43" s="235">
        <v>-0.47039999999999998</v>
      </c>
      <c r="Q43" s="235">
        <v>-0.23601604909133822</v>
      </c>
      <c r="R43" s="234">
        <f>VLOOKUP(25353,U:AC,9,0)</f>
        <v>157</v>
      </c>
      <c r="S43" s="234">
        <f>VLOOKUP(2535,季財報!A:N,8,0)</f>
        <v>3</v>
      </c>
      <c r="T43" s="234">
        <v>10502</v>
      </c>
      <c r="U43" s="234">
        <v>20314</v>
      </c>
      <c r="V43" s="234" t="s">
        <v>2675</v>
      </c>
      <c r="W43" s="234" t="s">
        <v>2676</v>
      </c>
      <c r="X43" s="234">
        <v>4790</v>
      </c>
      <c r="Y43" s="234">
        <v>4790</v>
      </c>
      <c r="Z43" s="234">
        <v>0</v>
      </c>
      <c r="AA43" s="234">
        <v>0</v>
      </c>
      <c r="AB43" s="234">
        <v>5000</v>
      </c>
      <c r="AC43" s="234">
        <v>149</v>
      </c>
      <c r="AD43" s="234">
        <v>0</v>
      </c>
    </row>
    <row r="44" spans="1:30" hidden="1">
      <c r="A44" s="244" t="s">
        <v>2188</v>
      </c>
      <c r="B44" s="244" t="s">
        <v>2189</v>
      </c>
      <c r="C44" s="244">
        <v>28884</v>
      </c>
      <c r="D44" s="245">
        <v>41878.000006736111</v>
      </c>
      <c r="E44" s="245">
        <v>43704.000006736111</v>
      </c>
      <c r="F44" s="246">
        <v>5000000000</v>
      </c>
      <c r="G44" s="246">
        <v>5000000000</v>
      </c>
      <c r="H44" s="243">
        <v>1</v>
      </c>
      <c r="I44" s="234">
        <v>1267</v>
      </c>
      <c r="J44" s="234">
        <v>98.45</v>
      </c>
      <c r="K44" s="234">
        <v>9.41</v>
      </c>
      <c r="L44" s="234">
        <f>VLOOKUP(2888,收盤價!A:C,3,0)</f>
        <v>6.82</v>
      </c>
      <c r="M44" s="234">
        <v>10627</v>
      </c>
      <c r="N44" s="234">
        <v>100</v>
      </c>
      <c r="O44" s="235">
        <v>-1.5699999999999999E-2</v>
      </c>
      <c r="P44" s="235">
        <v>-0.45669999999999999</v>
      </c>
      <c r="Q44" s="235">
        <v>-9.4099934130046109E-2</v>
      </c>
      <c r="R44" s="234">
        <f>VLOOKUP(28884,U:AC,9,0)</f>
        <v>75</v>
      </c>
      <c r="S44" s="234" t="e">
        <f>VLOOKUP(2888,季財報!A:N,8,0)</f>
        <v>#N/A</v>
      </c>
      <c r="T44" s="234">
        <v>10502</v>
      </c>
      <c r="U44" s="234">
        <v>21151</v>
      </c>
      <c r="V44" s="234" t="s">
        <v>2677</v>
      </c>
      <c r="W44" s="234" t="s">
        <v>2678</v>
      </c>
      <c r="X44" s="234">
        <v>4000</v>
      </c>
      <c r="Y44" s="234">
        <v>4000</v>
      </c>
      <c r="Z44" s="234">
        <v>0</v>
      </c>
      <c r="AA44" s="234">
        <v>0</v>
      </c>
      <c r="AB44" s="234">
        <v>4000</v>
      </c>
      <c r="AC44" s="234">
        <v>46</v>
      </c>
      <c r="AD44" s="234">
        <v>0</v>
      </c>
    </row>
    <row r="45" spans="1:30" hidden="1">
      <c r="A45" s="244" t="s">
        <v>2225</v>
      </c>
      <c r="B45" s="244" t="s">
        <v>301</v>
      </c>
      <c r="C45" s="244">
        <v>33232</v>
      </c>
      <c r="D45" s="245">
        <v>40746.000006736111</v>
      </c>
      <c r="E45" s="245">
        <v>42573.000006736111</v>
      </c>
      <c r="F45" s="246">
        <v>500000000</v>
      </c>
      <c r="G45" s="246">
        <v>38500000</v>
      </c>
      <c r="H45" s="243">
        <v>0.08</v>
      </c>
      <c r="I45" s="234">
        <v>136</v>
      </c>
      <c r="J45" s="234">
        <v>98.45</v>
      </c>
      <c r="K45" s="234">
        <v>23.4</v>
      </c>
      <c r="L45" s="234">
        <f>VLOOKUP(3323,收盤價!A:C,3,0)</f>
        <v>19.5</v>
      </c>
      <c r="M45" s="234">
        <v>4274</v>
      </c>
      <c r="N45" s="234">
        <v>100</v>
      </c>
      <c r="O45" s="235">
        <v>-1.5699999999999999E-2</v>
      </c>
      <c r="P45" s="235">
        <v>-0.30730000000000002</v>
      </c>
      <c r="Q45" s="235">
        <v>-0.23397285914833879</v>
      </c>
      <c r="R45" s="234">
        <f>VLOOKUP(33232,U:AC,9,0)</f>
        <v>12</v>
      </c>
      <c r="S45" s="234">
        <f>VLOOKUP(3323,季財報!A:N,8,0)</f>
        <v>4</v>
      </c>
      <c r="T45" s="234">
        <v>10502</v>
      </c>
      <c r="U45" s="234">
        <v>22281</v>
      </c>
      <c r="V45" s="234" t="s">
        <v>2679</v>
      </c>
      <c r="W45" s="234" t="s">
        <v>2680</v>
      </c>
      <c r="X45" s="234">
        <v>389</v>
      </c>
      <c r="Y45" s="234">
        <v>519</v>
      </c>
      <c r="Z45" s="234">
        <v>-130</v>
      </c>
      <c r="AA45" s="234">
        <v>-25.05</v>
      </c>
      <c r="AB45" s="234">
        <v>3000</v>
      </c>
      <c r="AC45" s="234">
        <v>30</v>
      </c>
      <c r="AD45" s="234">
        <v>0</v>
      </c>
    </row>
    <row r="46" spans="1:30" hidden="1">
      <c r="A46" s="244" t="s">
        <v>2314</v>
      </c>
      <c r="B46" s="244" t="s">
        <v>2315</v>
      </c>
      <c r="C46" s="244">
        <v>49161</v>
      </c>
      <c r="D46" s="245">
        <v>41934.000006736111</v>
      </c>
      <c r="E46" s="245">
        <v>43760.000006736111</v>
      </c>
      <c r="F46" s="246">
        <v>280000000</v>
      </c>
      <c r="G46" s="246">
        <v>280000000</v>
      </c>
      <c r="H46" s="243">
        <v>1</v>
      </c>
      <c r="I46" s="234">
        <v>1323</v>
      </c>
      <c r="J46" s="234">
        <v>98.5</v>
      </c>
      <c r="K46" s="234">
        <v>33.1</v>
      </c>
      <c r="L46" s="234">
        <f>VLOOKUP(4916,收盤價!A:C,3,0)</f>
        <v>25.2</v>
      </c>
      <c r="M46" s="234">
        <v>3021</v>
      </c>
      <c r="N46" s="234">
        <v>100</v>
      </c>
      <c r="O46" s="235">
        <v>-1.52E-2</v>
      </c>
      <c r="P46" s="235">
        <v>-0.37340000000000001</v>
      </c>
      <c r="Q46" s="235">
        <v>-0.33101621979476992</v>
      </c>
      <c r="R46" s="234">
        <f>VLOOKUP(49161,U:AC,9,0)</f>
        <v>12</v>
      </c>
      <c r="S46" s="234">
        <f>VLOOKUP(4916,季財報!A:N,8,0)</f>
        <v>4</v>
      </c>
      <c r="T46" s="234">
        <v>10502</v>
      </c>
      <c r="U46" s="234">
        <v>22311</v>
      </c>
      <c r="V46" s="234" t="s">
        <v>2681</v>
      </c>
      <c r="W46" s="234" t="s">
        <v>2682</v>
      </c>
      <c r="X46" s="234">
        <v>166</v>
      </c>
      <c r="Y46" s="234">
        <v>166</v>
      </c>
      <c r="Z46" s="234">
        <v>0</v>
      </c>
      <c r="AA46" s="234">
        <v>0</v>
      </c>
      <c r="AB46" s="234">
        <v>2500</v>
      </c>
      <c r="AC46" s="234">
        <v>4</v>
      </c>
      <c r="AD46" s="234">
        <v>0</v>
      </c>
    </row>
    <row r="47" spans="1:30" hidden="1">
      <c r="A47" s="244" t="s">
        <v>2221</v>
      </c>
      <c r="B47" s="244" t="s">
        <v>1958</v>
      </c>
      <c r="C47" s="244">
        <v>32881</v>
      </c>
      <c r="D47" s="245">
        <v>41848.000006736111</v>
      </c>
      <c r="E47" s="245">
        <v>42944.000006736111</v>
      </c>
      <c r="F47" s="246">
        <v>200000000</v>
      </c>
      <c r="G47" s="246">
        <v>200000000</v>
      </c>
      <c r="H47" s="243">
        <v>1</v>
      </c>
      <c r="I47" s="234">
        <v>507</v>
      </c>
      <c r="J47" s="234">
        <v>98.1</v>
      </c>
      <c r="K47" s="234">
        <v>19.3</v>
      </c>
      <c r="L47" s="234">
        <f>VLOOKUP(3288,收盤價!A:C,3,0)</f>
        <v>7.9</v>
      </c>
      <c r="M47" s="234">
        <v>5181</v>
      </c>
      <c r="N47" s="234">
        <v>100</v>
      </c>
      <c r="O47" s="235">
        <v>-1.9400000000000001E-2</v>
      </c>
      <c r="P47" s="235">
        <v>-1.4743999999999999</v>
      </c>
      <c r="Q47" s="235">
        <v>-0.19301293186643503</v>
      </c>
      <c r="R47" s="234">
        <f>VLOOKUP(32881,U:AC,9,0)</f>
        <v>25</v>
      </c>
      <c r="S47" s="234">
        <f>VLOOKUP(3288,季財報!A:N,8,0)</f>
        <v>3</v>
      </c>
      <c r="T47" s="234">
        <v>10502</v>
      </c>
      <c r="U47" s="234">
        <v>233201</v>
      </c>
      <c r="V47" s="234" t="s">
        <v>2683</v>
      </c>
      <c r="W47" s="234" t="s">
        <v>2684</v>
      </c>
      <c r="X47" s="234">
        <v>12000</v>
      </c>
      <c r="Y47" s="234">
        <v>12000</v>
      </c>
      <c r="Z47" s="234">
        <v>0</v>
      </c>
      <c r="AA47" s="234">
        <v>0</v>
      </c>
      <c r="AB47" s="234">
        <v>12000</v>
      </c>
      <c r="AC47" s="234">
        <v>37</v>
      </c>
      <c r="AD47" s="234">
        <v>0</v>
      </c>
    </row>
    <row r="48" spans="1:30">
      <c r="A48" s="244" t="s">
        <v>2182</v>
      </c>
      <c r="B48" s="244" t="s">
        <v>1437</v>
      </c>
      <c r="C48" s="244">
        <v>27261</v>
      </c>
      <c r="D48" s="245">
        <v>42327.000006736111</v>
      </c>
      <c r="E48" s="245">
        <v>43423.000006736111</v>
      </c>
      <c r="F48" s="246">
        <v>200000000</v>
      </c>
      <c r="G48" s="246">
        <v>200000000</v>
      </c>
      <c r="H48" s="243">
        <v>1</v>
      </c>
      <c r="I48" s="234">
        <v>986</v>
      </c>
      <c r="J48" s="234">
        <v>145</v>
      </c>
      <c r="K48" s="234">
        <v>50</v>
      </c>
      <c r="L48" s="234">
        <f>VLOOKUP(2726,收盤價!A:C,3,0)</f>
        <v>67</v>
      </c>
      <c r="M48" s="234">
        <v>2000</v>
      </c>
      <c r="N48" s="234">
        <v>136</v>
      </c>
      <c r="O48" s="235">
        <v>6.2100000000000002E-2</v>
      </c>
      <c r="P48" s="235">
        <v>0.26469999999999999</v>
      </c>
      <c r="Q48" s="235">
        <v>-0.5</v>
      </c>
      <c r="R48" s="234">
        <f>VLOOKUP(27261,U:AC,9,0)</f>
        <v>7</v>
      </c>
      <c r="S48" s="234">
        <f>VLOOKUP(2726,季財報!A:N,8,0)</f>
        <v>5</v>
      </c>
      <c r="T48" s="234">
        <v>10502</v>
      </c>
      <c r="U48" s="234">
        <v>23532</v>
      </c>
      <c r="V48" s="234" t="s">
        <v>2685</v>
      </c>
      <c r="W48" s="234" t="s">
        <v>2686</v>
      </c>
      <c r="X48" s="234">
        <v>60000</v>
      </c>
      <c r="Y48" s="234">
        <v>60000</v>
      </c>
      <c r="Z48" s="234">
        <v>0</v>
      </c>
      <c r="AA48" s="234">
        <v>0</v>
      </c>
      <c r="AB48" s="234">
        <v>60000</v>
      </c>
      <c r="AC48" s="234">
        <v>132</v>
      </c>
      <c r="AD48" s="234">
        <v>0</v>
      </c>
    </row>
    <row r="49" spans="1:30" hidden="1">
      <c r="A49" s="244" t="s">
        <v>2121</v>
      </c>
      <c r="B49" s="244" t="s">
        <v>2122</v>
      </c>
      <c r="C49" s="244">
        <v>24063</v>
      </c>
      <c r="D49" s="245">
        <v>42226.000006736111</v>
      </c>
      <c r="E49" s="245">
        <v>43322.000006736111</v>
      </c>
      <c r="F49" s="246">
        <v>800000000</v>
      </c>
      <c r="G49" s="246">
        <v>340600000</v>
      </c>
      <c r="H49" s="243">
        <v>0.43</v>
      </c>
      <c r="I49" s="234">
        <v>885</v>
      </c>
      <c r="J49" s="234">
        <v>149.1</v>
      </c>
      <c r="K49" s="234">
        <v>21.6</v>
      </c>
      <c r="L49" s="234">
        <f>VLOOKUP(2406,收盤價!A:C,3,0)</f>
        <v>30.9</v>
      </c>
      <c r="M49" s="234">
        <v>4630</v>
      </c>
      <c r="N49" s="234">
        <v>148.62299999999999</v>
      </c>
      <c r="O49" s="235">
        <v>3.2000000000000002E-3</v>
      </c>
      <c r="P49" s="235">
        <v>0.3271</v>
      </c>
      <c r="Q49" s="235">
        <v>-0.21598272138228941</v>
      </c>
      <c r="R49" s="234">
        <f>VLOOKUP(24063,U:AC,9,0)</f>
        <v>12</v>
      </c>
      <c r="S49" s="234">
        <f>VLOOKUP(2406,季財報!A:N,8,0)</f>
        <v>5</v>
      </c>
      <c r="T49" s="234">
        <v>10502</v>
      </c>
      <c r="U49" s="234">
        <v>23602</v>
      </c>
      <c r="V49" s="234" t="s">
        <v>2687</v>
      </c>
      <c r="W49" s="234" t="s">
        <v>2688</v>
      </c>
      <c r="X49" s="234">
        <v>18541</v>
      </c>
      <c r="Y49" s="234">
        <v>18541</v>
      </c>
      <c r="Z49" s="234">
        <v>0</v>
      </c>
      <c r="AA49" s="234">
        <v>0</v>
      </c>
      <c r="AB49" s="234">
        <v>20000</v>
      </c>
      <c r="AC49" s="234">
        <v>61</v>
      </c>
      <c r="AD49" s="234">
        <v>0</v>
      </c>
    </row>
    <row r="50" spans="1:30" hidden="1">
      <c r="A50" s="244" t="s">
        <v>2272</v>
      </c>
      <c r="B50" s="244" t="s">
        <v>2273</v>
      </c>
      <c r="C50" s="244">
        <v>37021</v>
      </c>
      <c r="D50" s="245">
        <v>41845.000006736111</v>
      </c>
      <c r="E50" s="245">
        <v>42941.000006736111</v>
      </c>
      <c r="F50" s="246">
        <v>6000000000</v>
      </c>
      <c r="G50" s="246">
        <v>6000000000</v>
      </c>
      <c r="H50" s="243">
        <v>1</v>
      </c>
      <c r="I50" s="234">
        <v>504</v>
      </c>
      <c r="J50" s="234">
        <v>99.7</v>
      </c>
      <c r="K50" s="234">
        <v>37.700000000000003</v>
      </c>
      <c r="L50" s="234">
        <f>VLOOKUP(3702,收盤價!A:C,3,0)</f>
        <v>34.299999999999997</v>
      </c>
      <c r="M50" s="234">
        <v>2653</v>
      </c>
      <c r="N50" s="234">
        <v>100</v>
      </c>
      <c r="O50" s="235">
        <v>-3.0000000000000001E-3</v>
      </c>
      <c r="P50" s="235">
        <v>-0.10879999999999999</v>
      </c>
      <c r="Q50" s="235">
        <v>-0.3769317753486619</v>
      </c>
      <c r="R50" s="234">
        <f>VLOOKUP(37021,U:AC,9,0)</f>
        <v>128</v>
      </c>
      <c r="S50" s="234">
        <f>VLOOKUP(3702,季財報!A:N,8,0)</f>
        <v>1</v>
      </c>
      <c r="T50" s="234">
        <v>10502</v>
      </c>
      <c r="U50" s="234">
        <v>23935</v>
      </c>
      <c r="V50" s="234" t="s">
        <v>2689</v>
      </c>
      <c r="W50" s="234" t="s">
        <v>2690</v>
      </c>
      <c r="X50" s="234">
        <v>38154</v>
      </c>
      <c r="Y50" s="234">
        <v>38154</v>
      </c>
      <c r="Z50" s="234">
        <v>0</v>
      </c>
      <c r="AA50" s="234">
        <v>0</v>
      </c>
      <c r="AB50" s="234">
        <v>40000</v>
      </c>
      <c r="AC50" s="234">
        <v>89</v>
      </c>
      <c r="AD50" s="234">
        <v>0</v>
      </c>
    </row>
    <row r="51" spans="1:30" hidden="1">
      <c r="A51" s="244" t="s">
        <v>2370</v>
      </c>
      <c r="B51" s="244" t="s">
        <v>2371</v>
      </c>
      <c r="C51" s="244">
        <v>61761</v>
      </c>
      <c r="D51" s="245">
        <v>41663.000006736111</v>
      </c>
      <c r="E51" s="245">
        <v>43489.000006736111</v>
      </c>
      <c r="F51" s="246">
        <v>3000000000</v>
      </c>
      <c r="G51" s="246">
        <v>3000000000</v>
      </c>
      <c r="H51" s="243">
        <v>1</v>
      </c>
      <c r="I51" s="234">
        <v>1052</v>
      </c>
      <c r="J51" s="234">
        <v>98.85</v>
      </c>
      <c r="K51" s="234">
        <v>136.59</v>
      </c>
      <c r="L51" s="234">
        <f>VLOOKUP(6176,收盤價!A:C,3,0)</f>
        <v>69.599999999999994</v>
      </c>
      <c r="M51" s="234">
        <v>732</v>
      </c>
      <c r="N51" s="234">
        <v>100</v>
      </c>
      <c r="O51" s="235">
        <v>-1.1599999999999999E-2</v>
      </c>
      <c r="P51" s="235">
        <v>-0.97670000000000001</v>
      </c>
      <c r="Q51" s="235">
        <v>-1.3661202185792349</v>
      </c>
      <c r="R51" s="234">
        <f>VLOOKUP(61761,U:AC,9,0)</f>
        <v>84</v>
      </c>
      <c r="S51" s="234">
        <f>VLOOKUP(6176,季財報!A:N,8,0)</f>
        <v>3</v>
      </c>
      <c r="T51" s="234">
        <v>10502</v>
      </c>
      <c r="U51" s="234">
        <v>23936</v>
      </c>
      <c r="V51" s="234" t="s">
        <v>2691</v>
      </c>
      <c r="W51" s="234" t="s">
        <v>2690</v>
      </c>
      <c r="X51" s="234">
        <v>46487</v>
      </c>
      <c r="Y51" s="234">
        <v>46487</v>
      </c>
      <c r="Z51" s="234">
        <v>0</v>
      </c>
      <c r="AA51" s="234">
        <v>0</v>
      </c>
      <c r="AB51" s="234">
        <v>50000</v>
      </c>
      <c r="AC51" s="234">
        <v>101</v>
      </c>
      <c r="AD51" s="234">
        <v>0</v>
      </c>
    </row>
    <row r="52" spans="1:30" hidden="1">
      <c r="A52" s="244" t="s">
        <v>2191</v>
      </c>
      <c r="B52" s="244" t="s">
        <v>2192</v>
      </c>
      <c r="C52" s="244">
        <v>30102</v>
      </c>
      <c r="D52" s="245">
        <v>41852.000006736111</v>
      </c>
      <c r="E52" s="245">
        <v>42948.000006736111</v>
      </c>
      <c r="F52" s="246">
        <v>1000000000</v>
      </c>
      <c r="G52" s="246">
        <v>1000000000</v>
      </c>
      <c r="H52" s="243">
        <v>1</v>
      </c>
      <c r="I52" s="234">
        <v>511</v>
      </c>
      <c r="J52" s="234">
        <v>99</v>
      </c>
      <c r="K52" s="234">
        <v>64.7</v>
      </c>
      <c r="L52" s="234">
        <f>VLOOKUP(3010,收盤價!A:C,3,0)</f>
        <v>45.85</v>
      </c>
      <c r="M52" s="234">
        <v>1546</v>
      </c>
      <c r="N52" s="234">
        <v>100</v>
      </c>
      <c r="O52" s="235">
        <v>-1.01E-2</v>
      </c>
      <c r="P52" s="235">
        <v>-0.42349999999999999</v>
      </c>
      <c r="Q52" s="235">
        <v>-0.64683053040103489</v>
      </c>
      <c r="R52" s="234">
        <f>VLOOKUP(30102,U:AC,9,0)</f>
        <v>50</v>
      </c>
      <c r="S52" s="234">
        <f>VLOOKUP(3010,季財報!A:N,8,0)</f>
        <v>1</v>
      </c>
      <c r="T52" s="234">
        <v>10502</v>
      </c>
      <c r="U52" s="234">
        <v>24022</v>
      </c>
      <c r="V52" s="234" t="s">
        <v>2692</v>
      </c>
      <c r="W52" s="234" t="s">
        <v>2693</v>
      </c>
      <c r="X52" s="234">
        <v>20000</v>
      </c>
      <c r="Y52" s="234">
        <v>20000</v>
      </c>
      <c r="Z52" s="234">
        <v>0</v>
      </c>
      <c r="AA52" s="234">
        <v>0</v>
      </c>
      <c r="AB52" s="234">
        <v>20000</v>
      </c>
      <c r="AC52" s="234">
        <v>67</v>
      </c>
      <c r="AD52" s="234">
        <v>0</v>
      </c>
    </row>
    <row r="53" spans="1:30" hidden="1">
      <c r="A53" s="244" t="s">
        <v>2082</v>
      </c>
      <c r="B53" s="244" t="s">
        <v>2083</v>
      </c>
      <c r="C53" s="244">
        <v>16261</v>
      </c>
      <c r="D53" s="245">
        <v>41866.000006736111</v>
      </c>
      <c r="E53" s="245">
        <v>43692.000006736111</v>
      </c>
      <c r="F53" s="246">
        <v>1300000000</v>
      </c>
      <c r="G53" s="246">
        <v>823900000</v>
      </c>
      <c r="H53" s="243">
        <v>0.63</v>
      </c>
      <c r="I53" s="234">
        <v>1255</v>
      </c>
      <c r="J53" s="234">
        <v>100.1</v>
      </c>
      <c r="K53" s="234">
        <v>49.7</v>
      </c>
      <c r="L53" s="234">
        <f>VLOOKUP(1626,收盤價!A:C,3,0)</f>
        <v>23.05</v>
      </c>
      <c r="M53" s="234">
        <v>2012</v>
      </c>
      <c r="N53" s="234">
        <v>100</v>
      </c>
      <c r="O53" s="235">
        <v>1E-3</v>
      </c>
      <c r="P53" s="235">
        <v>-1.2488999999999999</v>
      </c>
      <c r="Q53" s="235">
        <v>-0.49701789264413521</v>
      </c>
      <c r="R53" s="234">
        <f>VLOOKUP(16261,U:AC,9,0)</f>
        <v>198</v>
      </c>
      <c r="S53" s="234">
        <f>VLOOKUP(1626,季財報!A:N,8,0)</f>
        <v>0</v>
      </c>
      <c r="T53" s="234">
        <v>10502</v>
      </c>
      <c r="U53" s="234">
        <v>240602</v>
      </c>
      <c r="V53" s="234" t="s">
        <v>2694</v>
      </c>
      <c r="W53" s="234" t="s">
        <v>2695</v>
      </c>
      <c r="X53" s="234">
        <v>4146</v>
      </c>
      <c r="Y53" s="234">
        <v>4146</v>
      </c>
      <c r="Z53" s="234">
        <v>0</v>
      </c>
      <c r="AA53" s="234">
        <v>0</v>
      </c>
      <c r="AB53" s="234">
        <v>4500</v>
      </c>
      <c r="AC53" s="234">
        <v>9</v>
      </c>
      <c r="AD53" s="234">
        <v>0</v>
      </c>
    </row>
    <row r="54" spans="1:30" hidden="1">
      <c r="A54" s="244" t="s">
        <v>2312</v>
      </c>
      <c r="B54" s="244" t="s">
        <v>2313</v>
      </c>
      <c r="C54" s="244">
        <v>49063</v>
      </c>
      <c r="D54" s="245">
        <v>40749.000006736111</v>
      </c>
      <c r="E54" s="245">
        <v>42576.000006736111</v>
      </c>
      <c r="F54" s="246">
        <v>2000000000</v>
      </c>
      <c r="G54" s="246">
        <v>1841000000</v>
      </c>
      <c r="H54" s="243">
        <v>0.92</v>
      </c>
      <c r="I54" s="234">
        <v>139</v>
      </c>
      <c r="J54" s="234">
        <v>99.9</v>
      </c>
      <c r="K54" s="234">
        <v>25.9</v>
      </c>
      <c r="L54" s="234">
        <f>VLOOKUP(4906,收盤價!A:C,3,0)</f>
        <v>19.100000000000001</v>
      </c>
      <c r="M54" s="234">
        <v>3861</v>
      </c>
      <c r="N54" s="234">
        <v>100</v>
      </c>
      <c r="O54" s="235">
        <v>-1E-3</v>
      </c>
      <c r="P54" s="235">
        <v>-0.40760000000000002</v>
      </c>
      <c r="Q54" s="235">
        <v>-0.25900025900025897</v>
      </c>
      <c r="R54" s="234">
        <f>VLOOKUP(49063,U:AC,9,0)</f>
        <v>38</v>
      </c>
      <c r="S54" s="234">
        <f>VLOOKUP(4906,季財報!A:N,8,0)</f>
        <v>4</v>
      </c>
      <c r="T54" s="234">
        <v>10502</v>
      </c>
      <c r="U54" s="234">
        <v>24063</v>
      </c>
      <c r="V54" s="234" t="s">
        <v>2696</v>
      </c>
      <c r="W54" s="234" t="s">
        <v>2695</v>
      </c>
      <c r="X54" s="234">
        <v>2909</v>
      </c>
      <c r="Y54" s="234">
        <v>3274</v>
      </c>
      <c r="Z54" s="234">
        <v>-365</v>
      </c>
      <c r="AA54" s="234">
        <v>-11.15</v>
      </c>
      <c r="AB54" s="234">
        <v>8000</v>
      </c>
      <c r="AC54" s="234">
        <v>12</v>
      </c>
      <c r="AD54" s="234">
        <v>0</v>
      </c>
    </row>
    <row r="55" spans="1:30" hidden="1">
      <c r="A55" s="244" t="s">
        <v>2135</v>
      </c>
      <c r="B55" s="244" t="s">
        <v>2136</v>
      </c>
      <c r="C55" s="244">
        <v>24564</v>
      </c>
      <c r="D55" s="245">
        <v>42153.000006736111</v>
      </c>
      <c r="E55" s="245">
        <v>43980.000006736111</v>
      </c>
      <c r="F55" s="246">
        <v>1500000000</v>
      </c>
      <c r="G55" s="246">
        <v>1500000000</v>
      </c>
      <c r="H55" s="243">
        <v>1</v>
      </c>
      <c r="I55" s="234">
        <v>1543</v>
      </c>
      <c r="J55" s="234">
        <v>99.25</v>
      </c>
      <c r="K55" s="234">
        <v>71.900000000000006</v>
      </c>
      <c r="L55" s="234">
        <f>VLOOKUP(2456,收盤價!A:C,3,0)</f>
        <v>64.7</v>
      </c>
      <c r="M55" s="234">
        <v>1391</v>
      </c>
      <c r="N55" s="234">
        <v>100</v>
      </c>
      <c r="O55" s="235">
        <v>-7.6E-3</v>
      </c>
      <c r="P55" s="235">
        <v>-6.8400000000000002E-2</v>
      </c>
      <c r="Q55" s="235">
        <v>-0.71890726096333579</v>
      </c>
      <c r="R55" s="234">
        <f>VLOOKUP(24564,U:AC,9,0)</f>
        <v>168</v>
      </c>
      <c r="S55" s="234">
        <f>VLOOKUP(2456,季財報!A:N,8,0)</f>
        <v>4</v>
      </c>
      <c r="T55" s="234">
        <v>10502</v>
      </c>
      <c r="U55" s="234">
        <v>24268</v>
      </c>
      <c r="V55" s="234" t="s">
        <v>2697</v>
      </c>
      <c r="W55" s="234" t="s">
        <v>2698</v>
      </c>
      <c r="X55" s="234">
        <v>1103</v>
      </c>
      <c r="Y55" s="234">
        <v>1134</v>
      </c>
      <c r="Z55" s="234">
        <v>-31</v>
      </c>
      <c r="AA55" s="234">
        <v>-2.73</v>
      </c>
      <c r="AB55" s="234">
        <v>3000</v>
      </c>
      <c r="AC55" s="234">
        <v>28</v>
      </c>
      <c r="AD55" s="234">
        <v>0</v>
      </c>
    </row>
    <row r="56" spans="1:30" hidden="1">
      <c r="A56" s="244" t="s">
        <v>2331</v>
      </c>
      <c r="B56" s="244" t="s">
        <v>2332</v>
      </c>
      <c r="C56" s="244">
        <v>52591</v>
      </c>
      <c r="D56" s="245">
        <v>42171.000006736111</v>
      </c>
      <c r="E56" s="245">
        <v>43267.000006736111</v>
      </c>
      <c r="F56" s="246">
        <v>300000000</v>
      </c>
      <c r="G56" s="246">
        <v>300000000</v>
      </c>
      <c r="H56" s="243">
        <v>1</v>
      </c>
      <c r="I56" s="234">
        <v>830</v>
      </c>
      <c r="J56" s="234">
        <v>99</v>
      </c>
      <c r="K56" s="234">
        <v>20.69</v>
      </c>
      <c r="L56" s="234">
        <f>VLOOKUP(5259,收盤價!A:C,3,0)</f>
        <v>6.12</v>
      </c>
      <c r="M56" s="234">
        <v>4833</v>
      </c>
      <c r="N56" s="234">
        <v>100</v>
      </c>
      <c r="O56" s="235">
        <v>-1.01E-2</v>
      </c>
      <c r="P56" s="235">
        <v>-2.2946</v>
      </c>
      <c r="Q56" s="235">
        <v>-0.2069108214359611</v>
      </c>
      <c r="R56" s="234">
        <f>VLOOKUP(52591,U:AC,9,0)</f>
        <v>13</v>
      </c>
      <c r="S56" s="234">
        <f>VLOOKUP(5259,季財報!A:N,8,0)</f>
        <v>0</v>
      </c>
      <c r="T56" s="234">
        <v>10502</v>
      </c>
      <c r="U56" s="234">
        <v>24371</v>
      </c>
      <c r="V56" s="234" t="s">
        <v>2699</v>
      </c>
      <c r="W56" s="234" t="s">
        <v>2700</v>
      </c>
      <c r="X56" s="234">
        <v>7630</v>
      </c>
      <c r="Y56" s="234">
        <v>7630</v>
      </c>
      <c r="Z56" s="234">
        <v>0</v>
      </c>
      <c r="AA56" s="234">
        <v>0</v>
      </c>
      <c r="AB56" s="234">
        <v>12000</v>
      </c>
      <c r="AC56" s="234">
        <v>111</v>
      </c>
      <c r="AD56" s="234">
        <v>0</v>
      </c>
    </row>
    <row r="57" spans="1:30" hidden="1">
      <c r="A57" s="244" t="s">
        <v>2278</v>
      </c>
      <c r="B57" s="244" t="s">
        <v>346</v>
      </c>
      <c r="C57" s="244">
        <v>41134</v>
      </c>
      <c r="D57" s="245">
        <v>41870.000006736111</v>
      </c>
      <c r="E57" s="245">
        <v>43696.000006736111</v>
      </c>
      <c r="F57" s="246">
        <v>600000000</v>
      </c>
      <c r="G57" s="246">
        <v>188300000</v>
      </c>
      <c r="H57" s="243">
        <v>0.31</v>
      </c>
      <c r="I57" s="234">
        <v>1259</v>
      </c>
      <c r="J57" s="234">
        <v>100.5</v>
      </c>
      <c r="K57" s="234">
        <v>14.8</v>
      </c>
      <c r="L57" s="234">
        <f>VLOOKUP(4113,收盤價!A:C,3,0)</f>
        <v>11.5</v>
      </c>
      <c r="M57" s="234">
        <v>6757</v>
      </c>
      <c r="N57" s="234">
        <v>100</v>
      </c>
      <c r="O57" s="235">
        <v>5.0000000000000001E-3</v>
      </c>
      <c r="P57" s="235">
        <v>-0.35160000000000002</v>
      </c>
      <c r="Q57" s="235">
        <v>-0.1479946721918011</v>
      </c>
      <c r="R57" s="234">
        <f>VLOOKUP(41134,U:AC,9,0)</f>
        <v>55</v>
      </c>
      <c r="S57" s="234">
        <f>VLOOKUP(4113,季財報!A:N,8,0)</f>
        <v>2</v>
      </c>
      <c r="T57" s="234">
        <v>10502</v>
      </c>
      <c r="U57" s="234">
        <v>24391</v>
      </c>
      <c r="V57" s="234" t="s">
        <v>2701</v>
      </c>
      <c r="W57" s="234" t="s">
        <v>2702</v>
      </c>
      <c r="X57" s="234">
        <v>15000</v>
      </c>
      <c r="Y57" s="234">
        <v>15000</v>
      </c>
      <c r="Z57" s="234">
        <v>0</v>
      </c>
      <c r="AA57" s="234">
        <v>0</v>
      </c>
      <c r="AB57" s="234">
        <v>15000</v>
      </c>
      <c r="AC57" s="234">
        <v>63</v>
      </c>
      <c r="AD57" s="234">
        <v>0</v>
      </c>
    </row>
    <row r="58" spans="1:30" hidden="1">
      <c r="A58" s="244" t="s">
        <v>2178</v>
      </c>
      <c r="B58" s="244" t="s">
        <v>1998</v>
      </c>
      <c r="C58" s="244">
        <v>26412</v>
      </c>
      <c r="D58" s="245">
        <v>42013.000006736111</v>
      </c>
      <c r="E58" s="245">
        <v>43109.000006736111</v>
      </c>
      <c r="F58" s="246">
        <v>100000000</v>
      </c>
      <c r="G58" s="246">
        <v>99500000</v>
      </c>
      <c r="H58" s="243">
        <v>1</v>
      </c>
      <c r="I58" s="234">
        <v>672</v>
      </c>
      <c r="J58" s="234">
        <v>99.9</v>
      </c>
      <c r="K58" s="234">
        <v>11.18</v>
      </c>
      <c r="L58" s="234">
        <f>VLOOKUP(2641,收盤價!A:C,3,0)</f>
        <v>7.5</v>
      </c>
      <c r="M58" s="234">
        <v>8945</v>
      </c>
      <c r="N58" s="234">
        <v>100</v>
      </c>
      <c r="O58" s="235">
        <v>-1E-3</v>
      </c>
      <c r="P58" s="235">
        <v>-0.50470000000000004</v>
      </c>
      <c r="Q58" s="235">
        <v>-0.11179429849077696</v>
      </c>
      <c r="R58" s="234">
        <f>VLOOKUP(26412,U:AC,9,0)</f>
        <v>24</v>
      </c>
      <c r="S58" s="234">
        <f>VLOOKUP(2641,季財報!A:N,8,0)</f>
        <v>2</v>
      </c>
      <c r="T58" s="234">
        <v>10502</v>
      </c>
      <c r="U58" s="234">
        <v>24422</v>
      </c>
      <c r="V58" s="234" t="s">
        <v>2703</v>
      </c>
      <c r="W58" s="234" t="s">
        <v>2704</v>
      </c>
      <c r="X58" s="234">
        <v>3019</v>
      </c>
      <c r="Y58" s="234">
        <v>3019</v>
      </c>
      <c r="Z58" s="234">
        <v>0</v>
      </c>
      <c r="AA58" s="234">
        <v>0</v>
      </c>
      <c r="AB58" s="234">
        <v>4000</v>
      </c>
      <c r="AC58" s="234">
        <v>7</v>
      </c>
      <c r="AD58" s="234">
        <v>0</v>
      </c>
    </row>
    <row r="59" spans="1:30" hidden="1">
      <c r="A59" s="244" t="s">
        <v>2069</v>
      </c>
      <c r="B59" s="244" t="s">
        <v>248</v>
      </c>
      <c r="C59" s="244">
        <v>15661</v>
      </c>
      <c r="D59" s="245">
        <v>41257.000006736111</v>
      </c>
      <c r="E59" s="245">
        <v>43083.000006736111</v>
      </c>
      <c r="F59" s="246">
        <v>500000000</v>
      </c>
      <c r="G59" s="246">
        <v>85300000</v>
      </c>
      <c r="H59" s="243">
        <v>0.17</v>
      </c>
      <c r="I59" s="234">
        <v>646</v>
      </c>
      <c r="J59" s="234">
        <v>102.5</v>
      </c>
      <c r="K59" s="234">
        <v>29.18</v>
      </c>
      <c r="L59" s="234">
        <f>VLOOKUP(1566,收盤價!A:C,3,0)</f>
        <v>24.15</v>
      </c>
      <c r="M59" s="234">
        <v>3427</v>
      </c>
      <c r="N59" s="234">
        <v>100</v>
      </c>
      <c r="O59" s="235">
        <v>2.4400000000000002E-2</v>
      </c>
      <c r="P59" s="235">
        <v>-0.32340000000000002</v>
      </c>
      <c r="Q59" s="235">
        <v>-0.29180040852057193</v>
      </c>
      <c r="R59" s="234">
        <f>VLOOKUP(15661,U:AC,9,0)</f>
        <v>22</v>
      </c>
      <c r="S59" s="234">
        <f>VLOOKUP(1566,季財報!A:N,8,0)</f>
        <v>3</v>
      </c>
      <c r="T59" s="234">
        <v>10502</v>
      </c>
      <c r="U59" s="234">
        <v>24442</v>
      </c>
      <c r="V59" s="234" t="s">
        <v>2705</v>
      </c>
      <c r="W59" s="234" t="s">
        <v>2706</v>
      </c>
      <c r="X59" s="234">
        <v>3000</v>
      </c>
      <c r="Y59" s="234">
        <v>3000</v>
      </c>
      <c r="Z59" s="234">
        <v>0</v>
      </c>
      <c r="AA59" s="234">
        <v>0</v>
      </c>
      <c r="AB59" s="234">
        <v>3000</v>
      </c>
      <c r="AC59" s="234">
        <v>11</v>
      </c>
      <c r="AD59" s="234">
        <v>0</v>
      </c>
    </row>
    <row r="60" spans="1:30" hidden="1">
      <c r="A60" s="244" t="s">
        <v>2090</v>
      </c>
      <c r="B60" s="244" t="s">
        <v>2091</v>
      </c>
      <c r="C60" s="244">
        <v>17153</v>
      </c>
      <c r="D60" s="245">
        <v>42152.000006736111</v>
      </c>
      <c r="E60" s="245">
        <v>43979.000006736111</v>
      </c>
      <c r="F60" s="246">
        <v>700000000</v>
      </c>
      <c r="G60" s="246">
        <v>700000000</v>
      </c>
      <c r="H60" s="243">
        <v>1</v>
      </c>
      <c r="I60" s="234">
        <v>1542</v>
      </c>
      <c r="J60" s="234">
        <v>100</v>
      </c>
      <c r="K60" s="234">
        <v>17.239999999999998</v>
      </c>
      <c r="L60" s="234">
        <f>VLOOKUP(1715,收盤價!A:C,3,0)</f>
        <v>12.35</v>
      </c>
      <c r="M60" s="234">
        <v>5800</v>
      </c>
      <c r="N60" s="234">
        <v>100</v>
      </c>
      <c r="O60" s="235">
        <v>0</v>
      </c>
      <c r="P60" s="235">
        <v>-0.45490000000000003</v>
      </c>
      <c r="Q60" s="235">
        <v>-0.17241379310344829</v>
      </c>
      <c r="R60" s="234">
        <f>VLOOKUP(17153,U:AC,9,0)</f>
        <v>39</v>
      </c>
      <c r="S60" s="234">
        <f>VLOOKUP(1715,季財報!A:N,8,0)</f>
        <v>5</v>
      </c>
      <c r="T60" s="234">
        <v>10502</v>
      </c>
      <c r="U60" s="234">
        <v>24564</v>
      </c>
      <c r="V60" s="234" t="s">
        <v>2707</v>
      </c>
      <c r="W60" s="234" t="s">
        <v>2708</v>
      </c>
      <c r="X60" s="234">
        <v>14989</v>
      </c>
      <c r="Y60" s="234">
        <v>14989</v>
      </c>
      <c r="Z60" s="234">
        <v>0</v>
      </c>
      <c r="AA60" s="234">
        <v>0</v>
      </c>
      <c r="AB60" s="234">
        <v>15000</v>
      </c>
      <c r="AC60" s="234">
        <v>168</v>
      </c>
      <c r="AD60" s="234">
        <v>0</v>
      </c>
    </row>
    <row r="61" spans="1:30" hidden="1">
      <c r="A61" s="244" t="s">
        <v>2300</v>
      </c>
      <c r="B61" s="244" t="s">
        <v>2301</v>
      </c>
      <c r="C61" s="244">
        <v>45322</v>
      </c>
      <c r="D61" s="245">
        <v>42194.000006736111</v>
      </c>
      <c r="E61" s="245">
        <v>43290.000006736111</v>
      </c>
      <c r="F61" s="246">
        <v>1000000000</v>
      </c>
      <c r="G61" s="246">
        <v>1000000000</v>
      </c>
      <c r="H61" s="243">
        <v>1</v>
      </c>
      <c r="I61" s="234">
        <v>853</v>
      </c>
      <c r="J61" s="234">
        <v>101.5</v>
      </c>
      <c r="K61" s="234">
        <v>28.9</v>
      </c>
      <c r="L61" s="234">
        <f>VLOOKUP(4532,收盤價!A:C,3,0)</f>
        <v>27.1</v>
      </c>
      <c r="M61" s="234">
        <v>3460</v>
      </c>
      <c r="N61" s="234">
        <v>100</v>
      </c>
      <c r="O61" s="235">
        <v>1.4800000000000001E-2</v>
      </c>
      <c r="P61" s="235">
        <v>-6.8400000000000002E-2</v>
      </c>
      <c r="Q61" s="235">
        <v>-0.28901734104046239</v>
      </c>
      <c r="R61" s="234">
        <f>VLOOKUP(45322,U:AC,9,0)</f>
        <v>64</v>
      </c>
      <c r="S61" s="234">
        <f>VLOOKUP(4532,季財報!A:N,8,0)</f>
        <v>2</v>
      </c>
      <c r="T61" s="234">
        <v>10502</v>
      </c>
      <c r="U61" s="234">
        <v>24571</v>
      </c>
      <c r="V61" s="234" t="s">
        <v>2709</v>
      </c>
      <c r="W61" s="234" t="s">
        <v>2710</v>
      </c>
      <c r="X61" s="234">
        <v>12975</v>
      </c>
      <c r="Y61" s="234">
        <v>12975</v>
      </c>
      <c r="Z61" s="234">
        <v>0</v>
      </c>
      <c r="AA61" s="234">
        <v>0</v>
      </c>
      <c r="AB61" s="234">
        <v>15000</v>
      </c>
      <c r="AC61" s="234">
        <v>134</v>
      </c>
      <c r="AD61" s="234">
        <v>0</v>
      </c>
    </row>
    <row r="62" spans="1:30" hidden="1">
      <c r="A62" s="244" t="s">
        <v>2320</v>
      </c>
      <c r="B62" s="244" t="s">
        <v>2321</v>
      </c>
      <c r="C62" s="244">
        <v>49561</v>
      </c>
      <c r="D62" s="245">
        <v>41814.000006736111</v>
      </c>
      <c r="E62" s="245">
        <v>43640.000006736111</v>
      </c>
      <c r="F62" s="246">
        <v>500000000</v>
      </c>
      <c r="G62" s="246">
        <v>500000000</v>
      </c>
      <c r="H62" s="243">
        <v>1</v>
      </c>
      <c r="I62" s="234">
        <v>1203</v>
      </c>
      <c r="J62" s="234">
        <v>99.6</v>
      </c>
      <c r="K62" s="234">
        <v>32.51</v>
      </c>
      <c r="L62" s="234">
        <f>VLOOKUP(4956,收盤價!A:C,3,0)</f>
        <v>13.15</v>
      </c>
      <c r="M62" s="234">
        <v>3076</v>
      </c>
      <c r="N62" s="234">
        <v>100</v>
      </c>
      <c r="O62" s="235">
        <v>-4.0000000000000001E-3</v>
      </c>
      <c r="P62" s="235">
        <v>-1.57</v>
      </c>
      <c r="Q62" s="235">
        <v>-0.32509752925877766</v>
      </c>
      <c r="R62" s="234">
        <f>VLOOKUP(49561,U:AC,9,0)</f>
        <v>93</v>
      </c>
      <c r="S62" s="234">
        <f>VLOOKUP(4956,季財報!A:N,8,0)</f>
        <v>2</v>
      </c>
      <c r="T62" s="234">
        <v>10502</v>
      </c>
      <c r="U62" s="234">
        <v>24614</v>
      </c>
      <c r="V62" s="234" t="s">
        <v>2711</v>
      </c>
      <c r="W62" s="234" t="s">
        <v>2712</v>
      </c>
      <c r="X62" s="234">
        <v>3000</v>
      </c>
      <c r="Y62" s="234">
        <v>3000</v>
      </c>
      <c r="Z62" s="234">
        <v>0</v>
      </c>
      <c r="AA62" s="234">
        <v>0</v>
      </c>
      <c r="AB62" s="234">
        <v>3000</v>
      </c>
      <c r="AC62" s="234">
        <v>11</v>
      </c>
      <c r="AD62" s="234">
        <v>0</v>
      </c>
    </row>
    <row r="63" spans="1:30" hidden="1">
      <c r="A63" s="244" t="s">
        <v>2079</v>
      </c>
      <c r="B63" s="244" t="s">
        <v>1956</v>
      </c>
      <c r="C63" s="244">
        <v>15951</v>
      </c>
      <c r="D63" s="245">
        <v>42046.000006736111</v>
      </c>
      <c r="E63" s="245">
        <v>43142.000006736111</v>
      </c>
      <c r="F63" s="246">
        <v>240000000</v>
      </c>
      <c r="G63" s="246">
        <v>240000000</v>
      </c>
      <c r="H63" s="243">
        <v>1</v>
      </c>
      <c r="I63" s="234">
        <v>705</v>
      </c>
      <c r="J63" s="234">
        <v>99.05</v>
      </c>
      <c r="K63" s="234">
        <v>78.75</v>
      </c>
      <c r="L63" s="234">
        <f>VLOOKUP(1595,收盤價!A:C,3,0)</f>
        <v>58.9</v>
      </c>
      <c r="M63" s="234">
        <v>1270</v>
      </c>
      <c r="N63" s="234">
        <v>100</v>
      </c>
      <c r="O63" s="235">
        <v>-9.5999999999999992E-3</v>
      </c>
      <c r="P63" s="235">
        <v>-0.32800000000000001</v>
      </c>
      <c r="Q63" s="235">
        <v>-0.78740157480314965</v>
      </c>
      <c r="R63" s="234">
        <f>VLOOKUP(15951,U:AC,9,0)</f>
        <v>29</v>
      </c>
      <c r="S63" s="234">
        <f>VLOOKUP(1595,季財報!A:N,8,0)</f>
        <v>2</v>
      </c>
      <c r="T63" s="234">
        <v>10502</v>
      </c>
      <c r="U63" s="234">
        <v>24615</v>
      </c>
      <c r="V63" s="234" t="s">
        <v>2713</v>
      </c>
      <c r="W63" s="234" t="s">
        <v>2712</v>
      </c>
      <c r="X63" s="234">
        <v>2000</v>
      </c>
      <c r="Y63" s="234">
        <v>2000</v>
      </c>
      <c r="Z63" s="234">
        <v>0</v>
      </c>
      <c r="AA63" s="234">
        <v>0</v>
      </c>
      <c r="AB63" s="234">
        <v>2000</v>
      </c>
      <c r="AC63" s="234">
        <v>20</v>
      </c>
      <c r="AD63" s="234">
        <v>0</v>
      </c>
    </row>
    <row r="64" spans="1:30" hidden="1">
      <c r="A64" s="244" t="s">
        <v>2327</v>
      </c>
      <c r="B64" s="244" t="s">
        <v>1995</v>
      </c>
      <c r="C64" s="244">
        <v>52133</v>
      </c>
      <c r="D64" s="245">
        <v>41445.000006736111</v>
      </c>
      <c r="E64" s="245">
        <v>42541.000006736111</v>
      </c>
      <c r="F64" s="246">
        <v>400000000</v>
      </c>
      <c r="G64" s="246">
        <v>182400000</v>
      </c>
      <c r="H64" s="243">
        <v>0.46</v>
      </c>
      <c r="I64" s="234">
        <v>104</v>
      </c>
      <c r="J64" s="234">
        <v>99.05</v>
      </c>
      <c r="K64" s="234">
        <v>21.2</v>
      </c>
      <c r="L64" s="234">
        <f>VLOOKUP(5213,收盤價!A:C,3,0)</f>
        <v>14.85</v>
      </c>
      <c r="M64" s="234">
        <v>4717</v>
      </c>
      <c r="N64" s="234">
        <v>100</v>
      </c>
      <c r="O64" s="235">
        <v>-9.5999999999999992E-3</v>
      </c>
      <c r="P64" s="235">
        <v>-0.46210000000000001</v>
      </c>
      <c r="Q64" s="235">
        <v>-0.21199915200339198</v>
      </c>
      <c r="R64" s="234">
        <f>VLOOKUP(52133,U:AC,9,0)</f>
        <v>14</v>
      </c>
      <c r="S64" s="234">
        <f>VLOOKUP(5213,季財報!A:N,8,0)</f>
        <v>1</v>
      </c>
      <c r="T64" s="234">
        <v>10502</v>
      </c>
      <c r="U64" s="234">
        <v>24622</v>
      </c>
      <c r="V64" s="234" t="s">
        <v>2714</v>
      </c>
      <c r="W64" s="234" t="s">
        <v>2715</v>
      </c>
      <c r="X64" s="234">
        <v>388</v>
      </c>
      <c r="Y64" s="234">
        <v>388</v>
      </c>
      <c r="Z64" s="234">
        <v>0</v>
      </c>
      <c r="AA64" s="234">
        <v>0</v>
      </c>
      <c r="AB64" s="234">
        <v>2000</v>
      </c>
      <c r="AC64" s="234">
        <v>8</v>
      </c>
      <c r="AD64" s="234">
        <v>0</v>
      </c>
    </row>
    <row r="65" spans="1:30" hidden="1">
      <c r="A65" s="244" t="s">
        <v>2188</v>
      </c>
      <c r="B65" s="244" t="s">
        <v>2189</v>
      </c>
      <c r="C65" s="244">
        <v>28883</v>
      </c>
      <c r="D65" s="245">
        <v>41022.000006736111</v>
      </c>
      <c r="E65" s="245">
        <v>42848.000006736111</v>
      </c>
      <c r="F65" s="246">
        <v>5000000000</v>
      </c>
      <c r="G65" s="246">
        <v>4095900000</v>
      </c>
      <c r="H65" s="243">
        <v>0.82</v>
      </c>
      <c r="I65" s="234">
        <v>411</v>
      </c>
      <c r="J65" s="234">
        <v>98.9</v>
      </c>
      <c r="K65" s="234">
        <v>9.1</v>
      </c>
      <c r="L65" s="234">
        <f>VLOOKUP(2888,收盤價!A:C,3,0)</f>
        <v>6.82</v>
      </c>
      <c r="M65" s="234">
        <v>10989</v>
      </c>
      <c r="N65" s="234">
        <v>100</v>
      </c>
      <c r="O65" s="235">
        <v>-1.11E-2</v>
      </c>
      <c r="P65" s="235">
        <v>-0.40870000000000001</v>
      </c>
      <c r="Q65" s="235">
        <v>-9.1000091000090988E-2</v>
      </c>
      <c r="R65" s="234">
        <f>VLOOKUP(28883,U:AC,9,0)</f>
        <v>58</v>
      </c>
      <c r="S65" s="234" t="e">
        <f>VLOOKUP(2888,季財報!A:N,8,0)</f>
        <v>#N/A</v>
      </c>
      <c r="T65" s="234">
        <v>10502</v>
      </c>
      <c r="U65" s="234">
        <v>24662</v>
      </c>
      <c r="V65" s="234" t="s">
        <v>2716</v>
      </c>
      <c r="W65" s="234" t="s">
        <v>2717</v>
      </c>
      <c r="X65" s="234">
        <v>2000</v>
      </c>
      <c r="Y65" s="234">
        <v>2000</v>
      </c>
      <c r="Z65" s="234">
        <v>0</v>
      </c>
      <c r="AA65" s="234">
        <v>0</v>
      </c>
      <c r="AB65" s="234">
        <v>2000</v>
      </c>
      <c r="AC65" s="234">
        <v>11</v>
      </c>
      <c r="AD65" s="234">
        <v>0</v>
      </c>
    </row>
    <row r="66" spans="1:30" hidden="1">
      <c r="A66" s="244" t="s">
        <v>2327</v>
      </c>
      <c r="B66" s="244" t="s">
        <v>1995</v>
      </c>
      <c r="C66" s="244">
        <v>52134</v>
      </c>
      <c r="D66" s="245">
        <v>41446.000006736111</v>
      </c>
      <c r="E66" s="245">
        <v>42542.000006736111</v>
      </c>
      <c r="F66" s="246">
        <v>100000000</v>
      </c>
      <c r="G66" s="246">
        <v>17900000</v>
      </c>
      <c r="H66" s="243">
        <v>0.18</v>
      </c>
      <c r="I66" s="234">
        <v>105</v>
      </c>
      <c r="J66" s="234">
        <v>99.45</v>
      </c>
      <c r="K66" s="234">
        <v>21.3</v>
      </c>
      <c r="L66" s="234">
        <f>VLOOKUP(5213,收盤價!A:C,3,0)</f>
        <v>14.85</v>
      </c>
      <c r="M66" s="234">
        <v>4695</v>
      </c>
      <c r="N66" s="234">
        <v>100</v>
      </c>
      <c r="O66" s="235">
        <v>-5.4999999999999997E-3</v>
      </c>
      <c r="P66" s="235">
        <v>-0.46899999999999997</v>
      </c>
      <c r="Q66" s="235">
        <v>-0.21299254526091585</v>
      </c>
      <c r="R66" s="234">
        <f>VLOOKUP(52134,U:AC,9,0)</f>
        <v>5</v>
      </c>
      <c r="S66" s="234">
        <f>VLOOKUP(5213,季財報!A:N,8,0)</f>
        <v>1</v>
      </c>
      <c r="T66" s="234">
        <v>10502</v>
      </c>
      <c r="U66" s="234">
        <v>24781</v>
      </c>
      <c r="V66" s="234" t="s">
        <v>2718</v>
      </c>
      <c r="W66" s="234" t="s">
        <v>2719</v>
      </c>
      <c r="X66" s="234">
        <v>2330</v>
      </c>
      <c r="Y66" s="234">
        <v>2330</v>
      </c>
      <c r="Z66" s="234">
        <v>0</v>
      </c>
      <c r="AA66" s="234">
        <v>0</v>
      </c>
      <c r="AB66" s="234">
        <v>5625</v>
      </c>
      <c r="AC66" s="234">
        <v>46</v>
      </c>
      <c r="AD66" s="234">
        <v>0</v>
      </c>
    </row>
    <row r="67" spans="1:30" hidden="1">
      <c r="A67" s="244" t="s">
        <v>2181</v>
      </c>
      <c r="B67" s="244" t="s">
        <v>1436</v>
      </c>
      <c r="C67" s="244">
        <v>27241</v>
      </c>
      <c r="D67" s="245">
        <v>41544.000006736111</v>
      </c>
      <c r="E67" s="245">
        <v>42640.000006736111</v>
      </c>
      <c r="F67" s="246">
        <v>200000000</v>
      </c>
      <c r="G67" s="246">
        <v>800000</v>
      </c>
      <c r="H67" s="243">
        <v>0</v>
      </c>
      <c r="I67" s="234">
        <v>203</v>
      </c>
      <c r="J67" s="234">
        <v>99.1</v>
      </c>
      <c r="K67" s="234">
        <v>43.6</v>
      </c>
      <c r="L67" s="234">
        <f>VLOOKUP(2724,收盤價!A:C,3,0)</f>
        <v>13.6</v>
      </c>
      <c r="M67" s="234">
        <v>2294</v>
      </c>
      <c r="N67" s="234">
        <v>100</v>
      </c>
      <c r="O67" s="235">
        <v>-9.1000000000000004E-3</v>
      </c>
      <c r="P67" s="235">
        <v>-2.3668</v>
      </c>
      <c r="Q67" s="235">
        <v>-0.43591979075850046</v>
      </c>
      <c r="R67" s="234">
        <f>VLOOKUP(27241,U:AC,9,0)</f>
        <v>4</v>
      </c>
      <c r="S67" s="234">
        <f>VLOOKUP(2724,季財報!A:N,8,0)</f>
        <v>3</v>
      </c>
      <c r="T67" s="234">
        <v>10502</v>
      </c>
      <c r="U67" s="234">
        <v>24816</v>
      </c>
      <c r="V67" s="234" t="s">
        <v>2720</v>
      </c>
      <c r="W67" s="234" t="s">
        <v>2721</v>
      </c>
      <c r="X67" s="234">
        <v>1969</v>
      </c>
      <c r="Y67" s="234">
        <v>1969</v>
      </c>
      <c r="Z67" s="234">
        <v>0</v>
      </c>
      <c r="AA67" s="234">
        <v>0</v>
      </c>
      <c r="AB67" s="234">
        <v>3500</v>
      </c>
      <c r="AC67" s="234">
        <v>26</v>
      </c>
      <c r="AD67" s="234">
        <v>0</v>
      </c>
    </row>
    <row r="68" spans="1:30" hidden="1">
      <c r="A68" s="244" t="s">
        <v>2441</v>
      </c>
      <c r="B68" s="244" t="s">
        <v>2442</v>
      </c>
      <c r="C68" s="244">
        <v>99391</v>
      </c>
      <c r="D68" s="245">
        <v>40739.000006736111</v>
      </c>
      <c r="E68" s="245">
        <v>42566.000006736111</v>
      </c>
      <c r="F68" s="246">
        <v>1000000000</v>
      </c>
      <c r="G68" s="246">
        <v>575500000</v>
      </c>
      <c r="H68" s="243">
        <v>0.57999999999999996</v>
      </c>
      <c r="I68" s="234">
        <v>129</v>
      </c>
      <c r="J68" s="234">
        <v>99.8</v>
      </c>
      <c r="K68" s="234">
        <v>71.900000000000006</v>
      </c>
      <c r="L68" s="234">
        <f>VLOOKUP(9939,收盤價!A:C,3,0)</f>
        <v>51</v>
      </c>
      <c r="M68" s="234">
        <v>1391</v>
      </c>
      <c r="N68" s="234">
        <v>100</v>
      </c>
      <c r="O68" s="235">
        <v>-2E-3</v>
      </c>
      <c r="P68" s="235">
        <v>-0.46139999999999998</v>
      </c>
      <c r="Q68" s="235">
        <v>-0.71890726096333579</v>
      </c>
      <c r="R68" s="234">
        <f>VLOOKUP(99391,U:AC,9,0)</f>
        <v>39</v>
      </c>
      <c r="S68" s="234">
        <f>VLOOKUP(9939,季財報!A:N,8,0)</f>
        <v>1</v>
      </c>
      <c r="T68" s="234">
        <v>10502</v>
      </c>
      <c r="U68" s="234">
        <v>24817</v>
      </c>
      <c r="V68" s="234" t="s">
        <v>2722</v>
      </c>
      <c r="W68" s="234" t="s">
        <v>2721</v>
      </c>
      <c r="X68" s="234">
        <v>71</v>
      </c>
      <c r="Y68" s="234">
        <v>91</v>
      </c>
      <c r="Z68" s="234">
        <v>-20</v>
      </c>
      <c r="AA68" s="234">
        <v>-21.98</v>
      </c>
      <c r="AB68" s="234">
        <v>1500</v>
      </c>
      <c r="AC68" s="234">
        <v>13</v>
      </c>
      <c r="AD68" s="234">
        <v>0</v>
      </c>
    </row>
    <row r="69" spans="1:30" hidden="1">
      <c r="A69" s="244" t="s">
        <v>2076</v>
      </c>
      <c r="B69" s="244" t="s">
        <v>2077</v>
      </c>
      <c r="C69" s="244">
        <v>15891</v>
      </c>
      <c r="D69" s="245">
        <v>41793.000006736111</v>
      </c>
      <c r="E69" s="245">
        <v>43619.000006736111</v>
      </c>
      <c r="F69" s="246">
        <v>1500000000</v>
      </c>
      <c r="G69" s="246">
        <v>269400000</v>
      </c>
      <c r="H69" s="243">
        <v>0.18</v>
      </c>
      <c r="I69" s="234">
        <v>1182</v>
      </c>
      <c r="J69" s="234">
        <v>156</v>
      </c>
      <c r="K69" s="234">
        <v>148.6</v>
      </c>
      <c r="L69" s="234">
        <f>VLOOKUP(1589,收盤價!A:C,3,0)</f>
        <v>229.5</v>
      </c>
      <c r="M69" s="234">
        <v>673</v>
      </c>
      <c r="N69" s="234">
        <v>159.1645</v>
      </c>
      <c r="O69" s="235">
        <v>-2.0299999999999999E-2</v>
      </c>
      <c r="P69" s="235">
        <v>0.37169999999999997</v>
      </c>
      <c r="Q69" s="235">
        <v>-1.4858841010401189</v>
      </c>
      <c r="R69" s="234">
        <f>VLOOKUP(15891,U:AC,9,0)</f>
        <v>25</v>
      </c>
      <c r="S69" s="234">
        <f>VLOOKUP(1589,季財報!A:N,8,0)</f>
        <v>4</v>
      </c>
      <c r="T69" s="234">
        <v>10502</v>
      </c>
      <c r="U69" s="234">
        <v>24865</v>
      </c>
      <c r="V69" s="234" t="s">
        <v>2723</v>
      </c>
      <c r="W69" s="234" t="s">
        <v>2724</v>
      </c>
      <c r="X69" s="234">
        <v>11000</v>
      </c>
      <c r="Y69" s="234">
        <v>11000</v>
      </c>
      <c r="Z69" s="234">
        <v>0</v>
      </c>
      <c r="AA69" s="234">
        <v>0</v>
      </c>
      <c r="AB69" s="234">
        <v>11000</v>
      </c>
      <c r="AC69" s="234">
        <v>105</v>
      </c>
      <c r="AD69" s="234">
        <v>0</v>
      </c>
    </row>
    <row r="70" spans="1:30" hidden="1">
      <c r="A70" s="244" t="s">
        <v>2103</v>
      </c>
      <c r="B70" s="244" t="s">
        <v>2104</v>
      </c>
      <c r="C70" s="244">
        <v>20314</v>
      </c>
      <c r="D70" s="245">
        <v>41628.000006736111</v>
      </c>
      <c r="E70" s="245">
        <v>43454.000006736111</v>
      </c>
      <c r="F70" s="246">
        <v>500000000</v>
      </c>
      <c r="G70" s="246">
        <v>479000000</v>
      </c>
      <c r="H70" s="243">
        <v>0.96</v>
      </c>
      <c r="I70" s="234">
        <v>1017</v>
      </c>
      <c r="J70" s="234">
        <v>101.4</v>
      </c>
      <c r="K70" s="234">
        <v>16.899999999999999</v>
      </c>
      <c r="L70" s="234">
        <f>VLOOKUP(2031,收盤價!A:C,3,0)</f>
        <v>15.9</v>
      </c>
      <c r="M70" s="234">
        <v>5917</v>
      </c>
      <c r="N70" s="234">
        <v>100</v>
      </c>
      <c r="O70" s="235">
        <v>1.38E-2</v>
      </c>
      <c r="P70" s="235">
        <v>-0.1615</v>
      </c>
      <c r="Q70" s="235">
        <v>-0.16900456312320433</v>
      </c>
      <c r="R70" s="234">
        <f>VLOOKUP(20314,U:AC,9,0)</f>
        <v>149</v>
      </c>
      <c r="S70" s="234">
        <f>VLOOKUP(2031,季財報!A:N,8,0)</f>
        <v>0</v>
      </c>
      <c r="T70" s="234">
        <v>10502</v>
      </c>
      <c r="U70" s="234">
        <v>25151</v>
      </c>
      <c r="V70" s="234" t="s">
        <v>2725</v>
      </c>
      <c r="W70" s="234" t="s">
        <v>2726</v>
      </c>
      <c r="X70" s="234">
        <v>3000</v>
      </c>
      <c r="Y70" s="234">
        <v>3000</v>
      </c>
      <c r="Z70" s="234">
        <v>0</v>
      </c>
      <c r="AA70" s="234">
        <v>0</v>
      </c>
      <c r="AB70" s="234">
        <v>3000</v>
      </c>
      <c r="AC70" s="234">
        <v>28</v>
      </c>
      <c r="AD70" s="234">
        <v>0</v>
      </c>
    </row>
    <row r="71" spans="1:30" hidden="1">
      <c r="A71" s="244" t="s">
        <v>2157</v>
      </c>
      <c r="B71" s="244" t="s">
        <v>2158</v>
      </c>
      <c r="C71" s="244">
        <v>25375</v>
      </c>
      <c r="D71" s="245">
        <v>41583.000006736111</v>
      </c>
      <c r="E71" s="245">
        <v>43409.000006736111</v>
      </c>
      <c r="F71" s="246">
        <v>400000000</v>
      </c>
      <c r="G71" s="246">
        <v>400000000</v>
      </c>
      <c r="H71" s="243">
        <v>1</v>
      </c>
      <c r="I71" s="234">
        <v>972</v>
      </c>
      <c r="J71" s="234">
        <v>100.3</v>
      </c>
      <c r="K71" s="234">
        <v>14.09</v>
      </c>
      <c r="L71" s="234">
        <f>VLOOKUP(2537,收盤價!A:C,3,0)</f>
        <v>9.5</v>
      </c>
      <c r="M71" s="234">
        <v>7097</v>
      </c>
      <c r="N71" s="234">
        <v>100</v>
      </c>
      <c r="O71" s="235">
        <v>3.0000000000000001E-3</v>
      </c>
      <c r="P71" s="235">
        <v>-0.65180000000000005</v>
      </c>
      <c r="Q71" s="235">
        <v>-0.14090460758066789</v>
      </c>
      <c r="R71" s="234">
        <f>VLOOKUP(25375,U:AC,9,0)</f>
        <v>163</v>
      </c>
      <c r="S71" s="234">
        <f>VLOOKUP(2537,季財報!A:N,8,0)</f>
        <v>3</v>
      </c>
      <c r="T71" s="234">
        <v>10502</v>
      </c>
      <c r="U71" s="234">
        <v>25152</v>
      </c>
      <c r="V71" s="234" t="s">
        <v>2727</v>
      </c>
      <c r="W71" s="234" t="s">
        <v>2726</v>
      </c>
      <c r="X71" s="234">
        <v>4500</v>
      </c>
      <c r="Y71" s="234">
        <v>4500</v>
      </c>
      <c r="Z71" s="234">
        <v>0</v>
      </c>
      <c r="AA71" s="234">
        <v>0</v>
      </c>
      <c r="AB71" s="234">
        <v>5000</v>
      </c>
      <c r="AC71" s="234">
        <v>137</v>
      </c>
      <c r="AD71" s="234">
        <v>0</v>
      </c>
    </row>
    <row r="72" spans="1:30" hidden="1">
      <c r="A72" s="244" t="s">
        <v>2216</v>
      </c>
      <c r="B72" s="244" t="s">
        <v>280</v>
      </c>
      <c r="C72" s="244">
        <v>32051</v>
      </c>
      <c r="D72" s="245">
        <v>41639.000006736111</v>
      </c>
      <c r="E72" s="245">
        <v>42735.000006736111</v>
      </c>
      <c r="F72" s="246">
        <v>100000000</v>
      </c>
      <c r="G72" s="246">
        <v>13500000</v>
      </c>
      <c r="H72" s="243">
        <v>0.14000000000000001</v>
      </c>
      <c r="I72" s="234">
        <v>298</v>
      </c>
      <c r="J72" s="234">
        <v>1100</v>
      </c>
      <c r="K72" s="234">
        <v>28.45</v>
      </c>
      <c r="L72" s="234">
        <f>VLOOKUP(3205,收盤價!A:C,3,0)</f>
        <v>320</v>
      </c>
      <c r="M72" s="234">
        <v>3515</v>
      </c>
      <c r="N72" s="234">
        <v>1123.0425</v>
      </c>
      <c r="O72" s="235">
        <v>-2.0899999999999998E-2</v>
      </c>
      <c r="P72" s="235">
        <v>0.91100000000000003</v>
      </c>
      <c r="Q72" s="235">
        <v>-0.28449502133712662</v>
      </c>
      <c r="R72" s="234">
        <f>VLOOKUP(32051,U:AC,9,0)</f>
        <v>1</v>
      </c>
      <c r="S72" s="234">
        <f>VLOOKUP(3205,季財報!A:N,8,0)</f>
        <v>5</v>
      </c>
      <c r="T72" s="234">
        <v>10502</v>
      </c>
      <c r="U72" s="234">
        <v>25281</v>
      </c>
      <c r="V72" s="234" t="s">
        <v>2728</v>
      </c>
      <c r="W72" s="234" t="s">
        <v>2729</v>
      </c>
      <c r="X72" s="234">
        <v>1962</v>
      </c>
      <c r="Y72" s="234">
        <v>1962</v>
      </c>
      <c r="Z72" s="234">
        <v>0</v>
      </c>
      <c r="AA72" s="234">
        <v>0</v>
      </c>
      <c r="AB72" s="234">
        <v>4070</v>
      </c>
      <c r="AC72" s="234">
        <v>6</v>
      </c>
      <c r="AD72" s="234">
        <v>0</v>
      </c>
    </row>
    <row r="73" spans="1:30" hidden="1">
      <c r="A73" s="244" t="s">
        <v>2179</v>
      </c>
      <c r="B73" s="244" t="s">
        <v>2180</v>
      </c>
      <c r="C73" s="244">
        <v>27071</v>
      </c>
      <c r="D73" s="245">
        <v>41465.000006736111</v>
      </c>
      <c r="E73" s="245">
        <v>43291.000006736111</v>
      </c>
      <c r="F73" s="246">
        <v>1500000000</v>
      </c>
      <c r="G73" s="246">
        <v>1500000000</v>
      </c>
      <c r="H73" s="243">
        <v>1</v>
      </c>
      <c r="I73" s="234">
        <v>854</v>
      </c>
      <c r="J73" s="234">
        <v>99.45</v>
      </c>
      <c r="K73" s="234">
        <v>292.39999999999998</v>
      </c>
      <c r="L73" s="234">
        <f>VLOOKUP(2707,收盤價!A:C,3,0)</f>
        <v>212.5</v>
      </c>
      <c r="M73" s="234">
        <v>342</v>
      </c>
      <c r="N73" s="234">
        <v>100</v>
      </c>
      <c r="O73" s="235">
        <v>-5.4999999999999997E-3</v>
      </c>
      <c r="P73" s="235">
        <v>-0.36320000000000002</v>
      </c>
      <c r="Q73" s="235">
        <v>-2.9239766081871346</v>
      </c>
      <c r="R73" s="234">
        <f>VLOOKUP(27071,U:AC,9,0)</f>
        <v>64</v>
      </c>
      <c r="S73" s="234">
        <f>VLOOKUP(2707,季財報!A:N,8,0)</f>
        <v>1</v>
      </c>
      <c r="T73" s="234">
        <v>10502</v>
      </c>
      <c r="U73" s="234">
        <v>25352</v>
      </c>
      <c r="V73" s="234" t="s">
        <v>2730</v>
      </c>
      <c r="W73" s="234" t="s">
        <v>2731</v>
      </c>
      <c r="X73" s="234">
        <v>6000</v>
      </c>
      <c r="Y73" s="234">
        <v>6000</v>
      </c>
      <c r="Z73" s="234">
        <v>0</v>
      </c>
      <c r="AA73" s="234">
        <v>0</v>
      </c>
      <c r="AB73" s="234">
        <v>6000</v>
      </c>
      <c r="AC73" s="234">
        <v>25</v>
      </c>
      <c r="AD73" s="234">
        <v>0</v>
      </c>
    </row>
    <row r="74" spans="1:30" hidden="1">
      <c r="A74" s="244" t="s">
        <v>2170</v>
      </c>
      <c r="B74" s="244" t="s">
        <v>2171</v>
      </c>
      <c r="C74" s="244">
        <v>26132</v>
      </c>
      <c r="D74" s="245">
        <v>42307.000006736111</v>
      </c>
      <c r="E74" s="245">
        <v>43403.000006736111</v>
      </c>
      <c r="F74" s="246">
        <v>150000000</v>
      </c>
      <c r="G74" s="246">
        <v>150000000</v>
      </c>
      <c r="H74" s="243">
        <v>1</v>
      </c>
      <c r="I74" s="234">
        <v>966</v>
      </c>
      <c r="J74" s="234">
        <v>100.5</v>
      </c>
      <c r="K74" s="234">
        <v>14.4</v>
      </c>
      <c r="L74" s="234">
        <f>VLOOKUP(2613,收盤價!A:C,3,0)</f>
        <v>13.3</v>
      </c>
      <c r="M74" s="234">
        <v>6944</v>
      </c>
      <c r="N74" s="234">
        <v>100</v>
      </c>
      <c r="O74" s="235">
        <v>5.0000000000000001E-3</v>
      </c>
      <c r="P74" s="235">
        <v>-9.0899999999999995E-2</v>
      </c>
      <c r="Q74" s="235">
        <v>-0.14400921658986177</v>
      </c>
      <c r="R74" s="234">
        <f>VLOOKUP(26132,U:AC,9,0)</f>
        <v>34</v>
      </c>
      <c r="S74" s="234">
        <f>VLOOKUP(2613,季財報!A:N,8,0)</f>
        <v>0</v>
      </c>
      <c r="T74" s="234">
        <v>10502</v>
      </c>
      <c r="U74" s="234">
        <v>25353</v>
      </c>
      <c r="V74" s="234" t="s">
        <v>2732</v>
      </c>
      <c r="W74" s="234" t="s">
        <v>2731</v>
      </c>
      <c r="X74" s="234">
        <v>6000</v>
      </c>
      <c r="Y74" s="234">
        <v>6000</v>
      </c>
      <c r="Z74" s="234">
        <v>0</v>
      </c>
      <c r="AA74" s="234">
        <v>0</v>
      </c>
      <c r="AB74" s="234">
        <v>6000</v>
      </c>
      <c r="AC74" s="234">
        <v>157</v>
      </c>
      <c r="AD74" s="234">
        <v>0</v>
      </c>
    </row>
    <row r="75" spans="1:30" hidden="1">
      <c r="A75" s="244" t="s">
        <v>2341</v>
      </c>
      <c r="B75" s="244" t="s">
        <v>1983</v>
      </c>
      <c r="C75" s="244">
        <v>53924</v>
      </c>
      <c r="D75" s="245">
        <v>42305.000006736111</v>
      </c>
      <c r="E75" s="245">
        <v>44132.000006736111</v>
      </c>
      <c r="F75" s="246">
        <v>1500000000</v>
      </c>
      <c r="G75" s="246">
        <v>1500000000</v>
      </c>
      <c r="H75" s="243">
        <v>1</v>
      </c>
      <c r="I75" s="234">
        <v>1695</v>
      </c>
      <c r="J75" s="234">
        <v>103.15</v>
      </c>
      <c r="K75" s="234">
        <v>54.2</v>
      </c>
      <c r="L75" s="234">
        <f>VLOOKUP(5392,收盤價!A:C,3,0)</f>
        <v>51.5</v>
      </c>
      <c r="M75" s="234">
        <v>1845</v>
      </c>
      <c r="N75" s="234">
        <v>100</v>
      </c>
      <c r="O75" s="235">
        <v>3.0499999999999999E-2</v>
      </c>
      <c r="P75" s="235">
        <v>-2.46E-2</v>
      </c>
      <c r="Q75" s="235">
        <v>-0.54200542005420049</v>
      </c>
      <c r="R75" s="234">
        <f>VLOOKUP(53924,U:AC,9,0)</f>
        <v>108</v>
      </c>
      <c r="S75" s="234">
        <f>VLOOKUP(5392,季財報!A:N,8,0)</f>
        <v>2</v>
      </c>
      <c r="T75" s="234">
        <v>10502</v>
      </c>
      <c r="U75" s="234">
        <v>25375</v>
      </c>
      <c r="V75" s="234" t="s">
        <v>2733</v>
      </c>
      <c r="W75" s="234" t="s">
        <v>2734</v>
      </c>
      <c r="X75" s="234">
        <v>4000</v>
      </c>
      <c r="Y75" s="234">
        <v>4000</v>
      </c>
      <c r="Z75" s="234">
        <v>0</v>
      </c>
      <c r="AA75" s="234">
        <v>0</v>
      </c>
      <c r="AB75" s="234">
        <v>4000</v>
      </c>
      <c r="AC75" s="234">
        <v>163</v>
      </c>
      <c r="AD75" s="234">
        <v>0</v>
      </c>
    </row>
    <row r="76" spans="1:30" hidden="1">
      <c r="A76" s="244" t="s">
        <v>2364</v>
      </c>
      <c r="B76" s="244" t="s">
        <v>438</v>
      </c>
      <c r="C76" s="244">
        <v>61462</v>
      </c>
      <c r="D76" s="245">
        <v>41919.000006736111</v>
      </c>
      <c r="E76" s="245">
        <v>43015.000006736111</v>
      </c>
      <c r="F76" s="246">
        <v>600000000</v>
      </c>
      <c r="G76" s="246">
        <v>73200000</v>
      </c>
      <c r="H76" s="243">
        <v>0.12</v>
      </c>
      <c r="I76" s="234">
        <v>578</v>
      </c>
      <c r="J76" s="234">
        <v>121</v>
      </c>
      <c r="K76" s="234">
        <v>148.5</v>
      </c>
      <c r="L76" s="234">
        <f>VLOOKUP(6146,收盤價!A:C,3,0)</f>
        <v>177</v>
      </c>
      <c r="M76" s="234">
        <v>673</v>
      </c>
      <c r="N76" s="234">
        <v>121.14</v>
      </c>
      <c r="O76" s="235">
        <v>-1.1999999999999999E-3</v>
      </c>
      <c r="P76" s="235">
        <v>0.17499999999999999</v>
      </c>
      <c r="Q76" s="235">
        <v>-1.4858841010401187</v>
      </c>
      <c r="R76" s="234">
        <f>VLOOKUP(61462,U:AC,9,0)</f>
        <v>13</v>
      </c>
      <c r="S76" s="234">
        <f>VLOOKUP(6146,季財報!A:N,8,0)</f>
        <v>2</v>
      </c>
      <c r="T76" s="234">
        <v>10502</v>
      </c>
      <c r="U76" s="234">
        <v>25383</v>
      </c>
      <c r="V76" s="234" t="s">
        <v>2735</v>
      </c>
      <c r="W76" s="234" t="s">
        <v>2736</v>
      </c>
      <c r="X76" s="234">
        <v>10000</v>
      </c>
      <c r="Y76" s="234">
        <v>10000</v>
      </c>
      <c r="Z76" s="234">
        <v>0</v>
      </c>
      <c r="AA76" s="234">
        <v>0</v>
      </c>
      <c r="AB76" s="234">
        <v>10000</v>
      </c>
      <c r="AC76" s="234">
        <v>21</v>
      </c>
      <c r="AD76" s="234">
        <v>0</v>
      </c>
    </row>
    <row r="77" spans="1:30" hidden="1">
      <c r="A77" s="244" t="s">
        <v>2429</v>
      </c>
      <c r="B77" s="244" t="s">
        <v>2430</v>
      </c>
      <c r="C77" s="244">
        <v>84361</v>
      </c>
      <c r="D77" s="245">
        <v>42293.000006736111</v>
      </c>
      <c r="E77" s="245">
        <v>43389.000006736111</v>
      </c>
      <c r="F77" s="246">
        <v>500000000</v>
      </c>
      <c r="G77" s="246">
        <v>156300000</v>
      </c>
      <c r="H77" s="243">
        <v>0.31</v>
      </c>
      <c r="I77" s="234">
        <v>952</v>
      </c>
      <c r="J77" s="234">
        <v>147</v>
      </c>
      <c r="K77" s="234">
        <v>88</v>
      </c>
      <c r="L77" s="234">
        <f>VLOOKUP(8436,收盤價!A:C,3,0)</f>
        <v>124</v>
      </c>
      <c r="M77" s="234">
        <v>1136</v>
      </c>
      <c r="N77" s="234">
        <v>142.56800000000001</v>
      </c>
      <c r="O77" s="235">
        <v>3.0099999999999998E-2</v>
      </c>
      <c r="P77" s="235">
        <v>0.29880000000000001</v>
      </c>
      <c r="Q77" s="235">
        <v>-0.88028169014084501</v>
      </c>
      <c r="R77" s="234">
        <f>VLOOKUP(84361,U:AC,9,0)</f>
        <v>25</v>
      </c>
      <c r="S77" s="234">
        <f>VLOOKUP(8436,季財報!A:N,8,0)</f>
        <v>4</v>
      </c>
      <c r="T77" s="234">
        <v>10502</v>
      </c>
      <c r="U77" s="234">
        <v>25474</v>
      </c>
      <c r="V77" s="234" t="s">
        <v>2737</v>
      </c>
      <c r="W77" s="234" t="s">
        <v>2738</v>
      </c>
      <c r="X77" s="234">
        <v>3133</v>
      </c>
      <c r="Y77" s="234">
        <v>3133</v>
      </c>
      <c r="Z77" s="234">
        <v>0</v>
      </c>
      <c r="AA77" s="234">
        <v>0</v>
      </c>
      <c r="AB77" s="234">
        <v>8000</v>
      </c>
      <c r="AC77" s="234">
        <v>15</v>
      </c>
      <c r="AD77" s="234">
        <v>0</v>
      </c>
    </row>
    <row r="78" spans="1:30" hidden="1">
      <c r="A78" s="244" t="s">
        <v>2395</v>
      </c>
      <c r="B78" s="244" t="s">
        <v>1949</v>
      </c>
      <c r="C78" s="244">
        <v>62874</v>
      </c>
      <c r="D78" s="245">
        <v>42044.000006736111</v>
      </c>
      <c r="E78" s="245">
        <v>43140.000006736111</v>
      </c>
      <c r="F78" s="246">
        <v>250000000</v>
      </c>
      <c r="G78" s="246">
        <v>250000000</v>
      </c>
      <c r="H78" s="243">
        <v>1</v>
      </c>
      <c r="I78" s="234">
        <v>703</v>
      </c>
      <c r="J78" s="234">
        <v>100</v>
      </c>
      <c r="K78" s="234">
        <v>5.8</v>
      </c>
      <c r="L78" s="234">
        <f>VLOOKUP(6287,收盤價!A:C,3,0)</f>
        <v>3.6</v>
      </c>
      <c r="M78" s="234">
        <v>17241</v>
      </c>
      <c r="N78" s="234">
        <v>100</v>
      </c>
      <c r="O78" s="235">
        <v>0</v>
      </c>
      <c r="P78" s="235">
        <v>-0.71089999999999998</v>
      </c>
      <c r="Q78" s="235">
        <v>-5.8001276028072618E-2</v>
      </c>
      <c r="R78" s="234">
        <f>VLOOKUP(62874,U:AC,9,0)</f>
        <v>8</v>
      </c>
      <c r="S78" s="234">
        <f>VLOOKUP(6287,季財報!A:N,8,0)</f>
        <v>3</v>
      </c>
      <c r="T78" s="234">
        <v>10502</v>
      </c>
      <c r="U78" s="234">
        <v>25962</v>
      </c>
      <c r="V78" s="234" t="s">
        <v>2739</v>
      </c>
      <c r="W78" s="234" t="s">
        <v>2740</v>
      </c>
      <c r="X78" s="234">
        <v>3000</v>
      </c>
      <c r="Y78" s="234">
        <v>3000</v>
      </c>
      <c r="Z78" s="234">
        <v>0</v>
      </c>
      <c r="AA78" s="234">
        <v>0</v>
      </c>
      <c r="AB78" s="234">
        <v>3000</v>
      </c>
      <c r="AC78" s="234">
        <v>15</v>
      </c>
      <c r="AD78" s="234">
        <v>0</v>
      </c>
    </row>
    <row r="79" spans="1:30" hidden="1">
      <c r="A79" s="244" t="s">
        <v>2294</v>
      </c>
      <c r="B79" s="244" t="s">
        <v>2295</v>
      </c>
      <c r="C79" s="244">
        <v>43066</v>
      </c>
      <c r="D79" s="245">
        <v>40616.000006736111</v>
      </c>
      <c r="E79" s="245">
        <v>42443.000006736111</v>
      </c>
      <c r="F79" s="246">
        <v>1000000000</v>
      </c>
      <c r="G79" s="246">
        <v>667400000</v>
      </c>
      <c r="H79" s="243">
        <v>0.67</v>
      </c>
      <c r="I79" s="234">
        <v>6</v>
      </c>
      <c r="J79" s="234">
        <v>99.8</v>
      </c>
      <c r="K79" s="234">
        <v>20.65</v>
      </c>
      <c r="L79" s="234">
        <f>VLOOKUP(4306,收盤價!A:C,3,0)</f>
        <v>12.85</v>
      </c>
      <c r="M79" s="234">
        <v>4843</v>
      </c>
      <c r="N79" s="234">
        <v>100</v>
      </c>
      <c r="O79" s="235">
        <v>-2E-3</v>
      </c>
      <c r="P79" s="235">
        <v>-0.6653</v>
      </c>
      <c r="Q79" s="235">
        <v>-0.20648358455502788</v>
      </c>
      <c r="R79" s="234">
        <f>VLOOKUP(43066,U:AC,9,0)</f>
        <v>81</v>
      </c>
      <c r="S79" s="234">
        <f>VLOOKUP(4306,季財報!A:N,8,0)</f>
        <v>0</v>
      </c>
      <c r="T79" s="234">
        <v>10502</v>
      </c>
      <c r="U79" s="234">
        <v>26011</v>
      </c>
      <c r="V79" s="234" t="s">
        <v>2741</v>
      </c>
      <c r="W79" s="234" t="s">
        <v>2742</v>
      </c>
      <c r="X79" s="234">
        <v>9000</v>
      </c>
      <c r="Y79" s="234">
        <v>9000</v>
      </c>
      <c r="Z79" s="234">
        <v>0</v>
      </c>
      <c r="AA79" s="234">
        <v>0</v>
      </c>
      <c r="AB79" s="234">
        <v>9000</v>
      </c>
      <c r="AC79" s="234">
        <v>27</v>
      </c>
      <c r="AD79" s="234">
        <v>0</v>
      </c>
    </row>
    <row r="80" spans="1:30" hidden="1">
      <c r="A80" s="244" t="s">
        <v>2229</v>
      </c>
      <c r="B80" s="244" t="s">
        <v>1952</v>
      </c>
      <c r="C80" s="244">
        <v>33393</v>
      </c>
      <c r="D80" s="245">
        <v>41768.000006736111</v>
      </c>
      <c r="E80" s="245">
        <v>42864.000006736111</v>
      </c>
      <c r="F80" s="246">
        <v>200000000</v>
      </c>
      <c r="G80" s="246">
        <v>166800000</v>
      </c>
      <c r="H80" s="243">
        <v>0.83</v>
      </c>
      <c r="I80" s="234">
        <v>427</v>
      </c>
      <c r="J80" s="234">
        <v>99</v>
      </c>
      <c r="K80" s="234">
        <v>16</v>
      </c>
      <c r="L80" s="234">
        <f>VLOOKUP(3339,收盤價!A:C,3,0)</f>
        <v>3.72</v>
      </c>
      <c r="M80" s="234">
        <v>6250</v>
      </c>
      <c r="N80" s="234">
        <v>100</v>
      </c>
      <c r="O80" s="235">
        <v>-1.01E-2</v>
      </c>
      <c r="P80" s="235">
        <v>-3.1775000000000002</v>
      </c>
      <c r="Q80" s="235">
        <v>-0.16</v>
      </c>
      <c r="R80" s="234">
        <f>VLOOKUP(33393,U:AC,9,0)</f>
        <v>20</v>
      </c>
      <c r="S80" s="234">
        <f>VLOOKUP(3339,季財報!A:N,8,0)</f>
        <v>2</v>
      </c>
      <c r="T80" s="234">
        <v>10502</v>
      </c>
      <c r="U80" s="234">
        <v>26012</v>
      </c>
      <c r="V80" s="234" t="s">
        <v>2743</v>
      </c>
      <c r="W80" s="234" t="s">
        <v>2742</v>
      </c>
      <c r="X80" s="234">
        <v>1000</v>
      </c>
      <c r="Y80" s="234">
        <v>1000</v>
      </c>
      <c r="Z80" s="234">
        <v>0</v>
      </c>
      <c r="AA80" s="234">
        <v>0</v>
      </c>
      <c r="AB80" s="234">
        <v>1000</v>
      </c>
      <c r="AC80" s="234">
        <v>9</v>
      </c>
      <c r="AD80" s="234">
        <v>0</v>
      </c>
    </row>
    <row r="81" spans="1:30" hidden="1">
      <c r="A81" s="244" t="s">
        <v>2278</v>
      </c>
      <c r="B81" s="244" t="s">
        <v>346</v>
      </c>
      <c r="C81" s="244">
        <v>41133</v>
      </c>
      <c r="D81" s="245">
        <v>41568.000006736111</v>
      </c>
      <c r="E81" s="245">
        <v>43394.000006736111</v>
      </c>
      <c r="F81" s="246">
        <v>500000000</v>
      </c>
      <c r="G81" s="246">
        <v>25200000</v>
      </c>
      <c r="H81" s="243">
        <v>0.05</v>
      </c>
      <c r="I81" s="234">
        <v>957</v>
      </c>
      <c r="J81" s="234">
        <v>99.5</v>
      </c>
      <c r="K81" s="234">
        <v>15.1</v>
      </c>
      <c r="L81" s="234">
        <f>VLOOKUP(4113,收盤價!A:C,3,0)</f>
        <v>11.5</v>
      </c>
      <c r="M81" s="234">
        <v>6623</v>
      </c>
      <c r="N81" s="234">
        <v>100</v>
      </c>
      <c r="O81" s="235">
        <v>-5.0000000000000001E-3</v>
      </c>
      <c r="P81" s="235">
        <v>-0.55989999999999995</v>
      </c>
      <c r="Q81" s="235">
        <v>-0.15098897780462028</v>
      </c>
      <c r="R81" s="234" t="e">
        <f>VLOOKUP(41133,U:AC,9,0)</f>
        <v>#N/A</v>
      </c>
      <c r="S81" s="234">
        <f>VLOOKUP(4113,季財報!A:N,8,0)</f>
        <v>2</v>
      </c>
      <c r="T81" s="234">
        <v>10502</v>
      </c>
      <c r="U81" s="234">
        <v>26094</v>
      </c>
      <c r="V81" s="234" t="s">
        <v>2744</v>
      </c>
      <c r="W81" s="234" t="s">
        <v>2745</v>
      </c>
      <c r="X81" s="234">
        <v>19571</v>
      </c>
      <c r="Y81" s="234">
        <v>19571</v>
      </c>
      <c r="Z81" s="234">
        <v>0</v>
      </c>
      <c r="AA81" s="234">
        <v>0</v>
      </c>
      <c r="AB81" s="234">
        <v>46092</v>
      </c>
      <c r="AC81" s="234">
        <v>50</v>
      </c>
      <c r="AD81" s="234">
        <v>0</v>
      </c>
    </row>
    <row r="82" spans="1:30" hidden="1">
      <c r="A82" s="244" t="s">
        <v>2299</v>
      </c>
      <c r="B82" s="244" t="s">
        <v>1940</v>
      </c>
      <c r="C82" s="244">
        <v>45231</v>
      </c>
      <c r="D82" s="245">
        <v>41299.000006736111</v>
      </c>
      <c r="E82" s="245">
        <v>43125.000006736111</v>
      </c>
      <c r="F82" s="246">
        <v>200000000</v>
      </c>
      <c r="G82" s="246">
        <v>32800000</v>
      </c>
      <c r="H82" s="243">
        <v>0.16</v>
      </c>
      <c r="I82" s="234">
        <v>688</v>
      </c>
      <c r="J82" s="234">
        <v>99.5</v>
      </c>
      <c r="K82" s="234">
        <v>33</v>
      </c>
      <c r="L82" s="234">
        <f>VLOOKUP(4523,收盤價!A:C,3,0)</f>
        <v>18.850000000000001</v>
      </c>
      <c r="M82" s="234">
        <v>3030</v>
      </c>
      <c r="N82" s="234">
        <v>100</v>
      </c>
      <c r="O82" s="235">
        <v>-5.0000000000000001E-3</v>
      </c>
      <c r="P82" s="235">
        <v>-0.73680000000000001</v>
      </c>
      <c r="Q82" s="235">
        <v>-0.33003300330032997</v>
      </c>
      <c r="R82" s="234">
        <f>VLOOKUP(45231,U:AC,9,0)</f>
        <v>7</v>
      </c>
      <c r="S82" s="234">
        <f>VLOOKUP(4523,季財報!A:N,8,0)</f>
        <v>2</v>
      </c>
      <c r="T82" s="234">
        <v>10502</v>
      </c>
      <c r="U82" s="234">
        <v>26105</v>
      </c>
      <c r="V82" s="234" t="s">
        <v>2746</v>
      </c>
      <c r="W82" s="234" t="s">
        <v>2747</v>
      </c>
      <c r="X82" s="234">
        <v>26843</v>
      </c>
      <c r="Y82" s="234">
        <v>26843</v>
      </c>
      <c r="Z82" s="234">
        <v>0</v>
      </c>
      <c r="AA82" s="234">
        <v>0</v>
      </c>
      <c r="AB82" s="234">
        <v>60000</v>
      </c>
      <c r="AC82" s="234">
        <v>69</v>
      </c>
      <c r="AD82" s="234">
        <v>0</v>
      </c>
    </row>
    <row r="83" spans="1:30" ht="31.5" hidden="1">
      <c r="A83" s="244" t="s">
        <v>2113</v>
      </c>
      <c r="B83" s="244" t="s">
        <v>2114</v>
      </c>
      <c r="C83" s="244">
        <v>23532</v>
      </c>
      <c r="D83" s="245">
        <v>41408.000006736111</v>
      </c>
      <c r="E83" s="245">
        <v>42504.000006736111</v>
      </c>
      <c r="F83" s="246">
        <v>6000000000</v>
      </c>
      <c r="G83" s="246">
        <v>6000000000</v>
      </c>
      <c r="H83" s="243">
        <v>1</v>
      </c>
      <c r="I83" s="234">
        <v>67</v>
      </c>
      <c r="J83" s="234">
        <v>99.65</v>
      </c>
      <c r="K83" s="234">
        <v>24.97</v>
      </c>
      <c r="L83" s="234">
        <f>VLOOKUP(2353,收盤價!A:C,3,0)</f>
        <v>12.3</v>
      </c>
      <c r="M83" s="234">
        <v>4005</v>
      </c>
      <c r="N83" s="234">
        <v>100</v>
      </c>
      <c r="O83" s="235">
        <v>-3.5000000000000001E-3</v>
      </c>
      <c r="P83" s="235">
        <v>-1.0722</v>
      </c>
      <c r="Q83" s="235">
        <v>-0.24968789013732834</v>
      </c>
      <c r="R83" s="234">
        <f>VLOOKUP(23532,U:AC,9,0)</f>
        <v>132</v>
      </c>
      <c r="S83" s="234">
        <f>VLOOKUP(2353,季財報!A:N,8,0)</f>
        <v>1</v>
      </c>
      <c r="T83" s="234">
        <v>10502</v>
      </c>
      <c r="U83" s="234">
        <v>26131</v>
      </c>
      <c r="V83" s="234" t="s">
        <v>2748</v>
      </c>
      <c r="W83" s="234" t="s">
        <v>2749</v>
      </c>
      <c r="X83" s="234">
        <v>1500</v>
      </c>
      <c r="Y83" s="234">
        <v>1500</v>
      </c>
      <c r="Z83" s="234">
        <v>0</v>
      </c>
      <c r="AA83" s="234">
        <v>0</v>
      </c>
      <c r="AB83" s="234">
        <v>1500</v>
      </c>
      <c r="AC83" s="234">
        <v>9</v>
      </c>
      <c r="AD83" s="234">
        <v>0</v>
      </c>
    </row>
    <row r="84" spans="1:30" hidden="1">
      <c r="A84" s="244" t="s">
        <v>2343</v>
      </c>
      <c r="B84" s="244" t="s">
        <v>1963</v>
      </c>
      <c r="C84" s="244">
        <v>54913</v>
      </c>
      <c r="D84" s="245">
        <v>41634.000006736111</v>
      </c>
      <c r="E84" s="245">
        <v>42730.000006736111</v>
      </c>
      <c r="F84" s="246">
        <v>300000000</v>
      </c>
      <c r="G84" s="246">
        <v>45900000</v>
      </c>
      <c r="H84" s="243">
        <v>0.15</v>
      </c>
      <c r="I84" s="234">
        <v>293</v>
      </c>
      <c r="J84" s="234">
        <v>99.5</v>
      </c>
      <c r="K84" s="234">
        <v>10.1</v>
      </c>
      <c r="L84" s="234">
        <f>VLOOKUP(5491,收盤價!A:C,3,0)</f>
        <v>7.13</v>
      </c>
      <c r="M84" s="234">
        <v>9901</v>
      </c>
      <c r="N84" s="234">
        <v>100</v>
      </c>
      <c r="O84" s="235">
        <v>-5.0000000000000001E-3</v>
      </c>
      <c r="P84" s="235">
        <v>-0.39500000000000002</v>
      </c>
      <c r="Q84" s="235">
        <v>-0.10099989900010099</v>
      </c>
      <c r="R84" s="234">
        <f>VLOOKUP(54913,U:AC,9,0)</f>
        <v>6</v>
      </c>
      <c r="S84" s="234">
        <f>VLOOKUP(5491,季財報!A:N,8,0)</f>
        <v>2</v>
      </c>
      <c r="T84" s="234">
        <v>10502</v>
      </c>
      <c r="U84" s="234">
        <v>26132</v>
      </c>
      <c r="V84" s="234" t="s">
        <v>2750</v>
      </c>
      <c r="W84" s="234" t="s">
        <v>2749</v>
      </c>
      <c r="X84" s="234">
        <v>1500</v>
      </c>
      <c r="Y84" s="234">
        <v>1500</v>
      </c>
      <c r="Z84" s="234">
        <v>0</v>
      </c>
      <c r="AA84" s="234">
        <v>0</v>
      </c>
      <c r="AB84" s="234">
        <v>1500</v>
      </c>
      <c r="AC84" s="234">
        <v>34</v>
      </c>
      <c r="AD84" s="234">
        <v>0</v>
      </c>
    </row>
    <row r="85" spans="1:30">
      <c r="A85" s="244" t="s">
        <v>2274</v>
      </c>
      <c r="B85" s="244" t="s">
        <v>2275</v>
      </c>
      <c r="C85" s="244">
        <v>41045</v>
      </c>
      <c r="D85" s="245">
        <v>42254.000006736111</v>
      </c>
      <c r="E85" s="245">
        <v>43350.000006736111</v>
      </c>
      <c r="F85" s="246">
        <v>300000000</v>
      </c>
      <c r="G85" s="246">
        <v>247800000</v>
      </c>
      <c r="H85" s="243">
        <v>0.83</v>
      </c>
      <c r="I85" s="234">
        <v>913</v>
      </c>
      <c r="J85" s="234">
        <v>130.19999999999999</v>
      </c>
      <c r="K85" s="234">
        <v>39.299999999999997</v>
      </c>
      <c r="L85" s="234">
        <f>VLOOKUP(4104,收盤價!A:C,3,0)</f>
        <v>51.2</v>
      </c>
      <c r="M85" s="234">
        <v>2545</v>
      </c>
      <c r="N85" s="234">
        <v>129.54050000000001</v>
      </c>
      <c r="O85" s="235">
        <v>5.1000000000000004E-3</v>
      </c>
      <c r="P85" s="235">
        <v>0.22789999999999999</v>
      </c>
      <c r="Q85" s="235">
        <v>-0.39292730844793711</v>
      </c>
      <c r="R85" s="234">
        <f>VLOOKUP(41045,U:AC,9,0)</f>
        <v>17</v>
      </c>
      <c r="S85" s="234">
        <f>VLOOKUP(4104,季財報!A:N,8,0)</f>
        <v>3</v>
      </c>
      <c r="T85" s="234">
        <v>10502</v>
      </c>
      <c r="U85" s="234">
        <v>26163</v>
      </c>
      <c r="V85" s="234" t="s">
        <v>2751</v>
      </c>
      <c r="W85" s="234" t="s">
        <v>2752</v>
      </c>
      <c r="X85" s="234">
        <v>4959</v>
      </c>
      <c r="Y85" s="234">
        <v>4999</v>
      </c>
      <c r="Z85" s="234">
        <v>-40</v>
      </c>
      <c r="AA85" s="234">
        <v>-0.8</v>
      </c>
      <c r="AB85" s="234">
        <v>5000</v>
      </c>
      <c r="AC85" s="234">
        <v>68</v>
      </c>
      <c r="AD85" s="234">
        <v>0</v>
      </c>
    </row>
    <row r="86" spans="1:30" hidden="1">
      <c r="A86" s="244" t="s">
        <v>2202</v>
      </c>
      <c r="B86" s="244" t="s">
        <v>2203</v>
      </c>
      <c r="C86" s="244">
        <v>30476</v>
      </c>
      <c r="D86" s="245">
        <v>41332.000006736111</v>
      </c>
      <c r="E86" s="245">
        <v>43158.000006736111</v>
      </c>
      <c r="F86" s="246">
        <v>400000000</v>
      </c>
      <c r="G86" s="246">
        <v>317700000</v>
      </c>
      <c r="H86" s="243">
        <v>0.79</v>
      </c>
      <c r="I86" s="234">
        <v>721</v>
      </c>
      <c r="J86" s="234">
        <v>110.9</v>
      </c>
      <c r="K86" s="234">
        <v>11.18</v>
      </c>
      <c r="L86" s="234">
        <f>VLOOKUP(3047,收盤價!A:C,3,0)</f>
        <v>12</v>
      </c>
      <c r="M86" s="234">
        <v>8945</v>
      </c>
      <c r="N86" s="234">
        <v>107.78725</v>
      </c>
      <c r="O86" s="235">
        <v>2.81E-2</v>
      </c>
      <c r="P86" s="235">
        <v>7.22E-2</v>
      </c>
      <c r="Q86" s="235">
        <v>-0.11179429849077696</v>
      </c>
      <c r="R86" s="234">
        <f>VLOOKUP(30476,U:AC,9,0)</f>
        <v>59</v>
      </c>
      <c r="S86" s="234">
        <f>VLOOKUP(3047,季財報!A:N,8,0)</f>
        <v>3</v>
      </c>
      <c r="T86" s="234">
        <v>10502</v>
      </c>
      <c r="U86" s="234">
        <v>26362</v>
      </c>
      <c r="V86" s="234" t="s">
        <v>2753</v>
      </c>
      <c r="W86" s="234" t="s">
        <v>2754</v>
      </c>
      <c r="X86" s="234">
        <v>1115</v>
      </c>
      <c r="Y86" s="234">
        <v>1115</v>
      </c>
      <c r="Z86" s="234">
        <v>0</v>
      </c>
      <c r="AA86" s="234">
        <v>0</v>
      </c>
      <c r="AB86" s="234">
        <v>3000</v>
      </c>
      <c r="AC86" s="234">
        <v>10</v>
      </c>
      <c r="AD86" s="234">
        <v>0</v>
      </c>
    </row>
    <row r="87" spans="1:30" hidden="1">
      <c r="A87" s="244" t="s">
        <v>2369</v>
      </c>
      <c r="B87" s="244" t="s">
        <v>443</v>
      </c>
      <c r="C87" s="244">
        <v>61703</v>
      </c>
      <c r="D87" s="245">
        <v>41305.000006736111</v>
      </c>
      <c r="E87" s="245">
        <v>42400.000006736111</v>
      </c>
      <c r="F87" s="246">
        <v>250000000</v>
      </c>
      <c r="G87" s="246">
        <v>250000000</v>
      </c>
      <c r="H87" s="243">
        <v>1</v>
      </c>
      <c r="I87" s="234">
        <v>-37</v>
      </c>
      <c r="J87" s="234">
        <v>99.65</v>
      </c>
      <c r="K87" s="234">
        <v>13.6</v>
      </c>
      <c r="L87" s="234">
        <f>VLOOKUP(6170,收盤價!A:C,3,0)</f>
        <v>10.199999999999999</v>
      </c>
      <c r="M87" s="234">
        <v>7353</v>
      </c>
      <c r="N87" s="234">
        <v>100</v>
      </c>
      <c r="O87" s="235">
        <v>-3.5000000000000001E-3</v>
      </c>
      <c r="P87" s="235">
        <v>-0.45610000000000001</v>
      </c>
      <c r="Q87" s="235">
        <v>-0.13599891200870393</v>
      </c>
      <c r="R87" s="234" t="e">
        <f>VLOOKUP(61703,U:AC,9,0)</f>
        <v>#N/A</v>
      </c>
      <c r="S87" s="234">
        <f>VLOOKUP(6170,季財報!A:N,8,0)</f>
        <v>4</v>
      </c>
      <c r="T87" s="234">
        <v>10502</v>
      </c>
      <c r="U87" s="234">
        <v>26363</v>
      </c>
      <c r="V87" s="234" t="s">
        <v>2755</v>
      </c>
      <c r="W87" s="234" t="s">
        <v>2756</v>
      </c>
      <c r="X87" s="234">
        <v>3000</v>
      </c>
      <c r="Y87" s="234">
        <v>3000</v>
      </c>
      <c r="Z87" s="234">
        <v>0</v>
      </c>
      <c r="AA87" s="234">
        <v>0</v>
      </c>
      <c r="AB87" s="234">
        <v>3000</v>
      </c>
      <c r="AC87" s="234">
        <v>43</v>
      </c>
      <c r="AD87" s="234">
        <v>0</v>
      </c>
    </row>
    <row r="88" spans="1:30">
      <c r="A88" s="244" t="s">
        <v>2384</v>
      </c>
      <c r="B88" s="244" t="s">
        <v>1992</v>
      </c>
      <c r="C88" s="244">
        <v>62383</v>
      </c>
      <c r="D88" s="245">
        <v>42243.000006736111</v>
      </c>
      <c r="E88" s="245">
        <v>43339.000006736111</v>
      </c>
      <c r="F88" s="246">
        <v>200000000</v>
      </c>
      <c r="G88" s="246">
        <v>166400000</v>
      </c>
      <c r="H88" s="243">
        <v>0.83</v>
      </c>
      <c r="I88" s="234">
        <v>902</v>
      </c>
      <c r="J88" s="234">
        <v>436</v>
      </c>
      <c r="K88" s="234">
        <v>63.2</v>
      </c>
      <c r="L88" s="234">
        <f>VLOOKUP(6238,收盤價!A:C,3,0)</f>
        <v>271</v>
      </c>
      <c r="M88" s="234">
        <v>1582</v>
      </c>
      <c r="N88" s="234">
        <v>387.59</v>
      </c>
      <c r="O88" s="235">
        <v>0.111</v>
      </c>
      <c r="P88" s="235">
        <v>0.74199999999999999</v>
      </c>
      <c r="Q88" s="235">
        <v>-0.63211125158027803</v>
      </c>
      <c r="R88" s="234">
        <f>VLOOKUP(62383,U:AC,9,0)</f>
        <v>3</v>
      </c>
      <c r="S88" s="234">
        <f>VLOOKUP(6238,季財報!A:N,8,0)</f>
        <v>4</v>
      </c>
      <c r="T88" s="234">
        <v>10502</v>
      </c>
      <c r="U88" s="234">
        <v>26371</v>
      </c>
      <c r="V88" s="234" t="s">
        <v>2757</v>
      </c>
      <c r="W88" s="234" t="s">
        <v>2758</v>
      </c>
      <c r="X88" s="234">
        <v>259</v>
      </c>
      <c r="Y88" s="234">
        <v>259</v>
      </c>
      <c r="Z88" s="234">
        <v>0</v>
      </c>
      <c r="AA88" s="234">
        <v>0</v>
      </c>
      <c r="AB88" s="234">
        <v>6000</v>
      </c>
      <c r="AC88" s="234">
        <v>42</v>
      </c>
      <c r="AD88" s="234">
        <v>0</v>
      </c>
    </row>
    <row r="89" spans="1:30" hidden="1">
      <c r="A89" s="244" t="s">
        <v>2166</v>
      </c>
      <c r="B89" s="244" t="s">
        <v>2167</v>
      </c>
      <c r="C89" s="244">
        <v>26094</v>
      </c>
      <c r="D89" s="245">
        <v>41432.000006736111</v>
      </c>
      <c r="E89" s="245">
        <v>43258.000006736111</v>
      </c>
      <c r="F89" s="246">
        <v>4600000000</v>
      </c>
      <c r="G89" s="246">
        <v>1957100000</v>
      </c>
      <c r="H89" s="243">
        <v>0.43</v>
      </c>
      <c r="I89" s="234">
        <v>821</v>
      </c>
      <c r="J89" s="234">
        <v>99.75</v>
      </c>
      <c r="K89" s="234">
        <v>14.23</v>
      </c>
      <c r="L89" s="234">
        <f>VLOOKUP(2609,收盤價!A:C,3,0)</f>
        <v>9.19</v>
      </c>
      <c r="M89" s="234">
        <v>7027</v>
      </c>
      <c r="N89" s="234">
        <v>100</v>
      </c>
      <c r="O89" s="235">
        <v>-2.5000000000000001E-3</v>
      </c>
      <c r="P89" s="235">
        <v>-0.59350000000000003</v>
      </c>
      <c r="Q89" s="235">
        <v>-0.14230823964707556</v>
      </c>
      <c r="R89" s="234">
        <f>VLOOKUP(26094,U:AC,9,0)</f>
        <v>50</v>
      </c>
      <c r="S89" s="234">
        <f>VLOOKUP(2609,季財報!A:N,8,0)</f>
        <v>1</v>
      </c>
      <c r="T89" s="234">
        <v>10502</v>
      </c>
      <c r="U89" s="234">
        <v>26401</v>
      </c>
      <c r="V89" s="234" t="s">
        <v>2759</v>
      </c>
      <c r="W89" s="234" t="s">
        <v>2760</v>
      </c>
      <c r="X89" s="234">
        <v>5153</v>
      </c>
      <c r="Y89" s="234">
        <v>9996</v>
      </c>
      <c r="Z89" s="234">
        <v>-4843</v>
      </c>
      <c r="AA89" s="234">
        <v>-48.45</v>
      </c>
      <c r="AB89" s="234">
        <v>10000</v>
      </c>
      <c r="AC89" s="234">
        <v>41</v>
      </c>
      <c r="AD89" s="234">
        <v>0</v>
      </c>
    </row>
    <row r="90" spans="1:30" hidden="1">
      <c r="A90" s="244" t="s">
        <v>2298</v>
      </c>
      <c r="B90" s="244" t="s">
        <v>361</v>
      </c>
      <c r="C90" s="244">
        <v>44161</v>
      </c>
      <c r="D90" s="245">
        <v>41565.000006736111</v>
      </c>
      <c r="E90" s="245">
        <v>43391.000006736111</v>
      </c>
      <c r="F90" s="246">
        <v>1000000000</v>
      </c>
      <c r="G90" s="246">
        <v>997900000</v>
      </c>
      <c r="H90" s="243">
        <v>1</v>
      </c>
      <c r="I90" s="234">
        <v>954</v>
      </c>
      <c r="J90" s="234">
        <v>99.75</v>
      </c>
      <c r="K90" s="234">
        <v>123.8</v>
      </c>
      <c r="L90" s="234">
        <f>VLOOKUP(4416,收盤價!A:C,3,0)</f>
        <v>0</v>
      </c>
      <c r="M90" s="234">
        <v>808</v>
      </c>
      <c r="N90" s="234">
        <v>100</v>
      </c>
      <c r="O90" s="235">
        <v>-2.5000000000000001E-3</v>
      </c>
      <c r="P90" s="235">
        <v>-0.53600000000000003</v>
      </c>
      <c r="Q90" s="235">
        <v>-1.2376237623762376</v>
      </c>
      <c r="R90" s="234">
        <f>VLOOKUP(44161,U:AC,9,0)</f>
        <v>54</v>
      </c>
      <c r="S90" s="234">
        <f>VLOOKUP(4416,季財報!A:N,8,0)</f>
        <v>0</v>
      </c>
      <c r="T90" s="234">
        <v>10502</v>
      </c>
      <c r="U90" s="234">
        <v>26411</v>
      </c>
      <c r="V90" s="234" t="s">
        <v>2761</v>
      </c>
      <c r="W90" s="234" t="s">
        <v>2762</v>
      </c>
      <c r="X90" s="234">
        <v>2500</v>
      </c>
      <c r="Y90" s="234">
        <v>2500</v>
      </c>
      <c r="Z90" s="234">
        <v>0</v>
      </c>
      <c r="AA90" s="234">
        <v>0</v>
      </c>
      <c r="AB90" s="234">
        <v>2500</v>
      </c>
      <c r="AC90" s="234">
        <v>23</v>
      </c>
      <c r="AD90" s="234">
        <v>0</v>
      </c>
    </row>
    <row r="91" spans="1:30" hidden="1">
      <c r="A91" s="244" t="s">
        <v>2223</v>
      </c>
      <c r="B91" s="244" t="s">
        <v>1953</v>
      </c>
      <c r="C91" s="244">
        <v>32902</v>
      </c>
      <c r="D91" s="245">
        <v>41619.000006736111</v>
      </c>
      <c r="E91" s="245">
        <v>42715.000006736111</v>
      </c>
      <c r="F91" s="246">
        <v>250000000</v>
      </c>
      <c r="G91" s="246">
        <v>16200000</v>
      </c>
      <c r="H91" s="243">
        <v>0.06</v>
      </c>
      <c r="I91" s="234">
        <v>278</v>
      </c>
      <c r="J91" s="234">
        <v>99.75</v>
      </c>
      <c r="K91" s="234">
        <v>27.3</v>
      </c>
      <c r="L91" s="234">
        <f>VLOOKUP(3290,收盤價!A:C,3,0)</f>
        <v>14.15</v>
      </c>
      <c r="M91" s="234">
        <v>3663</v>
      </c>
      <c r="N91" s="234">
        <v>100</v>
      </c>
      <c r="O91" s="235">
        <v>-2.5000000000000001E-3</v>
      </c>
      <c r="P91" s="235">
        <v>-1.0760000000000001</v>
      </c>
      <c r="Q91" s="235">
        <v>-0.27300027300027302</v>
      </c>
      <c r="R91" s="234" t="e">
        <f>VLOOKUP(32902,U:AC,9,0)</f>
        <v>#N/A</v>
      </c>
      <c r="S91" s="234">
        <f>VLOOKUP(3290,季財報!A:N,8,0)</f>
        <v>1</v>
      </c>
      <c r="T91" s="234">
        <v>10502</v>
      </c>
      <c r="U91" s="234">
        <v>26412</v>
      </c>
      <c r="V91" s="234" t="s">
        <v>2763</v>
      </c>
      <c r="W91" s="234" t="s">
        <v>2762</v>
      </c>
      <c r="X91" s="234">
        <v>995</v>
      </c>
      <c r="Y91" s="234">
        <v>995</v>
      </c>
      <c r="Z91" s="234">
        <v>0</v>
      </c>
      <c r="AA91" s="234">
        <v>0</v>
      </c>
      <c r="AB91" s="234">
        <v>1000</v>
      </c>
      <c r="AC91" s="234">
        <v>24</v>
      </c>
      <c r="AD91" s="234">
        <v>0</v>
      </c>
    </row>
    <row r="92" spans="1:30" hidden="1">
      <c r="A92" s="244" t="s">
        <v>2317</v>
      </c>
      <c r="B92" s="244" t="s">
        <v>378</v>
      </c>
      <c r="C92" s="244">
        <v>49331</v>
      </c>
      <c r="D92" s="245">
        <v>41305.000006736111</v>
      </c>
      <c r="E92" s="245">
        <v>43131.000006736111</v>
      </c>
      <c r="F92" s="246">
        <v>1000000000</v>
      </c>
      <c r="G92" s="246">
        <v>1000000000</v>
      </c>
      <c r="H92" s="243">
        <v>1</v>
      </c>
      <c r="I92" s="234">
        <v>694</v>
      </c>
      <c r="J92" s="234">
        <v>99.8</v>
      </c>
      <c r="K92" s="234">
        <v>89.9</v>
      </c>
      <c r="L92" s="234">
        <f>VLOOKUP(4933,收盤價!A:C,3,0)</f>
        <v>24.45</v>
      </c>
      <c r="M92" s="234">
        <v>1112</v>
      </c>
      <c r="N92" s="234">
        <v>100</v>
      </c>
      <c r="O92" s="235">
        <v>-2E-3</v>
      </c>
      <c r="P92" s="235">
        <v>-2.875</v>
      </c>
      <c r="Q92" s="235">
        <v>-0.89928057553956842</v>
      </c>
      <c r="R92" s="234">
        <f>VLOOKUP(49331,U:AC,9,0)</f>
        <v>5</v>
      </c>
      <c r="S92" s="234">
        <f>VLOOKUP(4933,季財報!A:N,8,0)</f>
        <v>3</v>
      </c>
      <c r="T92" s="234">
        <v>10502</v>
      </c>
      <c r="U92" s="234">
        <v>27071</v>
      </c>
      <c r="V92" s="234" t="s">
        <v>2764</v>
      </c>
      <c r="W92" s="234" t="s">
        <v>2765</v>
      </c>
      <c r="X92" s="234">
        <v>15000</v>
      </c>
      <c r="Y92" s="234">
        <v>15000</v>
      </c>
      <c r="Z92" s="234">
        <v>0</v>
      </c>
      <c r="AA92" s="234">
        <v>0</v>
      </c>
      <c r="AB92" s="234">
        <v>15000</v>
      </c>
      <c r="AC92" s="234">
        <v>64</v>
      </c>
      <c r="AD92" s="234">
        <v>0</v>
      </c>
    </row>
    <row r="93" spans="1:30" hidden="1">
      <c r="A93" s="244" t="s">
        <v>2266</v>
      </c>
      <c r="B93" s="244" t="s">
        <v>1948</v>
      </c>
      <c r="C93" s="244">
        <v>36801</v>
      </c>
      <c r="D93" s="245">
        <v>41429.000006736111</v>
      </c>
      <c r="E93" s="245">
        <v>42525.000006736111</v>
      </c>
      <c r="F93" s="246">
        <v>445000000</v>
      </c>
      <c r="G93" s="246">
        <v>445000000</v>
      </c>
      <c r="H93" s="243">
        <v>1</v>
      </c>
      <c r="I93" s="234">
        <v>88</v>
      </c>
      <c r="J93" s="234">
        <v>100.4</v>
      </c>
      <c r="K93" s="234">
        <v>65</v>
      </c>
      <c r="L93" s="234">
        <f>VLOOKUP(3680,收盤價!A:C,3,0)</f>
        <v>33</v>
      </c>
      <c r="M93" s="234">
        <v>1538</v>
      </c>
      <c r="N93" s="234">
        <v>100</v>
      </c>
      <c r="O93" s="235">
        <v>4.0000000000000001E-3</v>
      </c>
      <c r="P93" s="235">
        <v>-0.97870000000000001</v>
      </c>
      <c r="Q93" s="235">
        <v>-0.65019505851755521</v>
      </c>
      <c r="R93" s="234">
        <f>VLOOKUP(36801,U:AC,9,0)</f>
        <v>132</v>
      </c>
      <c r="S93" s="234">
        <f>VLOOKUP(3680,季財報!A:N,8,0)</f>
        <v>3</v>
      </c>
      <c r="T93" s="234">
        <v>10502</v>
      </c>
      <c r="U93" s="234">
        <v>27241</v>
      </c>
      <c r="V93" s="234" t="s">
        <v>2766</v>
      </c>
      <c r="W93" s="234" t="s">
        <v>2767</v>
      </c>
      <c r="X93" s="234">
        <v>8</v>
      </c>
      <c r="Y93" s="234">
        <v>8</v>
      </c>
      <c r="Z93" s="234">
        <v>0</v>
      </c>
      <c r="AA93" s="234">
        <v>0</v>
      </c>
      <c r="AB93" s="234">
        <v>2000</v>
      </c>
      <c r="AC93" s="234">
        <v>4</v>
      </c>
      <c r="AD93" s="234">
        <v>0</v>
      </c>
    </row>
    <row r="94" spans="1:30" hidden="1">
      <c r="A94" s="244" t="s">
        <v>2080</v>
      </c>
      <c r="B94" s="244" t="s">
        <v>2081</v>
      </c>
      <c r="C94" s="244">
        <v>16112</v>
      </c>
      <c r="D94" s="245">
        <v>41361.000006736111</v>
      </c>
      <c r="E94" s="245">
        <v>43187.000006736111</v>
      </c>
      <c r="F94" s="246">
        <v>1600000000</v>
      </c>
      <c r="G94" s="246">
        <v>43500000</v>
      </c>
      <c r="H94" s="243">
        <v>0.03</v>
      </c>
      <c r="I94" s="234">
        <v>750</v>
      </c>
      <c r="J94" s="234">
        <v>99.8</v>
      </c>
      <c r="K94" s="234">
        <v>18.62</v>
      </c>
      <c r="L94" s="234">
        <f>VLOOKUP(1611,收盤價!A:C,3,0)</f>
        <v>9.69</v>
      </c>
      <c r="M94" s="234">
        <v>5371</v>
      </c>
      <c r="N94" s="234">
        <v>100</v>
      </c>
      <c r="O94" s="235">
        <v>-2E-3</v>
      </c>
      <c r="P94" s="235">
        <v>-1.4630000000000001</v>
      </c>
      <c r="Q94" s="235">
        <v>-0.1861850679575498</v>
      </c>
      <c r="R94" s="234">
        <f>VLOOKUP(16112,U:AC,9,0)</f>
        <v>5</v>
      </c>
      <c r="S94" s="234">
        <f>VLOOKUP(1611,季財報!A:N,8,0)</f>
        <v>5</v>
      </c>
      <c r="T94" s="234">
        <v>10502</v>
      </c>
      <c r="U94" s="234">
        <v>27261</v>
      </c>
      <c r="V94" s="234" t="s">
        <v>2768</v>
      </c>
      <c r="W94" s="234" t="s">
        <v>2769</v>
      </c>
      <c r="X94" s="234">
        <v>1995</v>
      </c>
      <c r="Y94" s="234">
        <v>1996</v>
      </c>
      <c r="Z94" s="234">
        <v>-1</v>
      </c>
      <c r="AA94" s="234">
        <v>-0.05</v>
      </c>
      <c r="AB94" s="234">
        <v>2000</v>
      </c>
      <c r="AC94" s="234">
        <v>7</v>
      </c>
      <c r="AD94" s="234">
        <v>0</v>
      </c>
    </row>
    <row r="95" spans="1:30" hidden="1">
      <c r="A95" s="244" t="s">
        <v>2270</v>
      </c>
      <c r="B95" s="244" t="s">
        <v>2271</v>
      </c>
      <c r="C95" s="244">
        <v>36981</v>
      </c>
      <c r="D95" s="245">
        <v>41137.000006736111</v>
      </c>
      <c r="E95" s="245">
        <v>42963.000006736111</v>
      </c>
      <c r="F95" s="246">
        <v>1000000000</v>
      </c>
      <c r="G95" s="246">
        <v>24400000</v>
      </c>
      <c r="H95" s="243">
        <v>0.02</v>
      </c>
      <c r="I95" s="234">
        <v>526</v>
      </c>
      <c r="J95" s="234">
        <v>110</v>
      </c>
      <c r="K95" s="234">
        <v>23.3</v>
      </c>
      <c r="L95" s="234">
        <f>VLOOKUP(3698,收盤價!A:C,3,0)</f>
        <v>17.45</v>
      </c>
      <c r="M95" s="234">
        <v>4292</v>
      </c>
      <c r="N95" s="234">
        <v>100</v>
      </c>
      <c r="O95" s="235">
        <v>9.0899999999999995E-2</v>
      </c>
      <c r="P95" s="235">
        <v>-0.3468</v>
      </c>
      <c r="Q95" s="235">
        <v>-0.23299161230195711</v>
      </c>
      <c r="R95" s="234">
        <f>VLOOKUP(36981,U:AC,9,0)</f>
        <v>10</v>
      </c>
      <c r="S95" s="234">
        <f>VLOOKUP(3698,季財報!A:N,8,0)</f>
        <v>1</v>
      </c>
      <c r="T95" s="234">
        <v>10502</v>
      </c>
      <c r="U95" s="234">
        <v>27321</v>
      </c>
      <c r="V95" s="234" t="s">
        <v>2770</v>
      </c>
      <c r="W95" s="234" t="s">
        <v>2661</v>
      </c>
      <c r="X95" s="234">
        <v>3000</v>
      </c>
      <c r="Y95" s="234">
        <v>3000</v>
      </c>
      <c r="Z95" s="234">
        <v>0</v>
      </c>
      <c r="AA95" s="234">
        <v>0</v>
      </c>
      <c r="AB95" s="234">
        <v>0</v>
      </c>
      <c r="AC95" s="234">
        <v>37</v>
      </c>
      <c r="AD95" s="234">
        <v>0</v>
      </c>
    </row>
    <row r="96" spans="1:30" hidden="1">
      <c r="A96" s="244" t="s">
        <v>2145</v>
      </c>
      <c r="B96" s="244" t="s">
        <v>2146</v>
      </c>
      <c r="C96" s="244">
        <v>24781</v>
      </c>
      <c r="D96" s="245">
        <v>41302.000006736111</v>
      </c>
      <c r="E96" s="245">
        <v>43128.000006736111</v>
      </c>
      <c r="F96" s="246">
        <v>562500000</v>
      </c>
      <c r="G96" s="246">
        <v>233000000</v>
      </c>
      <c r="H96" s="243">
        <v>0.41</v>
      </c>
      <c r="I96" s="234">
        <v>691</v>
      </c>
      <c r="J96" s="234">
        <v>105</v>
      </c>
      <c r="K96" s="234">
        <v>17.2</v>
      </c>
      <c r="L96" s="234">
        <f>VLOOKUP(2478,收盤價!A:C,3,0)</f>
        <v>15.85</v>
      </c>
      <c r="M96" s="234">
        <v>5814</v>
      </c>
      <c r="N96" s="234">
        <v>100</v>
      </c>
      <c r="O96" s="235">
        <v>4.7600000000000003E-2</v>
      </c>
      <c r="P96" s="235">
        <v>-0.15440000000000001</v>
      </c>
      <c r="Q96" s="235">
        <v>-0.17199862401100793</v>
      </c>
      <c r="R96" s="234">
        <f>VLOOKUP(24781,U:AC,9,0)</f>
        <v>46</v>
      </c>
      <c r="S96" s="234">
        <f>VLOOKUP(2478,季財報!A:N,8,0)</f>
        <v>2</v>
      </c>
      <c r="T96" s="234">
        <v>10502</v>
      </c>
      <c r="U96" s="234">
        <v>27341</v>
      </c>
      <c r="V96" s="234" t="s">
        <v>2771</v>
      </c>
      <c r="W96" s="234" t="s">
        <v>2772</v>
      </c>
      <c r="X96" s="234">
        <v>3000</v>
      </c>
      <c r="Y96" s="234">
        <v>3000</v>
      </c>
      <c r="Z96" s="234">
        <v>0</v>
      </c>
      <c r="AA96" s="234">
        <v>0</v>
      </c>
      <c r="AB96" s="234">
        <v>3000</v>
      </c>
      <c r="AC96" s="234">
        <v>8</v>
      </c>
      <c r="AD96" s="234">
        <v>0</v>
      </c>
    </row>
    <row r="97" spans="1:30" hidden="1">
      <c r="A97" s="244" t="s">
        <v>2367</v>
      </c>
      <c r="B97" s="244" t="s">
        <v>2368</v>
      </c>
      <c r="C97" s="244">
        <v>61684</v>
      </c>
      <c r="D97" s="245">
        <v>41849.000006736111</v>
      </c>
      <c r="E97" s="245">
        <v>42945.000006736111</v>
      </c>
      <c r="F97" s="246">
        <v>600000000</v>
      </c>
      <c r="G97" s="246">
        <v>600000000</v>
      </c>
      <c r="H97" s="243">
        <v>1</v>
      </c>
      <c r="I97" s="234">
        <v>508</v>
      </c>
      <c r="J97" s="234">
        <v>100</v>
      </c>
      <c r="K97" s="234">
        <v>20</v>
      </c>
      <c r="L97" s="234">
        <f>VLOOKUP(6168,收盤價!A:C,3,0)</f>
        <v>13.05</v>
      </c>
      <c r="M97" s="234">
        <v>5000</v>
      </c>
      <c r="N97" s="234">
        <v>100</v>
      </c>
      <c r="O97" s="235">
        <v>0</v>
      </c>
      <c r="P97" s="235">
        <v>-0.50380000000000003</v>
      </c>
      <c r="Q97" s="235">
        <v>-0.2</v>
      </c>
      <c r="R97" s="234">
        <f>VLOOKUP(61684,U:AC,9,0)</f>
        <v>18</v>
      </c>
      <c r="S97" s="234">
        <f>VLOOKUP(6168,季財報!A:N,8,0)</f>
        <v>5</v>
      </c>
      <c r="T97" s="234">
        <v>10502</v>
      </c>
      <c r="U97" s="234">
        <v>28411</v>
      </c>
      <c r="V97" s="234" t="s">
        <v>2773</v>
      </c>
      <c r="W97" s="234" t="s">
        <v>2774</v>
      </c>
      <c r="X97" s="234">
        <v>1999</v>
      </c>
      <c r="Y97" s="234">
        <v>2000</v>
      </c>
      <c r="Z97" s="234">
        <v>-1</v>
      </c>
      <c r="AA97" s="234">
        <v>-0.05</v>
      </c>
      <c r="AB97" s="234">
        <v>2000</v>
      </c>
      <c r="AC97" s="234">
        <v>35</v>
      </c>
      <c r="AD97" s="234">
        <v>0</v>
      </c>
    </row>
    <row r="98" spans="1:30" hidden="1">
      <c r="A98" s="244" t="s">
        <v>2090</v>
      </c>
      <c r="B98" s="244" t="s">
        <v>2091</v>
      </c>
      <c r="C98" s="244">
        <v>17152</v>
      </c>
      <c r="D98" s="245">
        <v>41628.000006736111</v>
      </c>
      <c r="E98" s="245">
        <v>43454.000006736111</v>
      </c>
      <c r="F98" s="246">
        <v>700000000</v>
      </c>
      <c r="G98" s="246">
        <v>128400000</v>
      </c>
      <c r="H98" s="243">
        <v>0.18</v>
      </c>
      <c r="I98" s="234">
        <v>1017</v>
      </c>
      <c r="J98" s="234">
        <v>100</v>
      </c>
      <c r="K98" s="234">
        <v>14.81</v>
      </c>
      <c r="L98" s="234">
        <f>VLOOKUP(1715,收盤價!A:C,3,0)</f>
        <v>12.35</v>
      </c>
      <c r="M98" s="234">
        <v>6752</v>
      </c>
      <c r="N98" s="234">
        <v>100</v>
      </c>
      <c r="O98" s="235">
        <v>0</v>
      </c>
      <c r="P98" s="235">
        <v>-0.24979999999999999</v>
      </c>
      <c r="Q98" s="235">
        <v>-0.1481042654028436</v>
      </c>
      <c r="R98" s="234">
        <f>VLOOKUP(17152,U:AC,9,0)</f>
        <v>27</v>
      </c>
      <c r="S98" s="234">
        <f>VLOOKUP(1715,季財報!A:N,8,0)</f>
        <v>5</v>
      </c>
      <c r="T98" s="234">
        <v>10502</v>
      </c>
      <c r="U98" s="234">
        <v>288602</v>
      </c>
      <c r="V98" s="234" t="s">
        <v>2775</v>
      </c>
      <c r="W98" s="234" t="s">
        <v>2776</v>
      </c>
      <c r="X98" s="234">
        <v>58000</v>
      </c>
      <c r="Y98" s="234">
        <v>58000</v>
      </c>
      <c r="Z98" s="234">
        <v>0</v>
      </c>
      <c r="AA98" s="234">
        <v>0</v>
      </c>
      <c r="AB98" s="234">
        <v>58000</v>
      </c>
      <c r="AC98" s="234">
        <v>68</v>
      </c>
      <c r="AD98" s="234">
        <v>0</v>
      </c>
    </row>
    <row r="99" spans="1:30" hidden="1">
      <c r="A99" s="244" t="s">
        <v>2067</v>
      </c>
      <c r="B99" s="244" t="s">
        <v>2068</v>
      </c>
      <c r="C99" s="244">
        <v>15302</v>
      </c>
      <c r="D99" s="245">
        <v>42138.000006736111</v>
      </c>
      <c r="E99" s="245">
        <v>43965.000006736111</v>
      </c>
      <c r="F99" s="246">
        <v>400000000</v>
      </c>
      <c r="G99" s="246">
        <v>400000000</v>
      </c>
      <c r="H99" s="243">
        <v>1</v>
      </c>
      <c r="I99" s="234">
        <v>1528</v>
      </c>
      <c r="J99" s="234">
        <v>100.5</v>
      </c>
      <c r="K99" s="234">
        <v>47.3</v>
      </c>
      <c r="L99" s="234">
        <f>VLOOKUP(1530,收盤價!A:C,3,0)</f>
        <v>32.799999999999997</v>
      </c>
      <c r="M99" s="234">
        <v>2114</v>
      </c>
      <c r="N99" s="234">
        <v>100</v>
      </c>
      <c r="O99" s="235">
        <v>5.0000000000000001E-3</v>
      </c>
      <c r="P99" s="235">
        <v>-0.42899999999999999</v>
      </c>
      <c r="Q99" s="235">
        <v>-0.47303689687795647</v>
      </c>
      <c r="R99" s="234">
        <f>VLOOKUP(15302,U:AC,9,0)</f>
        <v>25</v>
      </c>
      <c r="S99" s="234">
        <f>VLOOKUP(1530,季財報!A:N,8,0)</f>
        <v>2</v>
      </c>
      <c r="T99" s="234">
        <v>10502</v>
      </c>
      <c r="U99" s="234">
        <v>28883</v>
      </c>
      <c r="V99" s="234" t="s">
        <v>2777</v>
      </c>
      <c r="W99" s="234" t="s">
        <v>2778</v>
      </c>
      <c r="X99" s="234">
        <v>40959</v>
      </c>
      <c r="Y99" s="234">
        <v>40959</v>
      </c>
      <c r="Z99" s="234">
        <v>0</v>
      </c>
      <c r="AA99" s="234">
        <v>0</v>
      </c>
      <c r="AB99" s="234">
        <v>50000</v>
      </c>
      <c r="AC99" s="234">
        <v>58</v>
      </c>
      <c r="AD99" s="234">
        <v>0</v>
      </c>
    </row>
    <row r="100" spans="1:30" hidden="1">
      <c r="A100" s="244" t="s">
        <v>2381</v>
      </c>
      <c r="B100" s="244" t="s">
        <v>456</v>
      </c>
      <c r="C100" s="244">
        <v>62233</v>
      </c>
      <c r="D100" s="245">
        <v>41961.000006736111</v>
      </c>
      <c r="E100" s="245">
        <v>43057.000006736111</v>
      </c>
      <c r="F100" s="246">
        <v>700000000</v>
      </c>
      <c r="G100" s="246">
        <v>600700000</v>
      </c>
      <c r="H100" s="243">
        <v>0.86</v>
      </c>
      <c r="I100" s="234">
        <v>620</v>
      </c>
      <c r="J100" s="234">
        <v>102.55</v>
      </c>
      <c r="K100" s="234">
        <v>93.4</v>
      </c>
      <c r="L100" s="234">
        <f>VLOOKUP(6223,收盤價!A:C,3,0)</f>
        <v>80.2</v>
      </c>
      <c r="M100" s="234">
        <v>1071</v>
      </c>
      <c r="N100" s="234">
        <v>100</v>
      </c>
      <c r="O100" s="235">
        <v>2.4899999999999999E-2</v>
      </c>
      <c r="P100" s="235">
        <v>-0.14180000000000001</v>
      </c>
      <c r="Q100" s="235">
        <v>-0.93370681605975725</v>
      </c>
      <c r="R100" s="234">
        <f>VLOOKUP(62233,U:AC,9,0)</f>
        <v>26</v>
      </c>
      <c r="S100" s="234">
        <f>VLOOKUP(6223,季財報!A:N,8,0)</f>
        <v>1</v>
      </c>
      <c r="T100" s="234">
        <v>10502</v>
      </c>
      <c r="U100" s="234">
        <v>28884</v>
      </c>
      <c r="V100" s="234" t="s">
        <v>2779</v>
      </c>
      <c r="W100" s="234" t="s">
        <v>2778</v>
      </c>
      <c r="X100" s="234">
        <v>50000</v>
      </c>
      <c r="Y100" s="234">
        <v>50000</v>
      </c>
      <c r="Z100" s="234">
        <v>0</v>
      </c>
      <c r="AA100" s="234">
        <v>0</v>
      </c>
      <c r="AB100" s="234">
        <v>50000</v>
      </c>
      <c r="AC100" s="234">
        <v>75</v>
      </c>
      <c r="AD100" s="234">
        <v>0</v>
      </c>
    </row>
    <row r="101" spans="1:30" hidden="1">
      <c r="A101" s="244" t="s">
        <v>2151</v>
      </c>
      <c r="B101" s="244" t="s">
        <v>2152</v>
      </c>
      <c r="C101" s="244">
        <v>25152</v>
      </c>
      <c r="D101" s="245">
        <v>41695.000006736111</v>
      </c>
      <c r="E101" s="245">
        <v>43521.000006736111</v>
      </c>
      <c r="F101" s="246">
        <v>500000000</v>
      </c>
      <c r="G101" s="246">
        <v>500000000</v>
      </c>
      <c r="H101" s="243">
        <v>1</v>
      </c>
      <c r="I101" s="234">
        <v>1084</v>
      </c>
      <c r="J101" s="234">
        <v>100.9</v>
      </c>
      <c r="K101" s="234">
        <v>8.3000000000000007</v>
      </c>
      <c r="L101" s="234">
        <f>VLOOKUP(2515,收盤價!A:C,3,0)</f>
        <v>6.65</v>
      </c>
      <c r="M101" s="234">
        <v>12048</v>
      </c>
      <c r="N101" s="234">
        <v>100</v>
      </c>
      <c r="O101" s="235">
        <v>8.8999999999999999E-3</v>
      </c>
      <c r="P101" s="235">
        <v>-0.2928</v>
      </c>
      <c r="Q101" s="235">
        <v>-8.3001328021248336E-2</v>
      </c>
      <c r="R101" s="234">
        <f>VLOOKUP(25152,U:AC,9,0)</f>
        <v>137</v>
      </c>
      <c r="S101" s="234">
        <f>VLOOKUP(2515,季財報!A:N,8,0)</f>
        <v>0</v>
      </c>
      <c r="T101" s="234">
        <v>10502</v>
      </c>
      <c r="U101" s="234">
        <v>29242</v>
      </c>
      <c r="V101" s="234" t="s">
        <v>2780</v>
      </c>
      <c r="W101" s="234" t="s">
        <v>2781</v>
      </c>
      <c r="X101" s="234">
        <v>1500</v>
      </c>
      <c r="Y101" s="234">
        <v>1500</v>
      </c>
      <c r="Z101" s="234">
        <v>0</v>
      </c>
      <c r="AA101" s="234">
        <v>0</v>
      </c>
      <c r="AB101" s="234">
        <v>1500</v>
      </c>
      <c r="AC101" s="234">
        <v>12</v>
      </c>
      <c r="AD101" s="234">
        <v>0</v>
      </c>
    </row>
    <row r="102" spans="1:30" hidden="1">
      <c r="A102" s="244" t="s">
        <v>2252</v>
      </c>
      <c r="B102" s="244" t="s">
        <v>2253</v>
      </c>
      <c r="C102" s="244">
        <v>35912</v>
      </c>
      <c r="D102" s="245">
        <v>41593.000006736111</v>
      </c>
      <c r="E102" s="245">
        <v>43419.000006736111</v>
      </c>
      <c r="F102" s="246">
        <v>1000000000</v>
      </c>
      <c r="G102" s="246">
        <v>14900000</v>
      </c>
      <c r="H102" s="243">
        <v>0.01</v>
      </c>
      <c r="I102" s="234">
        <v>982</v>
      </c>
      <c r="J102" s="234">
        <v>100</v>
      </c>
      <c r="K102" s="234">
        <v>33.97</v>
      </c>
      <c r="L102" s="234">
        <f>VLOOKUP(3591,收盤價!A:C,3,0)</f>
        <v>16.75</v>
      </c>
      <c r="M102" s="234">
        <v>2944</v>
      </c>
      <c r="N102" s="234">
        <v>100</v>
      </c>
      <c r="O102" s="235">
        <v>0</v>
      </c>
      <c r="P102" s="235">
        <v>-1.1846000000000001</v>
      </c>
      <c r="Q102" s="235">
        <v>-0.33967391304347827</v>
      </c>
      <c r="R102" s="234" t="e">
        <f>VLOOKUP(35912,U:AC,9,0)</f>
        <v>#N/A</v>
      </c>
      <c r="S102" s="234">
        <f>VLOOKUP(3591,季財報!A:N,8,0)</f>
        <v>2</v>
      </c>
      <c r="T102" s="234">
        <v>10502</v>
      </c>
      <c r="U102" s="234">
        <v>29243</v>
      </c>
      <c r="V102" s="234" t="s">
        <v>2782</v>
      </c>
      <c r="W102" s="234" t="s">
        <v>2781</v>
      </c>
      <c r="X102" s="234">
        <v>1000</v>
      </c>
      <c r="Y102" s="234">
        <v>1000</v>
      </c>
      <c r="Z102" s="234">
        <v>0</v>
      </c>
      <c r="AA102" s="234">
        <v>0</v>
      </c>
      <c r="AB102" s="234">
        <v>1000</v>
      </c>
      <c r="AC102" s="234">
        <v>31</v>
      </c>
      <c r="AD102" s="234">
        <v>0</v>
      </c>
    </row>
    <row r="103" spans="1:30" hidden="1">
      <c r="A103" s="244" t="s">
        <v>2346</v>
      </c>
      <c r="B103" s="244" t="s">
        <v>2347</v>
      </c>
      <c r="C103" s="244">
        <v>55226</v>
      </c>
      <c r="D103" s="245">
        <v>40977.000006736111</v>
      </c>
      <c r="E103" s="245">
        <v>42803.000006736111</v>
      </c>
      <c r="F103" s="246">
        <v>1200000000</v>
      </c>
      <c r="G103" s="246">
        <v>900000</v>
      </c>
      <c r="H103" s="243">
        <v>0</v>
      </c>
      <c r="I103" s="234">
        <v>366</v>
      </c>
      <c r="J103" s="234">
        <v>100</v>
      </c>
      <c r="K103" s="234">
        <v>46.49</v>
      </c>
      <c r="L103" s="234">
        <f>VLOOKUP(5522,收盤價!A:C,3,0)</f>
        <v>35.6</v>
      </c>
      <c r="M103" s="234">
        <v>2151</v>
      </c>
      <c r="N103" s="234">
        <v>100</v>
      </c>
      <c r="O103" s="235">
        <v>0</v>
      </c>
      <c r="P103" s="235">
        <v>-0.33019999999999999</v>
      </c>
      <c r="Q103" s="235">
        <v>-0.46490004649000466</v>
      </c>
      <c r="R103" s="234">
        <f>VLOOKUP(55226,U:AC,9,0)</f>
        <v>4</v>
      </c>
      <c r="S103" s="234">
        <f>VLOOKUP(5522,季財報!A:N,8,0)</f>
        <v>1</v>
      </c>
      <c r="T103" s="234">
        <v>10502</v>
      </c>
      <c r="U103" s="234">
        <v>30102</v>
      </c>
      <c r="V103" s="234" t="s">
        <v>2783</v>
      </c>
      <c r="W103" s="234" t="s">
        <v>2784</v>
      </c>
      <c r="X103" s="234">
        <v>10000</v>
      </c>
      <c r="Y103" s="234">
        <v>10000</v>
      </c>
      <c r="Z103" s="234">
        <v>0</v>
      </c>
      <c r="AA103" s="234">
        <v>0</v>
      </c>
      <c r="AB103" s="234">
        <v>10000</v>
      </c>
      <c r="AC103" s="234">
        <v>50</v>
      </c>
      <c r="AD103" s="234">
        <v>0</v>
      </c>
    </row>
    <row r="104" spans="1:30" hidden="1">
      <c r="A104" s="244" t="s">
        <v>2133</v>
      </c>
      <c r="B104" s="244" t="s">
        <v>2134</v>
      </c>
      <c r="C104" s="244">
        <v>24442</v>
      </c>
      <c r="D104" s="245">
        <v>42184.000006736111</v>
      </c>
      <c r="E104" s="245">
        <v>43280.000006736111</v>
      </c>
      <c r="F104" s="246">
        <v>300000000</v>
      </c>
      <c r="G104" s="246">
        <v>300000000</v>
      </c>
      <c r="H104" s="243">
        <v>1</v>
      </c>
      <c r="I104" s="234">
        <v>843</v>
      </c>
      <c r="J104" s="234">
        <v>100.05</v>
      </c>
      <c r="K104" s="234">
        <v>15</v>
      </c>
      <c r="L104" s="234">
        <f>VLOOKUP(2444,收盤價!A:C,3,0)</f>
        <v>12.45</v>
      </c>
      <c r="M104" s="234">
        <v>6667</v>
      </c>
      <c r="N104" s="234">
        <v>100</v>
      </c>
      <c r="O104" s="235">
        <v>5.0000000000000001E-4</v>
      </c>
      <c r="P104" s="235">
        <v>-0.30430000000000001</v>
      </c>
      <c r="Q104" s="235">
        <v>-0.14999250037498127</v>
      </c>
      <c r="R104" s="234">
        <f>VLOOKUP(24442,U:AC,9,0)</f>
        <v>11</v>
      </c>
      <c r="S104" s="234">
        <f>VLOOKUP(2444,季財報!A:N,8,0)</f>
        <v>4</v>
      </c>
      <c r="T104" s="234">
        <v>10502</v>
      </c>
      <c r="U104" s="234">
        <v>30181</v>
      </c>
      <c r="V104" s="234" t="s">
        <v>2785</v>
      </c>
      <c r="W104" s="234" t="s">
        <v>2786</v>
      </c>
      <c r="X104" s="234">
        <v>671</v>
      </c>
      <c r="Y104" s="234">
        <v>671</v>
      </c>
      <c r="Z104" s="234">
        <v>0</v>
      </c>
      <c r="AA104" s="234">
        <v>0</v>
      </c>
      <c r="AB104" s="234">
        <v>750</v>
      </c>
      <c r="AC104" s="234">
        <v>7</v>
      </c>
      <c r="AD104" s="234">
        <v>0</v>
      </c>
    </row>
    <row r="105" spans="1:30" hidden="1">
      <c r="A105" s="244" t="s">
        <v>2303</v>
      </c>
      <c r="B105" s="244" t="s">
        <v>371</v>
      </c>
      <c r="C105" s="244">
        <v>47144</v>
      </c>
      <c r="D105" s="245">
        <v>41981.000006736111</v>
      </c>
      <c r="E105" s="245">
        <v>43077.000006736111</v>
      </c>
      <c r="F105" s="246">
        <v>100000000</v>
      </c>
      <c r="G105" s="246">
        <v>36900000</v>
      </c>
      <c r="H105" s="243">
        <v>0.37</v>
      </c>
      <c r="I105" s="234">
        <v>640</v>
      </c>
      <c r="J105" s="234">
        <v>100</v>
      </c>
      <c r="K105" s="234">
        <v>10.6</v>
      </c>
      <c r="L105" s="234">
        <f>VLOOKUP(4714,收盤價!A:C,3,0)</f>
        <v>8.65</v>
      </c>
      <c r="M105" s="234">
        <v>9434</v>
      </c>
      <c r="N105" s="234">
        <v>100</v>
      </c>
      <c r="O105" s="235">
        <v>0</v>
      </c>
      <c r="P105" s="235">
        <v>-0.2369</v>
      </c>
      <c r="Q105" s="235">
        <v>-0.10599957600169599</v>
      </c>
      <c r="R105" s="234">
        <f>VLOOKUP(47144,U:AC,9,0)</f>
        <v>16</v>
      </c>
      <c r="S105" s="234">
        <f>VLOOKUP(4714,季財報!A:N,8,0)</f>
        <v>2</v>
      </c>
      <c r="T105" s="234">
        <v>10502</v>
      </c>
      <c r="U105" s="234">
        <v>30182</v>
      </c>
      <c r="V105" s="234" t="s">
        <v>2787</v>
      </c>
      <c r="W105" s="234" t="s">
        <v>2786</v>
      </c>
      <c r="X105" s="234">
        <v>843</v>
      </c>
      <c r="Y105" s="234">
        <v>843</v>
      </c>
      <c r="Z105" s="234">
        <v>0</v>
      </c>
      <c r="AA105" s="234">
        <v>0</v>
      </c>
      <c r="AB105" s="234">
        <v>1150</v>
      </c>
      <c r="AC105" s="234">
        <v>18</v>
      </c>
      <c r="AD105" s="234">
        <v>0</v>
      </c>
    </row>
    <row r="106" spans="1:30" hidden="1">
      <c r="A106" s="244" t="s">
        <v>2200</v>
      </c>
      <c r="B106" s="244" t="s">
        <v>2201</v>
      </c>
      <c r="C106" s="244">
        <v>30424</v>
      </c>
      <c r="D106" s="245">
        <v>41299.000006736111</v>
      </c>
      <c r="E106" s="245">
        <v>42394.000006736111</v>
      </c>
      <c r="F106" s="246">
        <v>800000000</v>
      </c>
      <c r="G106" s="246">
        <v>800000000</v>
      </c>
      <c r="H106" s="243">
        <v>1</v>
      </c>
      <c r="I106" s="234">
        <v>-43</v>
      </c>
      <c r="J106" s="234">
        <v>99.9</v>
      </c>
      <c r="K106" s="234">
        <v>40.9</v>
      </c>
      <c r="L106" s="234">
        <f>VLOOKUP(3042,收盤價!A:C,3,0)</f>
        <v>39.450000000000003</v>
      </c>
      <c r="M106" s="234">
        <v>2445</v>
      </c>
      <c r="N106" s="234">
        <v>100</v>
      </c>
      <c r="O106" s="235">
        <v>1E-3</v>
      </c>
      <c r="P106" s="235">
        <v>-0.19939999999999999</v>
      </c>
      <c r="Q106" s="235">
        <v>-0.4089979550102249</v>
      </c>
      <c r="R106" s="234" t="e">
        <f>VLOOKUP(30424,U:AC,9,0)</f>
        <v>#N/A</v>
      </c>
      <c r="S106" s="234">
        <f>VLOOKUP(3042,季財報!A:N,8,0)</f>
        <v>4</v>
      </c>
      <c r="T106" s="234">
        <v>10502</v>
      </c>
      <c r="U106" s="234">
        <v>30235</v>
      </c>
      <c r="V106" s="234" t="s">
        <v>2788</v>
      </c>
      <c r="W106" s="234" t="s">
        <v>2789</v>
      </c>
      <c r="X106" s="234">
        <v>385</v>
      </c>
      <c r="Y106" s="234">
        <v>432</v>
      </c>
      <c r="Z106" s="234">
        <v>-47</v>
      </c>
      <c r="AA106" s="234">
        <v>-10.88</v>
      </c>
      <c r="AB106" s="234">
        <v>3000</v>
      </c>
      <c r="AC106" s="234">
        <v>11</v>
      </c>
      <c r="AD106" s="234">
        <v>0</v>
      </c>
    </row>
    <row r="107" spans="1:30" hidden="1">
      <c r="A107" s="244" t="s">
        <v>2333</v>
      </c>
      <c r="B107" s="244" t="s">
        <v>1627</v>
      </c>
      <c r="C107" s="244">
        <v>52841</v>
      </c>
      <c r="D107" s="245">
        <v>42300.000006736111</v>
      </c>
      <c r="E107" s="245">
        <v>43396.000006736111</v>
      </c>
      <c r="F107" s="246">
        <v>200000000</v>
      </c>
      <c r="G107" s="246">
        <v>80600000</v>
      </c>
      <c r="H107" s="243">
        <v>0.4</v>
      </c>
      <c r="I107" s="234">
        <v>959</v>
      </c>
      <c r="J107" s="234">
        <v>120</v>
      </c>
      <c r="K107" s="234">
        <v>58.9</v>
      </c>
      <c r="L107" s="234">
        <f>VLOOKUP(5284,收盤價!A:C,3,0)</f>
        <v>69.400000000000006</v>
      </c>
      <c r="M107" s="234">
        <v>1698</v>
      </c>
      <c r="N107" s="234">
        <v>120.04860000000001</v>
      </c>
      <c r="O107" s="235">
        <v>-4.0000000000000002E-4</v>
      </c>
      <c r="P107" s="235">
        <v>0.16689999999999999</v>
      </c>
      <c r="Q107" s="235">
        <v>-0.58892815076560667</v>
      </c>
      <c r="R107" s="234">
        <f>VLOOKUP(52841,U:AC,9,0)</f>
        <v>24</v>
      </c>
      <c r="S107" s="234">
        <f>VLOOKUP(5284,季財報!A:N,8,0)</f>
        <v>4</v>
      </c>
      <c r="T107" s="234">
        <v>10502</v>
      </c>
      <c r="U107" s="234">
        <v>30292</v>
      </c>
      <c r="V107" s="234" t="s">
        <v>2790</v>
      </c>
      <c r="W107" s="234" t="s">
        <v>2791</v>
      </c>
      <c r="X107" s="234">
        <v>300</v>
      </c>
      <c r="Y107" s="234">
        <v>300</v>
      </c>
      <c r="Z107" s="234">
        <v>0</v>
      </c>
      <c r="AA107" s="234">
        <v>0</v>
      </c>
      <c r="AB107" s="234">
        <v>5000</v>
      </c>
      <c r="AC107" s="234">
        <v>31</v>
      </c>
      <c r="AD107" s="234">
        <v>0</v>
      </c>
    </row>
    <row r="108" spans="1:30" hidden="1">
      <c r="A108" s="244" t="s">
        <v>2155</v>
      </c>
      <c r="B108" s="244" t="s">
        <v>2156</v>
      </c>
      <c r="C108" s="244">
        <v>25352</v>
      </c>
      <c r="D108" s="245">
        <v>41649.000006736111</v>
      </c>
      <c r="E108" s="245">
        <v>43475.000006736111</v>
      </c>
      <c r="F108" s="246">
        <v>600000000</v>
      </c>
      <c r="G108" s="246">
        <v>600000000</v>
      </c>
      <c r="H108" s="243">
        <v>1</v>
      </c>
      <c r="I108" s="234">
        <v>1038</v>
      </c>
      <c r="J108" s="234">
        <v>100.45</v>
      </c>
      <c r="K108" s="234">
        <v>23.5</v>
      </c>
      <c r="L108" s="234">
        <f>VLOOKUP(2535,收盤價!A:C,3,0)</f>
        <v>16.600000000000001</v>
      </c>
      <c r="M108" s="234">
        <v>4255</v>
      </c>
      <c r="N108" s="234">
        <v>100</v>
      </c>
      <c r="O108" s="235">
        <v>4.4999999999999997E-3</v>
      </c>
      <c r="P108" s="235">
        <v>-0.4642</v>
      </c>
      <c r="Q108" s="235">
        <v>-0.23501762632197415</v>
      </c>
      <c r="R108" s="234">
        <f>VLOOKUP(25352,U:AC,9,0)</f>
        <v>25</v>
      </c>
      <c r="S108" s="234">
        <f>VLOOKUP(2535,季財報!A:N,8,0)</f>
        <v>3</v>
      </c>
      <c r="T108" s="234">
        <v>10502</v>
      </c>
      <c r="U108" s="234">
        <v>30392</v>
      </c>
      <c r="V108" s="234" t="s">
        <v>2792</v>
      </c>
      <c r="W108" s="234" t="s">
        <v>2793</v>
      </c>
      <c r="X108" s="234">
        <v>1808</v>
      </c>
      <c r="Y108" s="234">
        <v>1808</v>
      </c>
      <c r="Z108" s="234">
        <v>0</v>
      </c>
      <c r="AA108" s="234">
        <v>0</v>
      </c>
      <c r="AB108" s="234">
        <v>1808</v>
      </c>
      <c r="AC108" s="234">
        <v>12</v>
      </c>
      <c r="AD108" s="234">
        <v>0</v>
      </c>
    </row>
    <row r="109" spans="1:30" hidden="1">
      <c r="A109" s="244" t="s">
        <v>2049</v>
      </c>
      <c r="B109" s="244" t="s">
        <v>2050</v>
      </c>
      <c r="C109" s="244">
        <v>12181</v>
      </c>
      <c r="D109" s="245">
        <v>41417.000006736111</v>
      </c>
      <c r="E109" s="245">
        <v>42513.000006736111</v>
      </c>
      <c r="F109" s="246">
        <v>500000000</v>
      </c>
      <c r="G109" s="246">
        <v>53100000</v>
      </c>
      <c r="H109" s="243">
        <v>0.11</v>
      </c>
      <c r="I109" s="234">
        <v>76</v>
      </c>
      <c r="J109" s="234">
        <v>99.8</v>
      </c>
      <c r="K109" s="234">
        <v>15.1</v>
      </c>
      <c r="L109" s="234">
        <f>VLOOKUP(1218,收盤價!A:C,3,0)</f>
        <v>13</v>
      </c>
      <c r="M109" s="234">
        <v>6623</v>
      </c>
      <c r="N109" s="234">
        <v>100</v>
      </c>
      <c r="O109" s="235">
        <v>-2E-3</v>
      </c>
      <c r="P109" s="235">
        <v>-0.20799999999999999</v>
      </c>
      <c r="Q109" s="235">
        <v>-0.15098897780462026</v>
      </c>
      <c r="R109" s="234">
        <f>VLOOKUP(12181,U:AC,9,0)</f>
        <v>19</v>
      </c>
      <c r="S109" s="234">
        <f>VLOOKUP(1218,季財報!A:N,8,0)</f>
        <v>3</v>
      </c>
      <c r="T109" s="234">
        <v>10502</v>
      </c>
      <c r="U109" s="234">
        <v>30476</v>
      </c>
      <c r="V109" s="234" t="s">
        <v>2794</v>
      </c>
      <c r="W109" s="234" t="s">
        <v>2795</v>
      </c>
      <c r="X109" s="234">
        <v>3055</v>
      </c>
      <c r="Y109" s="234">
        <v>3177</v>
      </c>
      <c r="Z109" s="234">
        <v>-122</v>
      </c>
      <c r="AA109" s="234">
        <v>-3.84</v>
      </c>
      <c r="AB109" s="234">
        <v>4000</v>
      </c>
      <c r="AC109" s="234">
        <v>59</v>
      </c>
      <c r="AD109" s="234">
        <v>0</v>
      </c>
    </row>
    <row r="110" spans="1:30" hidden="1">
      <c r="A110" s="244" t="s">
        <v>2376</v>
      </c>
      <c r="B110" s="244" t="s">
        <v>2377</v>
      </c>
      <c r="C110" s="244">
        <v>61842</v>
      </c>
      <c r="D110" s="245">
        <v>42388.000006736111</v>
      </c>
      <c r="E110" s="245">
        <v>43484.000006736111</v>
      </c>
      <c r="F110" s="246">
        <v>2000000000</v>
      </c>
      <c r="G110" s="246">
        <v>2000000000</v>
      </c>
      <c r="H110" s="243">
        <v>1</v>
      </c>
      <c r="I110" s="234">
        <v>1047</v>
      </c>
      <c r="J110" s="234">
        <v>101</v>
      </c>
      <c r="K110" s="234">
        <v>54.5</v>
      </c>
      <c r="L110" s="234">
        <f>VLOOKUP(6184,收盤價!A:C,3,0)</f>
        <v>48.2</v>
      </c>
      <c r="M110" s="234">
        <v>1835</v>
      </c>
      <c r="N110" s="234">
        <v>100</v>
      </c>
      <c r="O110" s="235">
        <v>9.9000000000000008E-3</v>
      </c>
      <c r="P110" s="235">
        <v>-0.13070000000000001</v>
      </c>
      <c r="Q110" s="235">
        <v>-0.54495912806539504</v>
      </c>
      <c r="R110" s="234">
        <f>VLOOKUP(61842,U:AC,9,0)</f>
        <v>73</v>
      </c>
      <c r="S110" s="234">
        <f>VLOOKUP(6184,季財報!A:N,8,0)</f>
        <v>1</v>
      </c>
      <c r="T110" s="234">
        <v>10502</v>
      </c>
      <c r="U110" s="234">
        <v>30481</v>
      </c>
      <c r="V110" s="234" t="s">
        <v>2796</v>
      </c>
      <c r="W110" s="234" t="s">
        <v>2797</v>
      </c>
      <c r="X110" s="234">
        <v>1113</v>
      </c>
      <c r="Y110" s="234">
        <v>1113</v>
      </c>
      <c r="Z110" s="234">
        <v>0</v>
      </c>
      <c r="AA110" s="234">
        <v>0</v>
      </c>
      <c r="AB110" s="234">
        <v>3000</v>
      </c>
      <c r="AC110" s="234">
        <v>14</v>
      </c>
      <c r="AD110" s="234">
        <v>0</v>
      </c>
    </row>
    <row r="111" spans="1:30" hidden="1">
      <c r="A111" s="244" t="s">
        <v>2147</v>
      </c>
      <c r="B111" s="244" t="s">
        <v>2148</v>
      </c>
      <c r="C111" s="244">
        <v>24817</v>
      </c>
      <c r="D111" s="245">
        <v>41438.000006736111</v>
      </c>
      <c r="E111" s="245">
        <v>43264.000006736111</v>
      </c>
      <c r="F111" s="246">
        <v>150000000</v>
      </c>
      <c r="G111" s="246">
        <v>13800000</v>
      </c>
      <c r="H111" s="243">
        <v>0.09</v>
      </c>
      <c r="I111" s="234">
        <v>827</v>
      </c>
      <c r="J111" s="234">
        <v>139</v>
      </c>
      <c r="K111" s="234">
        <v>12.34</v>
      </c>
      <c r="L111" s="234">
        <f>VLOOKUP(2481,收盤價!A:C,3,0)</f>
        <v>17.25</v>
      </c>
      <c r="M111" s="234">
        <v>8104</v>
      </c>
      <c r="N111" s="234">
        <v>117.508</v>
      </c>
      <c r="O111" s="235">
        <v>0.15459999999999999</v>
      </c>
      <c r="P111" s="235">
        <v>0.14899999999999999</v>
      </c>
      <c r="Q111" s="235">
        <v>-0.12339585389930897</v>
      </c>
      <c r="R111" s="234">
        <f>VLOOKUP(24817,U:AC,9,0)</f>
        <v>13</v>
      </c>
      <c r="S111" s="234">
        <f>VLOOKUP(2481,季財報!A:N,8,0)</f>
        <v>2</v>
      </c>
      <c r="T111" s="234">
        <v>10502</v>
      </c>
      <c r="U111" s="234">
        <v>30543</v>
      </c>
      <c r="V111" s="234" t="s">
        <v>2798</v>
      </c>
      <c r="W111" s="234" t="s">
        <v>2799</v>
      </c>
      <c r="X111" s="234">
        <v>3359</v>
      </c>
      <c r="Y111" s="234">
        <v>3359</v>
      </c>
      <c r="Z111" s="234">
        <v>0</v>
      </c>
      <c r="AA111" s="234">
        <v>0</v>
      </c>
      <c r="AB111" s="234">
        <v>3500</v>
      </c>
      <c r="AC111" s="234">
        <v>15</v>
      </c>
      <c r="AD111" s="234">
        <v>0</v>
      </c>
    </row>
    <row r="112" spans="1:30" hidden="1">
      <c r="A112" s="244" t="s">
        <v>2386</v>
      </c>
      <c r="B112" s="244" t="s">
        <v>469</v>
      </c>
      <c r="C112" s="244">
        <v>62641</v>
      </c>
      <c r="D112" s="245">
        <v>41723.000006736111</v>
      </c>
      <c r="E112" s="245">
        <v>42819.000006736111</v>
      </c>
      <c r="F112" s="246">
        <v>500000000</v>
      </c>
      <c r="G112" s="246">
        <v>500000000</v>
      </c>
      <c r="H112" s="243">
        <v>1</v>
      </c>
      <c r="I112" s="234">
        <v>382</v>
      </c>
      <c r="J112" s="234">
        <v>100.5</v>
      </c>
      <c r="K112" s="234">
        <v>23.9</v>
      </c>
      <c r="L112" s="234">
        <f>VLOOKUP(6264,收盤價!A:C,3,0)</f>
        <v>7.98</v>
      </c>
      <c r="M112" s="234">
        <v>4184</v>
      </c>
      <c r="N112" s="234">
        <v>100</v>
      </c>
      <c r="O112" s="235">
        <v>5.0000000000000001E-3</v>
      </c>
      <c r="P112" s="235">
        <v>-1.9912000000000001</v>
      </c>
      <c r="Q112" s="235">
        <v>-0.23900573613766729</v>
      </c>
      <c r="R112" s="234">
        <f>VLOOKUP(62641,U:AC,9,0)</f>
        <v>19</v>
      </c>
      <c r="S112" s="234">
        <f>VLOOKUP(6264,季財報!A:N,8,0)</f>
        <v>1</v>
      </c>
      <c r="T112" s="234">
        <v>10502</v>
      </c>
      <c r="U112" s="234">
        <v>30562</v>
      </c>
      <c r="V112" s="234" t="s">
        <v>2800</v>
      </c>
      <c r="W112" s="234" t="s">
        <v>2801</v>
      </c>
      <c r="X112" s="234">
        <v>4619</v>
      </c>
      <c r="Y112" s="234">
        <v>4619</v>
      </c>
      <c r="Z112" s="234">
        <v>0</v>
      </c>
      <c r="AA112" s="234">
        <v>0</v>
      </c>
      <c r="AB112" s="234">
        <v>7000</v>
      </c>
      <c r="AC112" s="234">
        <v>13</v>
      </c>
      <c r="AD112" s="234">
        <v>0</v>
      </c>
    </row>
    <row r="113" spans="1:30" hidden="1">
      <c r="A113" s="244" t="s">
        <v>2262</v>
      </c>
      <c r="B113" s="244" t="s">
        <v>2001</v>
      </c>
      <c r="C113" s="244">
        <v>36623</v>
      </c>
      <c r="D113" s="245">
        <v>41817.000006736111</v>
      </c>
      <c r="E113" s="245">
        <v>42913.000006736111</v>
      </c>
      <c r="F113" s="246">
        <v>400000000</v>
      </c>
      <c r="G113" s="246">
        <v>39400000</v>
      </c>
      <c r="H113" s="243">
        <v>0.1</v>
      </c>
      <c r="I113" s="234">
        <v>476</v>
      </c>
      <c r="J113" s="234">
        <v>100.4</v>
      </c>
      <c r="K113" s="234">
        <v>92.49</v>
      </c>
      <c r="L113" s="234">
        <f>VLOOKUP(3662,收盤價!A:C,3,0)</f>
        <v>101</v>
      </c>
      <c r="M113" s="234">
        <v>1081</v>
      </c>
      <c r="N113" s="234">
        <v>100</v>
      </c>
      <c r="O113" s="235">
        <v>4.0000000000000001E-3</v>
      </c>
      <c r="P113" s="235">
        <v>-0.22670000000000001</v>
      </c>
      <c r="Q113" s="235">
        <v>-0.92506938020351526</v>
      </c>
      <c r="R113" s="234">
        <f>VLOOKUP(36623,U:AC,9,0)</f>
        <v>34</v>
      </c>
      <c r="S113" s="234">
        <f>VLOOKUP(3662,季財報!A:N,8,0)</f>
        <v>1</v>
      </c>
      <c r="T113" s="234">
        <v>10502</v>
      </c>
      <c r="U113" s="234">
        <v>30861</v>
      </c>
      <c r="V113" s="234" t="s">
        <v>2802</v>
      </c>
      <c r="W113" s="234" t="s">
        <v>2803</v>
      </c>
      <c r="X113" s="234">
        <v>2934</v>
      </c>
      <c r="Y113" s="234">
        <v>2934</v>
      </c>
      <c r="Z113" s="234">
        <v>0</v>
      </c>
      <c r="AA113" s="234">
        <v>0</v>
      </c>
      <c r="AB113" s="234">
        <v>3000</v>
      </c>
      <c r="AC113" s="234">
        <v>27</v>
      </c>
      <c r="AD113" s="234">
        <v>0</v>
      </c>
    </row>
    <row r="114" spans="1:30" hidden="1">
      <c r="A114" s="244" t="s">
        <v>2208</v>
      </c>
      <c r="B114" s="244" t="s">
        <v>2209</v>
      </c>
      <c r="C114" s="244">
        <v>30562</v>
      </c>
      <c r="D114" s="245">
        <v>41407.000006736111</v>
      </c>
      <c r="E114" s="245">
        <v>42503.000006736111</v>
      </c>
      <c r="F114" s="246">
        <v>700000000</v>
      </c>
      <c r="G114" s="246">
        <v>461900000</v>
      </c>
      <c r="H114" s="243">
        <v>0.66</v>
      </c>
      <c r="I114" s="234">
        <v>66</v>
      </c>
      <c r="J114" s="234">
        <v>100.45</v>
      </c>
      <c r="K114" s="234">
        <v>18.899999999999999</v>
      </c>
      <c r="L114" s="234">
        <f>VLOOKUP(3056,收盤價!A:C,3,0)</f>
        <v>14.6</v>
      </c>
      <c r="M114" s="234">
        <v>5291</v>
      </c>
      <c r="N114" s="234">
        <v>100</v>
      </c>
      <c r="O114" s="235">
        <v>4.4999999999999997E-3</v>
      </c>
      <c r="P114" s="235">
        <v>-0.4708</v>
      </c>
      <c r="Q114" s="235">
        <v>-0.189000189000189</v>
      </c>
      <c r="R114" s="234">
        <f>VLOOKUP(30562,U:AC,9,0)</f>
        <v>13</v>
      </c>
      <c r="S114" s="234">
        <f>VLOOKUP(3056,季財報!A:N,8,0)</f>
        <v>0</v>
      </c>
      <c r="T114" s="234">
        <v>10502</v>
      </c>
      <c r="U114" s="234">
        <v>31281</v>
      </c>
      <c r="V114" s="234" t="s">
        <v>2804</v>
      </c>
      <c r="W114" s="234" t="s">
        <v>2805</v>
      </c>
      <c r="X114" s="234">
        <v>1000</v>
      </c>
      <c r="Y114" s="234">
        <v>1000</v>
      </c>
      <c r="Z114" s="234">
        <v>0</v>
      </c>
      <c r="AA114" s="234">
        <v>0</v>
      </c>
      <c r="AB114" s="234">
        <v>1000</v>
      </c>
      <c r="AC114" s="234">
        <v>11</v>
      </c>
      <c r="AD114" s="234">
        <v>0</v>
      </c>
    </row>
    <row r="115" spans="1:30" hidden="1">
      <c r="A115" s="244" t="s">
        <v>2384</v>
      </c>
      <c r="B115" s="244" t="s">
        <v>1992</v>
      </c>
      <c r="C115" s="244">
        <v>62384</v>
      </c>
      <c r="D115" s="245">
        <v>42244.000006736111</v>
      </c>
      <c r="E115" s="245">
        <v>43340.000006736111</v>
      </c>
      <c r="F115" s="246">
        <v>100000000</v>
      </c>
      <c r="G115" s="246">
        <v>28000000</v>
      </c>
      <c r="H115" s="243">
        <v>0.28000000000000003</v>
      </c>
      <c r="I115" s="234">
        <v>903</v>
      </c>
      <c r="J115" s="234">
        <v>362</v>
      </c>
      <c r="K115" s="234">
        <v>63</v>
      </c>
      <c r="L115" s="234">
        <f>VLOOKUP(6238,收盤價!A:C,3,0)</f>
        <v>271</v>
      </c>
      <c r="M115" s="234">
        <v>1587</v>
      </c>
      <c r="N115" s="234">
        <v>388.815</v>
      </c>
      <c r="O115" s="235">
        <v>-7.4099999999999999E-2</v>
      </c>
      <c r="P115" s="235">
        <v>0.7429</v>
      </c>
      <c r="Q115" s="235">
        <v>-0.63011972274732198</v>
      </c>
      <c r="R115" s="234">
        <f>VLOOKUP(62384,U:AC,9,0)</f>
        <v>5</v>
      </c>
      <c r="S115" s="234">
        <f>VLOOKUP(6238,季財報!A:N,8,0)</f>
        <v>4</v>
      </c>
      <c r="T115" s="234">
        <v>10502</v>
      </c>
      <c r="U115" s="234">
        <v>31491</v>
      </c>
      <c r="V115" s="234" t="s">
        <v>2806</v>
      </c>
      <c r="W115" s="234" t="s">
        <v>2807</v>
      </c>
      <c r="X115" s="234">
        <v>4800</v>
      </c>
      <c r="Y115" s="234">
        <v>4800</v>
      </c>
      <c r="Z115" s="234">
        <v>0</v>
      </c>
      <c r="AA115" s="234">
        <v>0</v>
      </c>
      <c r="AB115" s="234">
        <v>4800</v>
      </c>
      <c r="AC115" s="234">
        <v>46</v>
      </c>
      <c r="AD115" s="234">
        <v>0</v>
      </c>
    </row>
    <row r="116" spans="1:30" hidden="1">
      <c r="A116" s="244" t="s">
        <v>2358</v>
      </c>
      <c r="B116" s="244" t="s">
        <v>1987</v>
      </c>
      <c r="C116" s="244">
        <v>61274</v>
      </c>
      <c r="D116" s="245">
        <v>42165.000006736111</v>
      </c>
      <c r="E116" s="245">
        <v>43261.000006736111</v>
      </c>
      <c r="F116" s="246">
        <v>400000000</v>
      </c>
      <c r="G116" s="246">
        <v>400000000</v>
      </c>
      <c r="H116" s="243">
        <v>1</v>
      </c>
      <c r="I116" s="234">
        <v>824</v>
      </c>
      <c r="J116" s="234">
        <v>100.5</v>
      </c>
      <c r="K116" s="234">
        <v>16.7</v>
      </c>
      <c r="L116" s="234">
        <f>VLOOKUP(6127,收盤價!A:C,3,0)</f>
        <v>9.7799999999999994</v>
      </c>
      <c r="M116" s="234">
        <v>5988</v>
      </c>
      <c r="N116" s="234">
        <v>100</v>
      </c>
      <c r="O116" s="235">
        <v>5.0000000000000001E-3</v>
      </c>
      <c r="P116" s="235">
        <v>-0.73960000000000004</v>
      </c>
      <c r="Q116" s="235">
        <v>-0.16700066800267202</v>
      </c>
      <c r="R116" s="234">
        <f>VLOOKUP(61274,U:AC,9,0)</f>
        <v>22</v>
      </c>
      <c r="S116" s="234">
        <f>VLOOKUP(6127,季財報!A:N,8,0)</f>
        <v>1</v>
      </c>
      <c r="T116" s="234">
        <v>10502</v>
      </c>
      <c r="U116" s="234">
        <v>31492</v>
      </c>
      <c r="V116" s="234" t="s">
        <v>2808</v>
      </c>
      <c r="W116" s="234" t="s">
        <v>2807</v>
      </c>
      <c r="X116" s="234">
        <v>5000</v>
      </c>
      <c r="Y116" s="234">
        <v>5000</v>
      </c>
      <c r="Z116" s="234">
        <v>0</v>
      </c>
      <c r="AA116" s="234">
        <v>0</v>
      </c>
      <c r="AB116" s="234">
        <v>5000</v>
      </c>
      <c r="AC116" s="234">
        <v>198</v>
      </c>
      <c r="AD116" s="234">
        <v>0</v>
      </c>
    </row>
    <row r="117" spans="1:30" hidden="1">
      <c r="A117" s="244" t="s">
        <v>2088</v>
      </c>
      <c r="B117" s="244" t="s">
        <v>2089</v>
      </c>
      <c r="C117" s="244">
        <v>17121</v>
      </c>
      <c r="D117" s="245">
        <v>41501.000006736111</v>
      </c>
      <c r="E117" s="245">
        <v>43327.000006736111</v>
      </c>
      <c r="F117" s="246">
        <v>1200000000</v>
      </c>
      <c r="G117" s="246">
        <v>1028700000</v>
      </c>
      <c r="H117" s="243">
        <v>0.86</v>
      </c>
      <c r="I117" s="234">
        <v>890</v>
      </c>
      <c r="J117" s="234">
        <v>102.5</v>
      </c>
      <c r="K117" s="234">
        <v>14.45</v>
      </c>
      <c r="L117" s="234">
        <f>VLOOKUP(1712,收盤價!A:C,3,0)</f>
        <v>14.15</v>
      </c>
      <c r="M117" s="234">
        <v>6920</v>
      </c>
      <c r="N117" s="234">
        <v>100</v>
      </c>
      <c r="O117" s="235">
        <v>2.4400000000000002E-2</v>
      </c>
      <c r="P117" s="235">
        <v>-3.2099999999999997E-2</v>
      </c>
      <c r="Q117" s="235">
        <v>-0.14450867052023122</v>
      </c>
      <c r="R117" s="234">
        <f>VLOOKUP(17121,U:AC,9,0)</f>
        <v>85</v>
      </c>
      <c r="S117" s="234">
        <f>VLOOKUP(1712,季財報!A:N,8,0)</f>
        <v>2</v>
      </c>
      <c r="T117" s="234">
        <v>10502</v>
      </c>
      <c r="U117" s="234">
        <v>31631</v>
      </c>
      <c r="V117" s="234" t="s">
        <v>2809</v>
      </c>
      <c r="W117" s="234" t="s">
        <v>2810</v>
      </c>
      <c r="X117" s="234">
        <v>323</v>
      </c>
      <c r="Y117" s="234">
        <v>323</v>
      </c>
      <c r="Z117" s="234">
        <v>0</v>
      </c>
      <c r="AA117" s="234">
        <v>0</v>
      </c>
      <c r="AB117" s="234">
        <v>2000</v>
      </c>
      <c r="AC117" s="234">
        <v>7</v>
      </c>
      <c r="AD117" s="234">
        <v>0</v>
      </c>
    </row>
    <row r="118" spans="1:30" hidden="1">
      <c r="A118" s="244" t="s">
        <v>2426</v>
      </c>
      <c r="B118" s="244" t="s">
        <v>2427</v>
      </c>
      <c r="C118" s="244">
        <v>84291</v>
      </c>
      <c r="D118" s="245">
        <v>41694.000006736111</v>
      </c>
      <c r="E118" s="245">
        <v>42790.000006736111</v>
      </c>
      <c r="F118" s="246">
        <v>1200000000</v>
      </c>
      <c r="G118" s="246">
        <v>1200000000</v>
      </c>
      <c r="H118" s="243">
        <v>1</v>
      </c>
      <c r="I118" s="234">
        <v>353</v>
      </c>
      <c r="J118" s="234">
        <v>101.8</v>
      </c>
      <c r="K118" s="234">
        <v>92.3</v>
      </c>
      <c r="L118" s="234">
        <f>VLOOKUP(8429,收盤價!A:C,3,0)</f>
        <v>61.5</v>
      </c>
      <c r="M118" s="234">
        <v>1083</v>
      </c>
      <c r="N118" s="234">
        <v>100</v>
      </c>
      <c r="O118" s="235">
        <v>1.77E-2</v>
      </c>
      <c r="P118" s="235">
        <v>-0.52059999999999995</v>
      </c>
      <c r="Q118" s="235">
        <v>-0.92336103416435833</v>
      </c>
      <c r="R118" s="234">
        <f>VLOOKUP(84291,U:AC,9,0)</f>
        <v>8</v>
      </c>
      <c r="S118" s="234">
        <f>VLOOKUP(8429,季財報!A:N,8,0)</f>
        <v>1</v>
      </c>
      <c r="T118" s="234">
        <v>10502</v>
      </c>
      <c r="U118" s="234">
        <v>31711</v>
      </c>
      <c r="V118" s="234" t="s">
        <v>2811</v>
      </c>
      <c r="W118" s="234" t="s">
        <v>2812</v>
      </c>
      <c r="X118" s="234">
        <v>2000</v>
      </c>
      <c r="Y118" s="234">
        <v>2000</v>
      </c>
      <c r="Z118" s="234">
        <v>0</v>
      </c>
      <c r="AA118" s="234">
        <v>0</v>
      </c>
      <c r="AB118" s="234">
        <v>2000</v>
      </c>
      <c r="AC118" s="234">
        <v>8</v>
      </c>
      <c r="AD118" s="234">
        <v>0</v>
      </c>
    </row>
    <row r="119" spans="1:30" hidden="1">
      <c r="A119" s="244" t="s">
        <v>2280</v>
      </c>
      <c r="B119" s="244" t="s">
        <v>2281</v>
      </c>
      <c r="C119" s="244">
        <v>41191</v>
      </c>
      <c r="D119" s="245">
        <v>41495.000006736111</v>
      </c>
      <c r="E119" s="245">
        <v>42591.000006736111</v>
      </c>
      <c r="F119" s="246">
        <v>600000000</v>
      </c>
      <c r="G119" s="246">
        <v>195500000</v>
      </c>
      <c r="H119" s="243">
        <v>0.33</v>
      </c>
      <c r="I119" s="234">
        <v>154</v>
      </c>
      <c r="J119" s="234">
        <v>125</v>
      </c>
      <c r="K119" s="234">
        <v>59.83</v>
      </c>
      <c r="L119" s="234">
        <f>VLOOKUP(4119,收盤價!A:C,3,0)</f>
        <v>77.900000000000006</v>
      </c>
      <c r="M119" s="234">
        <v>1671</v>
      </c>
      <c r="N119" s="234">
        <v>131.5077</v>
      </c>
      <c r="O119" s="235">
        <v>-5.21E-2</v>
      </c>
      <c r="P119" s="235">
        <v>0.23980000000000001</v>
      </c>
      <c r="Q119" s="235">
        <v>-0.59844404548174746</v>
      </c>
      <c r="R119" s="234">
        <f>VLOOKUP(41191,U:AC,9,0)</f>
        <v>27</v>
      </c>
      <c r="S119" s="234">
        <f>VLOOKUP(4119,季財報!A:N,8,0)</f>
        <v>2</v>
      </c>
      <c r="T119" s="234">
        <v>10502</v>
      </c>
      <c r="U119" s="234">
        <v>32051</v>
      </c>
      <c r="V119" s="234" t="s">
        <v>2813</v>
      </c>
      <c r="W119" s="234" t="s">
        <v>2814</v>
      </c>
      <c r="X119" s="234">
        <v>130</v>
      </c>
      <c r="Y119" s="234">
        <v>135</v>
      </c>
      <c r="Z119" s="234">
        <v>-5</v>
      </c>
      <c r="AA119" s="234">
        <v>-3.7</v>
      </c>
      <c r="AB119" s="234">
        <v>1000</v>
      </c>
      <c r="AC119" s="234">
        <v>1</v>
      </c>
      <c r="AD119" s="234">
        <v>0</v>
      </c>
    </row>
    <row r="120" spans="1:30" hidden="1">
      <c r="A120" s="244" t="s">
        <v>2342</v>
      </c>
      <c r="B120" s="244" t="s">
        <v>1962</v>
      </c>
      <c r="C120" s="244">
        <v>54758</v>
      </c>
      <c r="D120" s="245">
        <v>42039.000006736111</v>
      </c>
      <c r="E120" s="245">
        <v>43135.000006736111</v>
      </c>
      <c r="F120" s="246">
        <v>200000000</v>
      </c>
      <c r="G120" s="246">
        <v>200000000</v>
      </c>
      <c r="H120" s="243">
        <v>1</v>
      </c>
      <c r="I120" s="234">
        <v>698</v>
      </c>
      <c r="J120" s="234">
        <v>101.4</v>
      </c>
      <c r="K120" s="234">
        <v>8.15</v>
      </c>
      <c r="L120" s="234">
        <f>VLOOKUP(5475,收盤價!A:C,3,0)</f>
        <v>3.81</v>
      </c>
      <c r="M120" s="234">
        <v>12270</v>
      </c>
      <c r="N120" s="234">
        <v>100</v>
      </c>
      <c r="O120" s="235">
        <v>1.38E-2</v>
      </c>
      <c r="P120" s="235">
        <v>-1.5790999999999999</v>
      </c>
      <c r="Q120" s="235">
        <v>-8.1499592502037477E-2</v>
      </c>
      <c r="R120" s="234">
        <f>VLOOKUP(54758,U:AC,9,0)</f>
        <v>15</v>
      </c>
      <c r="S120" s="234">
        <f>VLOOKUP(5475,季財報!A:N,8,0)</f>
        <v>1</v>
      </c>
      <c r="T120" s="234">
        <v>10502</v>
      </c>
      <c r="U120" s="234">
        <v>32052</v>
      </c>
      <c r="V120" s="234" t="s">
        <v>2815</v>
      </c>
      <c r="W120" s="234" t="s">
        <v>2814</v>
      </c>
      <c r="X120" s="234">
        <v>319</v>
      </c>
      <c r="Y120" s="234">
        <v>340</v>
      </c>
      <c r="Z120" s="234">
        <v>-21</v>
      </c>
      <c r="AA120" s="234">
        <v>-6.18</v>
      </c>
      <c r="AB120" s="234">
        <v>1000</v>
      </c>
      <c r="AC120" s="234">
        <v>6</v>
      </c>
      <c r="AD120" s="234">
        <v>0</v>
      </c>
    </row>
    <row r="121" spans="1:30" hidden="1">
      <c r="A121" s="244" t="s">
        <v>2291</v>
      </c>
      <c r="B121" s="244" t="s">
        <v>1945</v>
      </c>
      <c r="C121" s="244">
        <v>41631</v>
      </c>
      <c r="D121" s="245">
        <v>41871.000006736111</v>
      </c>
      <c r="E121" s="245">
        <v>43697.000006736111</v>
      </c>
      <c r="F121" s="246">
        <v>500000000</v>
      </c>
      <c r="G121" s="246">
        <v>500000000</v>
      </c>
      <c r="H121" s="243">
        <v>1</v>
      </c>
      <c r="I121" s="234">
        <v>1260</v>
      </c>
      <c r="J121" s="234">
        <v>100.6</v>
      </c>
      <c r="K121" s="234">
        <v>181.9</v>
      </c>
      <c r="L121" s="234">
        <f>VLOOKUP(4163,收盤價!A:C,3,0)</f>
        <v>127.5</v>
      </c>
      <c r="M121" s="234">
        <v>550</v>
      </c>
      <c r="N121" s="234">
        <v>100</v>
      </c>
      <c r="O121" s="235">
        <v>6.0000000000000001E-3</v>
      </c>
      <c r="P121" s="235">
        <v>-0.3992</v>
      </c>
      <c r="Q121" s="235">
        <v>-1.8181818181818183</v>
      </c>
      <c r="R121" s="234">
        <f>VLOOKUP(41631,U:AC,9,0)</f>
        <v>27</v>
      </c>
      <c r="S121" s="234">
        <f>VLOOKUP(4163,季財報!A:N,8,0)</f>
        <v>3</v>
      </c>
      <c r="T121" s="234">
        <v>10502</v>
      </c>
      <c r="U121" s="234">
        <v>32242</v>
      </c>
      <c r="V121" s="234" t="s">
        <v>2816</v>
      </c>
      <c r="W121" s="234" t="s">
        <v>2817</v>
      </c>
      <c r="X121" s="234">
        <v>1500</v>
      </c>
      <c r="Y121" s="234">
        <v>1500</v>
      </c>
      <c r="Z121" s="234">
        <v>0</v>
      </c>
      <c r="AA121" s="234">
        <v>0</v>
      </c>
      <c r="AB121" s="234">
        <v>1500</v>
      </c>
      <c r="AC121" s="234">
        <v>6</v>
      </c>
      <c r="AD121" s="234">
        <v>0</v>
      </c>
    </row>
    <row r="122" spans="1:30" hidden="1">
      <c r="A122" s="244" t="s">
        <v>2175</v>
      </c>
      <c r="B122" s="244" t="s">
        <v>2176</v>
      </c>
      <c r="C122" s="244">
        <v>26371</v>
      </c>
      <c r="D122" s="245">
        <v>40997.000006736111</v>
      </c>
      <c r="E122" s="245">
        <v>42823.000006736111</v>
      </c>
      <c r="F122" s="246">
        <v>600000000</v>
      </c>
      <c r="G122" s="246">
        <v>27800000</v>
      </c>
      <c r="H122" s="243">
        <v>0.05</v>
      </c>
      <c r="I122" s="234">
        <v>386</v>
      </c>
      <c r="J122" s="234">
        <v>113.9</v>
      </c>
      <c r="K122" s="234">
        <v>31.3</v>
      </c>
      <c r="L122" s="234">
        <f>VLOOKUP(2637,收盤價!A:C,3,0)</f>
        <v>37.35</v>
      </c>
      <c r="M122" s="234">
        <v>3195</v>
      </c>
      <c r="N122" s="234">
        <v>118.215</v>
      </c>
      <c r="O122" s="235">
        <v>-3.7900000000000003E-2</v>
      </c>
      <c r="P122" s="235">
        <v>0.15409999999999999</v>
      </c>
      <c r="Q122" s="235">
        <v>-0.3129890453834116</v>
      </c>
      <c r="R122" s="234">
        <f>VLOOKUP(26371,U:AC,9,0)</f>
        <v>42</v>
      </c>
      <c r="S122" s="234">
        <f>VLOOKUP(2637,季財報!A:N,8,0)</f>
        <v>6</v>
      </c>
      <c r="T122" s="234">
        <v>10502</v>
      </c>
      <c r="U122" s="234">
        <v>32341</v>
      </c>
      <c r="V122" s="234" t="s">
        <v>2818</v>
      </c>
      <c r="W122" s="234" t="s">
        <v>2819</v>
      </c>
      <c r="X122" s="234">
        <v>5000</v>
      </c>
      <c r="Y122" s="234">
        <v>5000</v>
      </c>
      <c r="Z122" s="234">
        <v>0</v>
      </c>
      <c r="AA122" s="234">
        <v>0</v>
      </c>
      <c r="AB122" s="234">
        <v>5000</v>
      </c>
      <c r="AC122" s="234">
        <v>14</v>
      </c>
      <c r="AD122" s="234">
        <v>0</v>
      </c>
    </row>
    <row r="123" spans="1:30" hidden="1">
      <c r="A123" s="244" t="s">
        <v>2172</v>
      </c>
      <c r="B123" s="244" t="s">
        <v>2173</v>
      </c>
      <c r="C123" s="244">
        <v>26163</v>
      </c>
      <c r="D123" s="245">
        <v>41953.000006736111</v>
      </c>
      <c r="E123" s="245">
        <v>43779.000006736111</v>
      </c>
      <c r="F123" s="246">
        <v>500000000</v>
      </c>
      <c r="G123" s="246">
        <v>499900000</v>
      </c>
      <c r="H123" s="243">
        <v>1</v>
      </c>
      <c r="I123" s="234">
        <v>1342</v>
      </c>
      <c r="J123" s="234">
        <v>107.5</v>
      </c>
      <c r="K123" s="234">
        <v>22.3</v>
      </c>
      <c r="L123" s="234">
        <f>VLOOKUP(2616,收盤價!A:C,3,0)</f>
        <v>23.85</v>
      </c>
      <c r="M123" s="234">
        <v>4484</v>
      </c>
      <c r="N123" s="234">
        <v>106.27080000000001</v>
      </c>
      <c r="O123" s="235">
        <v>1.14E-2</v>
      </c>
      <c r="P123" s="235">
        <v>5.91E-2</v>
      </c>
      <c r="Q123" s="235">
        <v>-0.22301516503122212</v>
      </c>
      <c r="R123" s="234">
        <f>VLOOKUP(26163,U:AC,9,0)</f>
        <v>68</v>
      </c>
      <c r="S123" s="234">
        <f>VLOOKUP(2616,季財報!A:N,8,0)</f>
        <v>3</v>
      </c>
      <c r="T123" s="234">
        <v>10502</v>
      </c>
      <c r="U123" s="234">
        <v>32342</v>
      </c>
      <c r="V123" s="234" t="s">
        <v>2820</v>
      </c>
      <c r="W123" s="234" t="s">
        <v>2819</v>
      </c>
      <c r="X123" s="234">
        <v>5000</v>
      </c>
      <c r="Y123" s="234">
        <v>5000</v>
      </c>
      <c r="Z123" s="234">
        <v>0</v>
      </c>
      <c r="AA123" s="234">
        <v>0</v>
      </c>
      <c r="AB123" s="234">
        <v>5000</v>
      </c>
      <c r="AC123" s="234">
        <v>43</v>
      </c>
      <c r="AD123" s="234">
        <v>0</v>
      </c>
    </row>
    <row r="124" spans="1:30" hidden="1">
      <c r="A124" s="244" t="s">
        <v>2249</v>
      </c>
      <c r="B124" s="244" t="s">
        <v>2250</v>
      </c>
      <c r="C124" s="244">
        <v>35761</v>
      </c>
      <c r="D124" s="245">
        <v>41548.000006736111</v>
      </c>
      <c r="E124" s="245">
        <v>42644.000006736111</v>
      </c>
      <c r="F124" s="246">
        <v>501500000</v>
      </c>
      <c r="G124" s="246">
        <v>164000000</v>
      </c>
      <c r="H124" s="243">
        <v>0.33</v>
      </c>
      <c r="I124" s="234">
        <v>207</v>
      </c>
      <c r="J124" s="234">
        <v>105</v>
      </c>
      <c r="K124" s="234">
        <v>28.16</v>
      </c>
      <c r="L124" s="234">
        <f>VLOOKUP(3576,收盤價!A:C,3,0)</f>
        <v>22.35</v>
      </c>
      <c r="M124" s="234">
        <v>3551</v>
      </c>
      <c r="N124" s="234">
        <v>100</v>
      </c>
      <c r="O124" s="235">
        <v>4.7600000000000003E-2</v>
      </c>
      <c r="P124" s="235">
        <v>-0.1832</v>
      </c>
      <c r="Q124" s="235">
        <v>-0.28161081385525205</v>
      </c>
      <c r="R124" s="234">
        <f>VLOOKUP(35761,U:AC,9,0)</f>
        <v>25</v>
      </c>
      <c r="S124" s="234">
        <f>VLOOKUP(3576,季財報!A:N,8,0)</f>
        <v>2</v>
      </c>
      <c r="T124" s="234">
        <v>10502</v>
      </c>
      <c r="U124" s="234">
        <v>32522</v>
      </c>
      <c r="V124" s="234" t="s">
        <v>2821</v>
      </c>
      <c r="W124" s="234" t="s">
        <v>2822</v>
      </c>
      <c r="X124" s="234">
        <v>1578</v>
      </c>
      <c r="Y124" s="234">
        <v>1578</v>
      </c>
      <c r="Z124" s="234">
        <v>0</v>
      </c>
      <c r="AA124" s="234">
        <v>0</v>
      </c>
      <c r="AB124" s="234">
        <v>2000</v>
      </c>
      <c r="AC124" s="234">
        <v>4</v>
      </c>
      <c r="AD124" s="234">
        <v>0</v>
      </c>
    </row>
    <row r="125" spans="1:30" hidden="1">
      <c r="A125" s="244" t="s">
        <v>2351</v>
      </c>
      <c r="B125" s="244" t="s">
        <v>2352</v>
      </c>
      <c r="C125" s="244">
        <v>56084</v>
      </c>
      <c r="D125" s="245">
        <v>42046.000006736111</v>
      </c>
      <c r="E125" s="245">
        <v>43142.000006736111</v>
      </c>
      <c r="F125" s="246">
        <v>400000000</v>
      </c>
      <c r="G125" s="246">
        <v>400000000</v>
      </c>
      <c r="H125" s="243">
        <v>1</v>
      </c>
      <c r="I125" s="234">
        <v>705</v>
      </c>
      <c r="J125" s="234">
        <v>100.9</v>
      </c>
      <c r="K125" s="234">
        <v>16.98</v>
      </c>
      <c r="L125" s="234">
        <f>VLOOKUP(5608,收盤價!A:C,3,0)</f>
        <v>13.2</v>
      </c>
      <c r="M125" s="234">
        <v>5889</v>
      </c>
      <c r="N125" s="234">
        <v>100</v>
      </c>
      <c r="O125" s="235">
        <v>8.8999999999999999E-3</v>
      </c>
      <c r="P125" s="235">
        <v>-0.30109999999999998</v>
      </c>
      <c r="Q125" s="235">
        <v>-0.16980811682798436</v>
      </c>
      <c r="R125" s="234">
        <f>VLOOKUP(56084,U:AC,9,0)</f>
        <v>42</v>
      </c>
      <c r="S125" s="234">
        <f>VLOOKUP(5608,季財報!A:N,8,0)</f>
        <v>2</v>
      </c>
      <c r="T125" s="234">
        <v>10502</v>
      </c>
      <c r="U125" s="234">
        <v>32523</v>
      </c>
      <c r="V125" s="234" t="s">
        <v>2823</v>
      </c>
      <c r="W125" s="234" t="s">
        <v>2822</v>
      </c>
      <c r="X125" s="234">
        <v>2000</v>
      </c>
      <c r="Y125" s="234">
        <v>2000</v>
      </c>
      <c r="Z125" s="234">
        <v>0</v>
      </c>
      <c r="AA125" s="234">
        <v>0</v>
      </c>
      <c r="AB125" s="234">
        <v>2000</v>
      </c>
      <c r="AC125" s="234">
        <v>10</v>
      </c>
      <c r="AD125" s="234">
        <v>0</v>
      </c>
    </row>
    <row r="126" spans="1:30" hidden="1">
      <c r="A126" s="244" t="s">
        <v>2302</v>
      </c>
      <c r="B126" s="244" t="s">
        <v>1969</v>
      </c>
      <c r="C126" s="244">
        <v>45412</v>
      </c>
      <c r="D126" s="245">
        <v>42000.000006736111</v>
      </c>
      <c r="E126" s="245">
        <v>43096.000006736111</v>
      </c>
      <c r="F126" s="246">
        <v>100000000</v>
      </c>
      <c r="G126" s="246">
        <v>100000000</v>
      </c>
      <c r="H126" s="243">
        <v>1</v>
      </c>
      <c r="I126" s="234">
        <v>659</v>
      </c>
      <c r="J126" s="234">
        <v>104</v>
      </c>
      <c r="K126" s="234">
        <v>46.8</v>
      </c>
      <c r="L126" s="234">
        <f>VLOOKUP(4541,收盤價!A:C,3,0)</f>
        <v>33.200000000000003</v>
      </c>
      <c r="M126" s="234">
        <v>2137</v>
      </c>
      <c r="N126" s="234">
        <v>100</v>
      </c>
      <c r="O126" s="235">
        <v>3.85E-2</v>
      </c>
      <c r="P126" s="235">
        <v>-0.4118</v>
      </c>
      <c r="Q126" s="235">
        <v>-0.46794571829667758</v>
      </c>
      <c r="R126" s="234">
        <f>VLOOKUP(45412,U:AC,9,0)</f>
        <v>13</v>
      </c>
      <c r="S126" s="234">
        <f>VLOOKUP(4541,季財報!A:N,8,0)</f>
        <v>2</v>
      </c>
      <c r="T126" s="234">
        <v>10502</v>
      </c>
      <c r="U126" s="234">
        <v>32721</v>
      </c>
      <c r="V126" s="234" t="s">
        <v>2824</v>
      </c>
      <c r="W126" s="234" t="s">
        <v>2825</v>
      </c>
      <c r="X126" s="234">
        <v>2622</v>
      </c>
      <c r="Y126" s="234">
        <v>2622</v>
      </c>
      <c r="Z126" s="234">
        <v>0</v>
      </c>
      <c r="AA126" s="234">
        <v>0</v>
      </c>
      <c r="AB126" s="234">
        <v>4000</v>
      </c>
      <c r="AC126" s="234">
        <v>44</v>
      </c>
      <c r="AD126" s="234">
        <v>0</v>
      </c>
    </row>
    <row r="127" spans="1:30" hidden="1">
      <c r="A127" s="244" t="s">
        <v>2178</v>
      </c>
      <c r="B127" s="244" t="s">
        <v>1998</v>
      </c>
      <c r="C127" s="244">
        <v>26411</v>
      </c>
      <c r="D127" s="245">
        <v>42012.000006736111</v>
      </c>
      <c r="E127" s="245">
        <v>43108.000006736111</v>
      </c>
      <c r="F127" s="246">
        <v>250000000</v>
      </c>
      <c r="G127" s="246">
        <v>250000000</v>
      </c>
      <c r="H127" s="243">
        <v>1</v>
      </c>
      <c r="I127" s="234">
        <v>671</v>
      </c>
      <c r="J127" s="234">
        <v>101</v>
      </c>
      <c r="K127" s="234">
        <v>11.18</v>
      </c>
      <c r="L127" s="234">
        <f>VLOOKUP(2641,收盤價!A:C,3,0)</f>
        <v>7.5</v>
      </c>
      <c r="M127" s="234">
        <v>8945</v>
      </c>
      <c r="N127" s="234">
        <v>100</v>
      </c>
      <c r="O127" s="235">
        <v>9.9000000000000008E-3</v>
      </c>
      <c r="P127" s="235">
        <v>-0.50470000000000004</v>
      </c>
      <c r="Q127" s="235">
        <v>-0.11179429849077697</v>
      </c>
      <c r="R127" s="234">
        <f>VLOOKUP(26411,U:AC,9,0)</f>
        <v>23</v>
      </c>
      <c r="S127" s="234">
        <f>VLOOKUP(2641,季財報!A:N,8,0)</f>
        <v>2</v>
      </c>
      <c r="T127" s="234">
        <v>10502</v>
      </c>
      <c r="U127" s="234">
        <v>32881</v>
      </c>
      <c r="V127" s="234" t="s">
        <v>2826</v>
      </c>
      <c r="W127" s="234" t="s">
        <v>2827</v>
      </c>
      <c r="X127" s="234">
        <v>2000</v>
      </c>
      <c r="Y127" s="234">
        <v>2000</v>
      </c>
      <c r="Z127" s="234">
        <v>0</v>
      </c>
      <c r="AA127" s="234">
        <v>0</v>
      </c>
      <c r="AB127" s="234">
        <v>2000</v>
      </c>
      <c r="AC127" s="234">
        <v>25</v>
      </c>
      <c r="AD127" s="234">
        <v>0</v>
      </c>
    </row>
    <row r="128" spans="1:30" hidden="1">
      <c r="A128" s="244" t="s">
        <v>2197</v>
      </c>
      <c r="B128" s="244" t="s">
        <v>2198</v>
      </c>
      <c r="C128" s="244">
        <v>30292</v>
      </c>
      <c r="D128" s="245">
        <v>41778.000006736111</v>
      </c>
      <c r="E128" s="245">
        <v>43604.000006736111</v>
      </c>
      <c r="F128" s="246">
        <v>500000000</v>
      </c>
      <c r="G128" s="246">
        <v>30000000</v>
      </c>
      <c r="H128" s="243">
        <v>0.06</v>
      </c>
      <c r="I128" s="234">
        <v>1167</v>
      </c>
      <c r="J128" s="234">
        <v>106</v>
      </c>
      <c r="K128" s="234">
        <v>18</v>
      </c>
      <c r="L128" s="234">
        <f>VLOOKUP(3029,收盤價!A:C,3,0)</f>
        <v>18.55</v>
      </c>
      <c r="M128" s="234">
        <v>5556</v>
      </c>
      <c r="N128" s="234">
        <v>102.786</v>
      </c>
      <c r="O128" s="235">
        <v>3.0300000000000001E-2</v>
      </c>
      <c r="P128" s="235">
        <v>2.7E-2</v>
      </c>
      <c r="Q128" s="235">
        <v>-0.17998560115190784</v>
      </c>
      <c r="R128" s="234">
        <f>VLOOKUP(30292,U:AC,9,0)</f>
        <v>31</v>
      </c>
      <c r="S128" s="234">
        <f>VLOOKUP(3029,季財報!A:N,8,0)</f>
        <v>2</v>
      </c>
      <c r="T128" s="234">
        <v>10502</v>
      </c>
      <c r="U128" s="234">
        <v>32893</v>
      </c>
      <c r="V128" s="234" t="s">
        <v>2828</v>
      </c>
      <c r="W128" s="234" t="s">
        <v>2829</v>
      </c>
      <c r="X128" s="234">
        <v>3000</v>
      </c>
      <c r="Y128" s="234">
        <v>3000</v>
      </c>
      <c r="Z128" s="234">
        <v>0</v>
      </c>
      <c r="AA128" s="234">
        <v>0</v>
      </c>
      <c r="AB128" s="234">
        <v>3000</v>
      </c>
      <c r="AC128" s="234">
        <v>45</v>
      </c>
      <c r="AD128" s="234">
        <v>0</v>
      </c>
    </row>
    <row r="129" spans="1:30" hidden="1">
      <c r="A129" s="244" t="s">
        <v>2294</v>
      </c>
      <c r="B129" s="244" t="s">
        <v>2295</v>
      </c>
      <c r="C129" s="244">
        <v>43067</v>
      </c>
      <c r="D129" s="245">
        <v>41346.000006736111</v>
      </c>
      <c r="E129" s="245">
        <v>43172.000006736111</v>
      </c>
      <c r="F129" s="246">
        <v>300000000</v>
      </c>
      <c r="G129" s="246">
        <v>32300000</v>
      </c>
      <c r="H129" s="243">
        <v>0.11</v>
      </c>
      <c r="I129" s="234">
        <v>735</v>
      </c>
      <c r="J129" s="234">
        <v>101.9</v>
      </c>
      <c r="K129" s="234">
        <v>17.690000000000001</v>
      </c>
      <c r="L129" s="234">
        <f>VLOOKUP(4306,收盤價!A:C,3,0)</f>
        <v>12.85</v>
      </c>
      <c r="M129" s="234">
        <v>5653</v>
      </c>
      <c r="N129" s="234">
        <v>100</v>
      </c>
      <c r="O129" s="235">
        <v>1.8599999999999998E-2</v>
      </c>
      <c r="P129" s="235">
        <v>-0.42659999999999998</v>
      </c>
      <c r="Q129" s="235">
        <v>-0.17689722271360339</v>
      </c>
      <c r="R129" s="234">
        <f>VLOOKUP(43067,U:AC,9,0)</f>
        <v>14</v>
      </c>
      <c r="S129" s="234">
        <f>VLOOKUP(4306,季財報!A:N,8,0)</f>
        <v>0</v>
      </c>
      <c r="T129" s="234">
        <v>10502</v>
      </c>
      <c r="U129" s="234">
        <v>32994</v>
      </c>
      <c r="V129" s="234" t="s">
        <v>2830</v>
      </c>
      <c r="W129" s="234" t="s">
        <v>2831</v>
      </c>
      <c r="X129" s="234">
        <v>2242</v>
      </c>
      <c r="Y129" s="234">
        <v>2293</v>
      </c>
      <c r="Z129" s="234">
        <v>-51</v>
      </c>
      <c r="AA129" s="234">
        <v>-2.2200000000000002</v>
      </c>
      <c r="AB129" s="234">
        <v>3000</v>
      </c>
      <c r="AC129" s="234">
        <v>69</v>
      </c>
      <c r="AD129" s="234">
        <v>0</v>
      </c>
    </row>
    <row r="130" spans="1:30" hidden="1">
      <c r="A130" s="244" t="s">
        <v>2256</v>
      </c>
      <c r="B130" s="244" t="s">
        <v>2257</v>
      </c>
      <c r="C130" s="244">
        <v>36072</v>
      </c>
      <c r="D130" s="245">
        <v>42184.000006736111</v>
      </c>
      <c r="E130" s="245">
        <v>44011.000006736111</v>
      </c>
      <c r="F130" s="246">
        <v>800000000</v>
      </c>
      <c r="G130" s="246">
        <v>800000000</v>
      </c>
      <c r="H130" s="243">
        <v>1</v>
      </c>
      <c r="I130" s="234">
        <v>1574</v>
      </c>
      <c r="J130" s="234">
        <v>101.5</v>
      </c>
      <c r="K130" s="234">
        <v>66.72</v>
      </c>
      <c r="L130" s="234">
        <f>VLOOKUP(3607,收盤價!A:C,3,0)</f>
        <v>48.3</v>
      </c>
      <c r="M130" s="234">
        <v>1499</v>
      </c>
      <c r="N130" s="234">
        <v>100</v>
      </c>
      <c r="O130" s="235">
        <v>1.4800000000000001E-2</v>
      </c>
      <c r="P130" s="235">
        <v>-0.38279999999999997</v>
      </c>
      <c r="Q130" s="235">
        <v>-0.66711140760507015</v>
      </c>
      <c r="R130" s="234">
        <f>VLOOKUP(36072,U:AC,9,0)</f>
        <v>33</v>
      </c>
      <c r="S130" s="234">
        <f>VLOOKUP(3607,季財報!A:N,8,0)</f>
        <v>2</v>
      </c>
      <c r="T130" s="234">
        <v>10502</v>
      </c>
      <c r="U130" s="234">
        <v>33232</v>
      </c>
      <c r="V130" s="234" t="s">
        <v>2832</v>
      </c>
      <c r="W130" s="234" t="s">
        <v>2833</v>
      </c>
      <c r="X130" s="234">
        <v>385</v>
      </c>
      <c r="Y130" s="234">
        <v>385</v>
      </c>
      <c r="Z130" s="234">
        <v>0</v>
      </c>
      <c r="AA130" s="234">
        <v>0</v>
      </c>
      <c r="AB130" s="234">
        <v>5000</v>
      </c>
      <c r="AC130" s="234">
        <v>12</v>
      </c>
      <c r="AD130" s="234">
        <v>0</v>
      </c>
    </row>
    <row r="131" spans="1:30" hidden="1">
      <c r="A131" s="244" t="s">
        <v>2234</v>
      </c>
      <c r="B131" s="244" t="s">
        <v>314</v>
      </c>
      <c r="C131" s="244">
        <v>34841</v>
      </c>
      <c r="D131" s="245">
        <v>41935.000006736111</v>
      </c>
      <c r="E131" s="245">
        <v>43031.000006736111</v>
      </c>
      <c r="F131" s="246">
        <v>200000000</v>
      </c>
      <c r="G131" s="246">
        <v>117700000</v>
      </c>
      <c r="H131" s="243">
        <v>0.59</v>
      </c>
      <c r="I131" s="234">
        <v>594</v>
      </c>
      <c r="J131" s="234">
        <v>146</v>
      </c>
      <c r="K131" s="234">
        <v>34</v>
      </c>
      <c r="L131" s="234">
        <f>VLOOKUP(3484,收盤價!A:C,3,0)</f>
        <v>49.75</v>
      </c>
      <c r="M131" s="234">
        <v>2941</v>
      </c>
      <c r="N131" s="234">
        <v>149.99100000000001</v>
      </c>
      <c r="O131" s="235">
        <v>-2.7300000000000001E-2</v>
      </c>
      <c r="P131" s="235">
        <v>0.33329999999999999</v>
      </c>
      <c r="Q131" s="235">
        <v>-0.34002040122407345</v>
      </c>
      <c r="R131" s="234">
        <f>VLOOKUP(34841,U:AC,9,0)</f>
        <v>15</v>
      </c>
      <c r="S131" s="234">
        <f>VLOOKUP(3484,季財報!A:N,8,0)</f>
        <v>1</v>
      </c>
      <c r="T131" s="234">
        <v>10502</v>
      </c>
      <c r="U131" s="234">
        <v>33252</v>
      </c>
      <c r="V131" s="234" t="s">
        <v>2834</v>
      </c>
      <c r="W131" s="234" t="s">
        <v>2835</v>
      </c>
      <c r="X131" s="234">
        <v>990</v>
      </c>
      <c r="Y131" s="234">
        <v>990</v>
      </c>
      <c r="Z131" s="234">
        <v>0</v>
      </c>
      <c r="AA131" s="234">
        <v>0</v>
      </c>
      <c r="AB131" s="234">
        <v>1000</v>
      </c>
      <c r="AC131" s="234">
        <v>5</v>
      </c>
      <c r="AD131" s="234">
        <v>0</v>
      </c>
    </row>
    <row r="132" spans="1:30" hidden="1">
      <c r="A132" s="244" t="s">
        <v>2259</v>
      </c>
      <c r="B132" s="244" t="s">
        <v>333</v>
      </c>
      <c r="C132" s="244">
        <v>36111</v>
      </c>
      <c r="D132" s="245">
        <v>42369.000006736111</v>
      </c>
      <c r="E132" s="245">
        <v>43465.000006736111</v>
      </c>
      <c r="F132" s="246">
        <v>1200000000</v>
      </c>
      <c r="G132" s="246">
        <v>1200000000</v>
      </c>
      <c r="H132" s="243">
        <v>1</v>
      </c>
      <c r="I132" s="234">
        <v>1028</v>
      </c>
      <c r="J132" s="234">
        <v>100.1</v>
      </c>
      <c r="K132" s="234">
        <v>342.8</v>
      </c>
      <c r="L132" s="234">
        <f>VLOOKUP(3611,收盤價!A:C,3,0)</f>
        <v>278</v>
      </c>
      <c r="M132" s="234">
        <v>292</v>
      </c>
      <c r="N132" s="234">
        <v>100</v>
      </c>
      <c r="O132" s="235">
        <v>1E-3</v>
      </c>
      <c r="P132" s="235">
        <v>-8.3099999999999993E-2</v>
      </c>
      <c r="Q132" s="235">
        <v>-3.4246575342465757</v>
      </c>
      <c r="R132" s="234">
        <f>VLOOKUP(36111,U:AC,9,0)</f>
        <v>79</v>
      </c>
      <c r="S132" s="234">
        <f>VLOOKUP(3611,季財報!A:N,8,0)</f>
        <v>3</v>
      </c>
      <c r="T132" s="234">
        <v>10502</v>
      </c>
      <c r="U132" s="234">
        <v>33381</v>
      </c>
      <c r="V132" s="234" t="s">
        <v>2836</v>
      </c>
      <c r="W132" s="234" t="s">
        <v>2837</v>
      </c>
      <c r="X132" s="234">
        <v>2985</v>
      </c>
      <c r="Y132" s="234">
        <v>2985</v>
      </c>
      <c r="Z132" s="234">
        <v>0</v>
      </c>
      <c r="AA132" s="234">
        <v>0</v>
      </c>
      <c r="AB132" s="234">
        <v>3000</v>
      </c>
      <c r="AC132" s="234">
        <v>21</v>
      </c>
      <c r="AD132" s="234">
        <v>0</v>
      </c>
    </row>
    <row r="133" spans="1:30" hidden="1">
      <c r="A133" s="244" t="s">
        <v>2193</v>
      </c>
      <c r="B133" s="244" t="s">
        <v>2194</v>
      </c>
      <c r="C133" s="244">
        <v>30182</v>
      </c>
      <c r="D133" s="245">
        <v>41963.000006736111</v>
      </c>
      <c r="E133" s="245">
        <v>43059.000006736111</v>
      </c>
      <c r="F133" s="246">
        <v>115000000</v>
      </c>
      <c r="G133" s="246">
        <v>84300000</v>
      </c>
      <c r="H133" s="243">
        <v>0.73</v>
      </c>
      <c r="I133" s="234">
        <v>622</v>
      </c>
      <c r="J133" s="234">
        <v>101.05</v>
      </c>
      <c r="K133" s="234">
        <v>20</v>
      </c>
      <c r="L133" s="234">
        <f>VLOOKUP(3018,收盤價!A:C,3,0)</f>
        <v>17.45</v>
      </c>
      <c r="M133" s="234">
        <v>5000</v>
      </c>
      <c r="N133" s="234">
        <v>100</v>
      </c>
      <c r="O133" s="235">
        <v>1.04E-2</v>
      </c>
      <c r="P133" s="235">
        <v>-0.1236</v>
      </c>
      <c r="Q133" s="235">
        <v>-0.2</v>
      </c>
      <c r="R133" s="234">
        <f>VLOOKUP(30182,U:AC,9,0)</f>
        <v>18</v>
      </c>
      <c r="S133" s="234">
        <f>VLOOKUP(3018,季財報!A:N,8,0)</f>
        <v>0</v>
      </c>
      <c r="T133" s="234">
        <v>10502</v>
      </c>
      <c r="U133" s="234">
        <v>33392</v>
      </c>
      <c r="V133" s="234" t="s">
        <v>2838</v>
      </c>
      <c r="W133" s="234" t="s">
        <v>2839</v>
      </c>
      <c r="X133" s="234">
        <v>8000</v>
      </c>
      <c r="Y133" s="234">
        <v>8000</v>
      </c>
      <c r="Z133" s="234">
        <v>0</v>
      </c>
      <c r="AA133" s="234">
        <v>0</v>
      </c>
      <c r="AB133" s="234">
        <v>8000</v>
      </c>
      <c r="AC133" s="234">
        <v>34</v>
      </c>
      <c r="AD133" s="234">
        <v>0</v>
      </c>
    </row>
    <row r="134" spans="1:30">
      <c r="A134" s="244" t="s">
        <v>2325</v>
      </c>
      <c r="B134" s="244" t="s">
        <v>1611</v>
      </c>
      <c r="C134" s="244">
        <v>49911</v>
      </c>
      <c r="D134" s="245">
        <v>42137.000006736111</v>
      </c>
      <c r="E134" s="245">
        <v>43233.000006736111</v>
      </c>
      <c r="F134" s="246">
        <v>300000000</v>
      </c>
      <c r="G134" s="246">
        <v>285300000</v>
      </c>
      <c r="H134" s="243">
        <v>0.95</v>
      </c>
      <c r="I134" s="234">
        <v>796</v>
      </c>
      <c r="J134" s="234">
        <v>141</v>
      </c>
      <c r="K134" s="234">
        <v>65.099999999999994</v>
      </c>
      <c r="L134" s="234">
        <f>VLOOKUP(4991,收盤價!A:C,3,0)</f>
        <v>89.9</v>
      </c>
      <c r="M134" s="234">
        <v>1536</v>
      </c>
      <c r="N134" s="234">
        <v>132.4032</v>
      </c>
      <c r="O134" s="235">
        <v>6.0999999999999999E-2</v>
      </c>
      <c r="P134" s="235">
        <v>0.24479999999999999</v>
      </c>
      <c r="Q134" s="235">
        <v>-0.65104166666666663</v>
      </c>
      <c r="R134" s="234">
        <f>VLOOKUP(49911,U:AC,9,0)</f>
        <v>6</v>
      </c>
      <c r="S134" s="234">
        <f>VLOOKUP(4991,季財報!A:N,8,0)</f>
        <v>4</v>
      </c>
      <c r="T134" s="234">
        <v>10502</v>
      </c>
      <c r="U134" s="234">
        <v>33393</v>
      </c>
      <c r="V134" s="234" t="s">
        <v>2840</v>
      </c>
      <c r="W134" s="234" t="s">
        <v>2839</v>
      </c>
      <c r="X134" s="234">
        <v>2000</v>
      </c>
      <c r="Y134" s="234">
        <v>2000</v>
      </c>
      <c r="Z134" s="234">
        <v>0</v>
      </c>
      <c r="AA134" s="234">
        <v>0</v>
      </c>
      <c r="AB134" s="234">
        <v>2000</v>
      </c>
      <c r="AC134" s="234">
        <v>20</v>
      </c>
      <c r="AD134" s="234">
        <v>0</v>
      </c>
    </row>
    <row r="135" spans="1:30" hidden="1">
      <c r="A135" s="244" t="s">
        <v>2054</v>
      </c>
      <c r="B135" s="244" t="s">
        <v>247</v>
      </c>
      <c r="C135" s="244">
        <v>13361</v>
      </c>
      <c r="D135" s="245">
        <v>41892.000006736111</v>
      </c>
      <c r="E135" s="245">
        <v>42988.000006736111</v>
      </c>
      <c r="F135" s="246">
        <v>350000000</v>
      </c>
      <c r="G135" s="246">
        <v>350000000</v>
      </c>
      <c r="H135" s="243">
        <v>1</v>
      </c>
      <c r="I135" s="234">
        <v>551</v>
      </c>
      <c r="J135" s="234">
        <v>101.5</v>
      </c>
      <c r="K135" s="234">
        <v>16.579999999999998</v>
      </c>
      <c r="L135" s="234">
        <f>VLOOKUP(1336,收盤價!A:C,3,0)</f>
        <v>8.16</v>
      </c>
      <c r="M135" s="234">
        <v>6031</v>
      </c>
      <c r="N135" s="234">
        <v>100</v>
      </c>
      <c r="O135" s="235">
        <v>1.4800000000000001E-2</v>
      </c>
      <c r="P135" s="235">
        <v>-1.0444</v>
      </c>
      <c r="Q135" s="235">
        <v>-0.165809981760902</v>
      </c>
      <c r="R135" s="234">
        <f>VLOOKUP(13361,U:AC,9,0)</f>
        <v>13</v>
      </c>
      <c r="S135" s="234">
        <f>VLOOKUP(1336,季財報!A:N,8,0)</f>
        <v>2</v>
      </c>
      <c r="T135" s="234">
        <v>10502</v>
      </c>
      <c r="U135" s="234">
        <v>33835</v>
      </c>
      <c r="V135" s="234" t="s">
        <v>2841</v>
      </c>
      <c r="W135" s="234" t="s">
        <v>2842</v>
      </c>
      <c r="X135" s="234">
        <v>6000</v>
      </c>
      <c r="Y135" s="234">
        <v>6000</v>
      </c>
      <c r="Z135" s="234">
        <v>0</v>
      </c>
      <c r="AA135" s="234">
        <v>0</v>
      </c>
      <c r="AB135" s="234">
        <v>6000</v>
      </c>
      <c r="AC135" s="234">
        <v>16</v>
      </c>
      <c r="AD135" s="234">
        <v>0</v>
      </c>
    </row>
    <row r="136" spans="1:30" hidden="1">
      <c r="A136" s="244" t="s">
        <v>2239</v>
      </c>
      <c r="B136" s="244" t="s">
        <v>1960</v>
      </c>
      <c r="C136" s="244">
        <v>35262</v>
      </c>
      <c r="D136" s="245">
        <v>41578.000006736111</v>
      </c>
      <c r="E136" s="245">
        <v>42674.000006736111</v>
      </c>
      <c r="F136" s="246">
        <v>200000000</v>
      </c>
      <c r="G136" s="246">
        <v>32300000</v>
      </c>
      <c r="H136" s="243">
        <v>0.16</v>
      </c>
      <c r="I136" s="234">
        <v>237</v>
      </c>
      <c r="J136" s="234">
        <v>155</v>
      </c>
      <c r="K136" s="234">
        <v>23.12</v>
      </c>
      <c r="L136" s="234">
        <f>VLOOKUP(3526,收盤價!A:C,3,0)</f>
        <v>32.799999999999997</v>
      </c>
      <c r="M136" s="234">
        <v>4325</v>
      </c>
      <c r="N136" s="234">
        <v>150.72624999999999</v>
      </c>
      <c r="O136" s="235">
        <v>2.76E-2</v>
      </c>
      <c r="P136" s="235">
        <v>0.33660000000000001</v>
      </c>
      <c r="Q136" s="235">
        <v>-0.23121387283236994</v>
      </c>
      <c r="R136" s="234">
        <f>VLOOKUP(35262,U:AC,9,0)</f>
        <v>10</v>
      </c>
      <c r="S136" s="234">
        <f>VLOOKUP(3526,季財報!A:N,8,0)</f>
        <v>4</v>
      </c>
      <c r="T136" s="234">
        <v>10502</v>
      </c>
      <c r="U136" s="234">
        <v>34382</v>
      </c>
      <c r="V136" s="234" t="s">
        <v>2843</v>
      </c>
      <c r="W136" s="234" t="s">
        <v>2844</v>
      </c>
      <c r="X136" s="234">
        <v>2918</v>
      </c>
      <c r="Y136" s="234">
        <v>2918</v>
      </c>
      <c r="Z136" s="234">
        <v>0</v>
      </c>
      <c r="AA136" s="234">
        <v>0</v>
      </c>
      <c r="AB136" s="234">
        <v>3000</v>
      </c>
      <c r="AC136" s="234">
        <v>5</v>
      </c>
      <c r="AD136" s="234">
        <v>0</v>
      </c>
    </row>
    <row r="137" spans="1:30" hidden="1">
      <c r="A137" s="244" t="s">
        <v>2342</v>
      </c>
      <c r="B137" s="244" t="s">
        <v>1962</v>
      </c>
      <c r="C137" s="244">
        <v>54755</v>
      </c>
      <c r="D137" s="245">
        <v>41061.000006736111</v>
      </c>
      <c r="E137" s="245">
        <v>42887.000006736111</v>
      </c>
      <c r="F137" s="246">
        <v>200000000</v>
      </c>
      <c r="G137" s="246">
        <v>3800000</v>
      </c>
      <c r="H137" s="243">
        <v>0.02</v>
      </c>
      <c r="I137" s="234">
        <v>450</v>
      </c>
      <c r="J137" s="234">
        <v>101.2</v>
      </c>
      <c r="K137" s="234">
        <v>9.6300000000000008</v>
      </c>
      <c r="L137" s="234">
        <f>VLOOKUP(5475,收盤價!A:C,3,0)</f>
        <v>3.81</v>
      </c>
      <c r="M137" s="234">
        <v>10384</v>
      </c>
      <c r="N137" s="234">
        <v>100</v>
      </c>
      <c r="O137" s="235">
        <v>1.1900000000000001E-2</v>
      </c>
      <c r="P137" s="235">
        <v>-2.0474999999999999</v>
      </c>
      <c r="Q137" s="235">
        <v>-9.6302003081664089E-2</v>
      </c>
      <c r="R137" s="234">
        <f>VLOOKUP(54755,U:AC,9,0)</f>
        <v>4</v>
      </c>
      <c r="S137" s="234">
        <f>VLOOKUP(5475,季財報!A:N,8,0)</f>
        <v>1</v>
      </c>
      <c r="T137" s="234">
        <v>10502</v>
      </c>
      <c r="U137" s="234">
        <v>34652</v>
      </c>
      <c r="V137" s="234" t="s">
        <v>2845</v>
      </c>
      <c r="W137" s="234" t="s">
        <v>2846</v>
      </c>
      <c r="X137" s="234">
        <v>109</v>
      </c>
      <c r="Y137" s="234">
        <v>153</v>
      </c>
      <c r="Z137" s="234">
        <v>-44</v>
      </c>
      <c r="AA137" s="234">
        <v>-28.76</v>
      </c>
      <c r="AB137" s="234">
        <v>500</v>
      </c>
      <c r="AC137" s="234">
        <v>4</v>
      </c>
      <c r="AD137" s="234">
        <v>0</v>
      </c>
    </row>
    <row r="138" spans="1:30">
      <c r="A138" s="244" t="s">
        <v>2264</v>
      </c>
      <c r="B138" s="244" t="s">
        <v>2265</v>
      </c>
      <c r="C138" s="244">
        <v>36652</v>
      </c>
      <c r="D138" s="245">
        <v>41850.000006736111</v>
      </c>
      <c r="E138" s="245">
        <v>42946.000006736111</v>
      </c>
      <c r="F138" s="246">
        <v>200000000</v>
      </c>
      <c r="G138" s="246">
        <v>160500000</v>
      </c>
      <c r="H138" s="243">
        <v>0.8</v>
      </c>
      <c r="I138" s="234">
        <v>509</v>
      </c>
      <c r="J138" s="234">
        <v>136</v>
      </c>
      <c r="K138" s="234">
        <v>124.1</v>
      </c>
      <c r="L138" s="234">
        <f>VLOOKUP(3665,收盤價!A:C,3,0)</f>
        <v>153</v>
      </c>
      <c r="M138" s="234">
        <v>806</v>
      </c>
      <c r="N138" s="234">
        <v>130.97499999999999</v>
      </c>
      <c r="O138" s="235">
        <v>3.6900000000000002E-2</v>
      </c>
      <c r="P138" s="235">
        <v>0.23630000000000001</v>
      </c>
      <c r="Q138" s="235">
        <v>-1.2406947890818858</v>
      </c>
      <c r="R138" s="234">
        <f>VLOOKUP(36652,U:AC,9,0)</f>
        <v>39</v>
      </c>
      <c r="S138" s="234">
        <f>VLOOKUP(3665,季財報!A:N,8,0)</f>
        <v>3</v>
      </c>
      <c r="T138" s="234">
        <v>10502</v>
      </c>
      <c r="U138" s="234">
        <v>34841</v>
      </c>
      <c r="V138" s="234" t="s">
        <v>2847</v>
      </c>
      <c r="W138" s="234" t="s">
        <v>2848</v>
      </c>
      <c r="X138" s="234">
        <v>1172</v>
      </c>
      <c r="Y138" s="234">
        <v>1177</v>
      </c>
      <c r="Z138" s="234">
        <v>-5</v>
      </c>
      <c r="AA138" s="234">
        <v>-0.42</v>
      </c>
      <c r="AB138" s="234">
        <v>2000</v>
      </c>
      <c r="AC138" s="234">
        <v>15</v>
      </c>
      <c r="AD138" s="234">
        <v>0</v>
      </c>
    </row>
    <row r="139" spans="1:30" hidden="1">
      <c r="A139" s="244" t="s">
        <v>2443</v>
      </c>
      <c r="B139" s="244" t="s">
        <v>2444</v>
      </c>
      <c r="C139" s="244">
        <v>99411</v>
      </c>
      <c r="D139" s="245">
        <v>41080.000006736111</v>
      </c>
      <c r="E139" s="245">
        <v>42906.000006736111</v>
      </c>
      <c r="F139" s="246">
        <v>2500000000</v>
      </c>
      <c r="G139" s="246">
        <v>376100000</v>
      </c>
      <c r="H139" s="243">
        <v>0.15</v>
      </c>
      <c r="I139" s="234">
        <v>469</v>
      </c>
      <c r="J139" s="234">
        <v>128.5</v>
      </c>
      <c r="K139" s="234">
        <v>59.21</v>
      </c>
      <c r="L139" s="234">
        <f>VLOOKUP(9941,收盤價!A:C,3,0)</f>
        <v>75.400000000000006</v>
      </c>
      <c r="M139" s="234">
        <v>1689</v>
      </c>
      <c r="N139" s="234">
        <v>128.53289999999998</v>
      </c>
      <c r="O139" s="235">
        <v>-2.9999999999999997E-4</v>
      </c>
      <c r="P139" s="235">
        <v>0.22189999999999999</v>
      </c>
      <c r="Q139" s="235">
        <v>-0.59206631142687982</v>
      </c>
      <c r="R139" s="234">
        <f>VLOOKUP(99411,U:AC,9,0)</f>
        <v>84</v>
      </c>
      <c r="S139" s="234">
        <f>VLOOKUP(9941,季財報!A:N,8,0)</f>
        <v>0</v>
      </c>
      <c r="T139" s="234">
        <v>10502</v>
      </c>
      <c r="U139" s="234">
        <v>34941</v>
      </c>
      <c r="V139" s="234" t="s">
        <v>2849</v>
      </c>
      <c r="W139" s="234" t="s">
        <v>2850</v>
      </c>
      <c r="X139" s="234">
        <v>134</v>
      </c>
      <c r="Y139" s="234">
        <v>134</v>
      </c>
      <c r="Z139" s="234">
        <v>0</v>
      </c>
      <c r="AA139" s="234">
        <v>0</v>
      </c>
      <c r="AB139" s="234">
        <v>5000</v>
      </c>
      <c r="AC139" s="234">
        <v>14</v>
      </c>
      <c r="AD139" s="234">
        <v>0</v>
      </c>
    </row>
    <row r="140" spans="1:30" hidden="1">
      <c r="A140" s="244" t="s">
        <v>2289</v>
      </c>
      <c r="B140" s="244" t="s">
        <v>351</v>
      </c>
      <c r="C140" s="244">
        <v>41532</v>
      </c>
      <c r="D140" s="245">
        <v>42116.000006736111</v>
      </c>
      <c r="E140" s="245">
        <v>43212.000006736111</v>
      </c>
      <c r="F140" s="246">
        <v>300000000</v>
      </c>
      <c r="G140" s="246">
        <v>300000000</v>
      </c>
      <c r="H140" s="243">
        <v>1</v>
      </c>
      <c r="I140" s="234">
        <v>775</v>
      </c>
      <c r="J140" s="234">
        <v>102.5</v>
      </c>
      <c r="K140" s="234">
        <v>104.4</v>
      </c>
      <c r="L140" s="234">
        <f>VLOOKUP(4153,收盤價!A:C,3,0)</f>
        <v>70.5</v>
      </c>
      <c r="M140" s="234">
        <v>958</v>
      </c>
      <c r="N140" s="234">
        <v>100</v>
      </c>
      <c r="O140" s="235">
        <v>2.4400000000000002E-2</v>
      </c>
      <c r="P140" s="235">
        <v>-0.48930000000000001</v>
      </c>
      <c r="Q140" s="235">
        <v>-1.0438413361169101</v>
      </c>
      <c r="R140" s="234">
        <f>VLOOKUP(41532,U:AC,9,0)</f>
        <v>44</v>
      </c>
      <c r="S140" s="234">
        <f>VLOOKUP(4153,季財報!A:N,8,0)</f>
        <v>3</v>
      </c>
      <c r="T140" s="234">
        <v>10502</v>
      </c>
      <c r="U140" s="234">
        <v>35141</v>
      </c>
      <c r="V140" s="234" t="s">
        <v>2851</v>
      </c>
      <c r="W140" s="234" t="s">
        <v>2852</v>
      </c>
      <c r="X140" s="234">
        <v>4</v>
      </c>
      <c r="Y140" s="234">
        <v>4</v>
      </c>
      <c r="Z140" s="234">
        <v>0</v>
      </c>
      <c r="AA140" s="234">
        <v>0</v>
      </c>
      <c r="AB140" s="234">
        <v>6200</v>
      </c>
      <c r="AC140" s="234">
        <v>3</v>
      </c>
      <c r="AD140" s="234">
        <v>0</v>
      </c>
    </row>
    <row r="141" spans="1:30" hidden="1">
      <c r="A141" s="244" t="s">
        <v>2435</v>
      </c>
      <c r="B141" s="244" t="s">
        <v>2436</v>
      </c>
      <c r="C141" s="244">
        <v>89963</v>
      </c>
      <c r="D141" s="245">
        <v>41500.000006736111</v>
      </c>
      <c r="E141" s="245">
        <v>43326.000006736111</v>
      </c>
      <c r="F141" s="246">
        <v>100000000</v>
      </c>
      <c r="G141" s="246">
        <v>62100000</v>
      </c>
      <c r="H141" s="243">
        <v>0.62</v>
      </c>
      <c r="I141" s="234">
        <v>889</v>
      </c>
      <c r="J141" s="234">
        <v>106.8</v>
      </c>
      <c r="K141" s="234">
        <v>66.099999999999994</v>
      </c>
      <c r="L141" s="234">
        <f>VLOOKUP(8996,收盤價!A:C,3,0)</f>
        <v>60.2</v>
      </c>
      <c r="M141" s="234">
        <v>1513</v>
      </c>
      <c r="N141" s="234">
        <v>100</v>
      </c>
      <c r="O141" s="235">
        <v>6.3700000000000007E-2</v>
      </c>
      <c r="P141" s="235">
        <v>-5.2499999999999998E-2</v>
      </c>
      <c r="Q141" s="235">
        <v>-0.66093853271645742</v>
      </c>
      <c r="R141" s="234">
        <f>VLOOKUP(89963,U:AC,9,0)</f>
        <v>13</v>
      </c>
      <c r="S141" s="234">
        <f>VLOOKUP(8996,季財報!A:N,8,0)</f>
        <v>1</v>
      </c>
      <c r="T141" s="234">
        <v>10502</v>
      </c>
      <c r="U141" s="234">
        <v>35142</v>
      </c>
      <c r="V141" s="234" t="s">
        <v>2853</v>
      </c>
      <c r="W141" s="234" t="s">
        <v>2852</v>
      </c>
      <c r="X141" s="234">
        <v>17</v>
      </c>
      <c r="Y141" s="234">
        <v>24</v>
      </c>
      <c r="Z141" s="234">
        <v>-7</v>
      </c>
      <c r="AA141" s="234">
        <v>-29.17</v>
      </c>
      <c r="AB141" s="234">
        <v>5000</v>
      </c>
      <c r="AC141" s="234">
        <v>3</v>
      </c>
      <c r="AD141" s="234">
        <v>0</v>
      </c>
    </row>
    <row r="142" spans="1:30" hidden="1">
      <c r="A142" s="244" t="s">
        <v>2327</v>
      </c>
      <c r="B142" s="244" t="s">
        <v>1995</v>
      </c>
      <c r="C142" s="244">
        <v>52135</v>
      </c>
      <c r="D142" s="245">
        <v>41736.000006736111</v>
      </c>
      <c r="E142" s="245">
        <v>42832.000006736111</v>
      </c>
      <c r="F142" s="246">
        <v>400000000</v>
      </c>
      <c r="G142" s="246">
        <v>400000000</v>
      </c>
      <c r="H142" s="243">
        <v>1</v>
      </c>
      <c r="I142" s="234">
        <v>395</v>
      </c>
      <c r="J142" s="234">
        <v>101.9</v>
      </c>
      <c r="K142" s="234">
        <v>19.61</v>
      </c>
      <c r="L142" s="234">
        <f>VLOOKUP(5213,收盤價!A:C,3,0)</f>
        <v>14.85</v>
      </c>
      <c r="M142" s="234">
        <v>5099</v>
      </c>
      <c r="N142" s="234">
        <v>100</v>
      </c>
      <c r="O142" s="235">
        <v>1.8599999999999998E-2</v>
      </c>
      <c r="P142" s="235">
        <v>-0.35239999999999999</v>
      </c>
      <c r="Q142" s="235">
        <v>-0.19611688566385566</v>
      </c>
      <c r="R142" s="234">
        <f>VLOOKUP(52135,U:AC,9,0)</f>
        <v>16</v>
      </c>
      <c r="S142" s="234">
        <f>VLOOKUP(5213,季財報!A:N,8,0)</f>
        <v>1</v>
      </c>
      <c r="T142" s="234">
        <v>10502</v>
      </c>
      <c r="U142" s="234">
        <v>35262</v>
      </c>
      <c r="V142" s="234" t="s">
        <v>2854</v>
      </c>
      <c r="W142" s="234" t="s">
        <v>2855</v>
      </c>
      <c r="X142" s="234">
        <v>288</v>
      </c>
      <c r="Y142" s="234">
        <v>320</v>
      </c>
      <c r="Z142" s="234">
        <v>-32</v>
      </c>
      <c r="AA142" s="234">
        <v>-10</v>
      </c>
      <c r="AB142" s="234">
        <v>2000</v>
      </c>
      <c r="AC142" s="234">
        <v>10</v>
      </c>
      <c r="AD142" s="234">
        <v>0</v>
      </c>
    </row>
    <row r="143" spans="1:30" hidden="1">
      <c r="A143" s="244" t="s">
        <v>2164</v>
      </c>
      <c r="B143" s="244" t="s">
        <v>2165</v>
      </c>
      <c r="C143" s="244">
        <v>26011</v>
      </c>
      <c r="D143" s="245">
        <v>42041.000006736111</v>
      </c>
      <c r="E143" s="245">
        <v>43137.000006736111</v>
      </c>
      <c r="F143" s="246">
        <v>900000000</v>
      </c>
      <c r="G143" s="246">
        <v>900000000</v>
      </c>
      <c r="H143" s="243">
        <v>1</v>
      </c>
      <c r="I143" s="234">
        <v>700</v>
      </c>
      <c r="J143" s="234">
        <v>101.6</v>
      </c>
      <c r="K143" s="234">
        <v>17.399999999999999</v>
      </c>
      <c r="L143" s="234">
        <f>VLOOKUP(2601,收盤價!A:C,3,0)</f>
        <v>9.34</v>
      </c>
      <c r="M143" s="234">
        <v>5747</v>
      </c>
      <c r="N143" s="234">
        <v>100</v>
      </c>
      <c r="O143" s="235">
        <v>1.5699999999999999E-2</v>
      </c>
      <c r="P143" s="235">
        <v>-0.86699999999999999</v>
      </c>
      <c r="Q143" s="235">
        <v>-0.17400382808421785</v>
      </c>
      <c r="R143" s="234">
        <f>VLOOKUP(26011,U:AC,9,0)</f>
        <v>27</v>
      </c>
      <c r="S143" s="234">
        <f>VLOOKUP(2601,季財報!A:N,8,0)</f>
        <v>0</v>
      </c>
      <c r="T143" s="234">
        <v>10502</v>
      </c>
      <c r="U143" s="234">
        <v>35352</v>
      </c>
      <c r="V143" s="234" t="s">
        <v>2856</v>
      </c>
      <c r="W143" s="234" t="s">
        <v>2857</v>
      </c>
      <c r="X143" s="234">
        <v>2000</v>
      </c>
      <c r="Y143" s="234">
        <v>2000</v>
      </c>
      <c r="Z143" s="234">
        <v>0</v>
      </c>
      <c r="AA143" s="234">
        <v>0</v>
      </c>
      <c r="AB143" s="234">
        <v>2000</v>
      </c>
      <c r="AC143" s="234">
        <v>12</v>
      </c>
      <c r="AD143" s="234">
        <v>0</v>
      </c>
    </row>
    <row r="144" spans="1:30" hidden="1">
      <c r="A144" s="244" t="s">
        <v>2302</v>
      </c>
      <c r="B144" s="244" t="s">
        <v>1969</v>
      </c>
      <c r="C144" s="244">
        <v>45411</v>
      </c>
      <c r="D144" s="245">
        <v>41999.000006736111</v>
      </c>
      <c r="E144" s="245">
        <v>43095.000006736111</v>
      </c>
      <c r="F144" s="246">
        <v>300000000</v>
      </c>
      <c r="G144" s="246">
        <v>300000000</v>
      </c>
      <c r="H144" s="243">
        <v>1</v>
      </c>
      <c r="I144" s="234">
        <v>658</v>
      </c>
      <c r="J144" s="234">
        <v>104</v>
      </c>
      <c r="K144" s="234">
        <v>47.8</v>
      </c>
      <c r="L144" s="234">
        <f>VLOOKUP(4541,收盤價!A:C,3,0)</f>
        <v>33.200000000000003</v>
      </c>
      <c r="M144" s="234">
        <v>2092</v>
      </c>
      <c r="N144" s="234">
        <v>100</v>
      </c>
      <c r="O144" s="235">
        <v>3.85E-2</v>
      </c>
      <c r="P144" s="235">
        <v>-0.44190000000000002</v>
      </c>
      <c r="Q144" s="235">
        <v>-0.47801147227533458</v>
      </c>
      <c r="R144" s="234">
        <f>VLOOKUP(45411,U:AC,9,0)</f>
        <v>19</v>
      </c>
      <c r="S144" s="234">
        <f>VLOOKUP(4541,季財報!A:N,8,0)</f>
        <v>2</v>
      </c>
      <c r="T144" s="234">
        <v>10502</v>
      </c>
      <c r="U144" s="234">
        <v>35451</v>
      </c>
      <c r="V144" s="234" t="s">
        <v>2858</v>
      </c>
      <c r="W144" s="234" t="s">
        <v>2859</v>
      </c>
      <c r="X144" s="234">
        <v>9962</v>
      </c>
      <c r="Y144" s="234">
        <v>9962</v>
      </c>
      <c r="Z144" s="234">
        <v>0</v>
      </c>
      <c r="AA144" s="234">
        <v>0</v>
      </c>
      <c r="AB144" s="234">
        <v>10000</v>
      </c>
      <c r="AC144" s="234">
        <v>91</v>
      </c>
      <c r="AD144" s="234">
        <v>0</v>
      </c>
    </row>
    <row r="145" spans="1:30" hidden="1">
      <c r="A145" s="244" t="s">
        <v>2177</v>
      </c>
      <c r="B145" s="244" t="s">
        <v>1434</v>
      </c>
      <c r="C145" s="244">
        <v>26401</v>
      </c>
      <c r="D145" s="245">
        <v>41799.000006736111</v>
      </c>
      <c r="E145" s="245">
        <v>42895.000006736111</v>
      </c>
      <c r="F145" s="246">
        <v>1000000000</v>
      </c>
      <c r="G145" s="246">
        <v>999600000</v>
      </c>
      <c r="H145" s="243">
        <v>1</v>
      </c>
      <c r="I145" s="234">
        <v>458</v>
      </c>
      <c r="J145" s="234">
        <v>101.55</v>
      </c>
      <c r="K145" s="234">
        <v>110.4</v>
      </c>
      <c r="L145" s="234">
        <f>VLOOKUP(2640,收盤價!A:C,3,0)</f>
        <v>62.1</v>
      </c>
      <c r="M145" s="234">
        <v>906</v>
      </c>
      <c r="N145" s="234">
        <v>100</v>
      </c>
      <c r="O145" s="235">
        <v>1.5299999999999999E-2</v>
      </c>
      <c r="P145" s="235">
        <v>-0.76080000000000003</v>
      </c>
      <c r="Q145" s="235">
        <v>-1.1037527593818985</v>
      </c>
      <c r="R145" s="234">
        <f>VLOOKUP(26401,U:AC,9,0)</f>
        <v>41</v>
      </c>
      <c r="S145" s="234">
        <f>VLOOKUP(2640,季財報!A:N,8,0)</f>
        <v>0</v>
      </c>
      <c r="T145" s="234">
        <v>10502</v>
      </c>
      <c r="U145" s="234">
        <v>35571</v>
      </c>
      <c r="V145" s="234" t="s">
        <v>2860</v>
      </c>
      <c r="W145" s="234" t="s">
        <v>2861</v>
      </c>
      <c r="X145" s="234">
        <v>1500</v>
      </c>
      <c r="Y145" s="234">
        <v>1500</v>
      </c>
      <c r="Z145" s="234">
        <v>0</v>
      </c>
      <c r="AA145" s="234">
        <v>0</v>
      </c>
      <c r="AB145" s="234">
        <v>1500</v>
      </c>
      <c r="AC145" s="234">
        <v>11</v>
      </c>
      <c r="AD145" s="234">
        <v>0</v>
      </c>
    </row>
    <row r="146" spans="1:30" hidden="1">
      <c r="A146" s="244" t="s">
        <v>2263</v>
      </c>
      <c r="B146" s="244" t="s">
        <v>1991</v>
      </c>
      <c r="C146" s="244">
        <v>36631</v>
      </c>
      <c r="D146" s="245">
        <v>41533.000006736111</v>
      </c>
      <c r="E146" s="245">
        <v>42629.000006736111</v>
      </c>
      <c r="F146" s="246">
        <v>200000000</v>
      </c>
      <c r="G146" s="246">
        <v>48300000</v>
      </c>
      <c r="H146" s="243">
        <v>0.24</v>
      </c>
      <c r="I146" s="234">
        <v>192</v>
      </c>
      <c r="J146" s="234">
        <v>101.45</v>
      </c>
      <c r="K146" s="234">
        <v>24.2</v>
      </c>
      <c r="L146" s="234">
        <f>VLOOKUP(3663,收盤價!A:C,3,0)</f>
        <v>16.2</v>
      </c>
      <c r="M146" s="234">
        <v>4132</v>
      </c>
      <c r="N146" s="234">
        <v>100</v>
      </c>
      <c r="O146" s="235">
        <v>1.43E-2</v>
      </c>
      <c r="P146" s="235">
        <v>-0.41110000000000002</v>
      </c>
      <c r="Q146" s="235">
        <v>-0.2420135527589545</v>
      </c>
      <c r="R146" s="234">
        <f>VLOOKUP(36631,U:AC,9,0)</f>
        <v>4</v>
      </c>
      <c r="S146" s="234">
        <f>VLOOKUP(3663,季財報!A:N,8,0)</f>
        <v>1</v>
      </c>
      <c r="T146" s="234">
        <v>10502</v>
      </c>
      <c r="U146" s="234">
        <v>35641</v>
      </c>
      <c r="V146" s="234" t="s">
        <v>2862</v>
      </c>
      <c r="W146" s="234" t="s">
        <v>2863</v>
      </c>
      <c r="X146" s="234">
        <v>2000</v>
      </c>
      <c r="Y146" s="234">
        <v>2000</v>
      </c>
      <c r="Z146" s="234">
        <v>0</v>
      </c>
      <c r="AA146" s="234">
        <v>0</v>
      </c>
      <c r="AB146" s="234">
        <v>2000</v>
      </c>
      <c r="AC146" s="234">
        <v>13</v>
      </c>
      <c r="AD146" s="234">
        <v>0</v>
      </c>
    </row>
    <row r="147" spans="1:30" hidden="1">
      <c r="A147" s="244" t="s">
        <v>2382</v>
      </c>
      <c r="B147" s="244" t="s">
        <v>2383</v>
      </c>
      <c r="C147" s="244">
        <v>62264</v>
      </c>
      <c r="D147" s="245">
        <v>41971.000006736111</v>
      </c>
      <c r="E147" s="245">
        <v>43067.000006736111</v>
      </c>
      <c r="F147" s="246">
        <v>200000000</v>
      </c>
      <c r="G147" s="246">
        <v>200000000</v>
      </c>
      <c r="H147" s="243">
        <v>1</v>
      </c>
      <c r="I147" s="234">
        <v>630</v>
      </c>
      <c r="J147" s="234">
        <v>101.5</v>
      </c>
      <c r="K147" s="234">
        <v>9.69</v>
      </c>
      <c r="L147" s="234">
        <f>VLOOKUP(6226,收盤價!A:C,3,0)</f>
        <v>6.13</v>
      </c>
      <c r="M147" s="234">
        <v>10320</v>
      </c>
      <c r="N147" s="234">
        <v>100</v>
      </c>
      <c r="O147" s="235">
        <v>1.4800000000000001E-2</v>
      </c>
      <c r="P147" s="235">
        <v>-0.65359999999999996</v>
      </c>
      <c r="Q147" s="235">
        <v>-9.6899224806201556E-2</v>
      </c>
      <c r="R147" s="234">
        <f>VLOOKUP(62264,U:AC,9,0)</f>
        <v>6</v>
      </c>
      <c r="S147" s="234">
        <f>VLOOKUP(6226,季財報!A:N,8,0)</f>
        <v>2</v>
      </c>
      <c r="T147" s="234">
        <v>10502</v>
      </c>
      <c r="U147" s="234">
        <v>35761</v>
      </c>
      <c r="V147" s="234" t="s">
        <v>2864</v>
      </c>
      <c r="W147" s="234" t="s">
        <v>2865</v>
      </c>
      <c r="X147" s="234">
        <v>1640</v>
      </c>
      <c r="Y147" s="234">
        <v>1640</v>
      </c>
      <c r="Z147" s="234">
        <v>0</v>
      </c>
      <c r="AA147" s="234">
        <v>0</v>
      </c>
      <c r="AB147" s="234">
        <v>5000</v>
      </c>
      <c r="AC147" s="234">
        <v>25</v>
      </c>
      <c r="AD147" s="234">
        <v>0</v>
      </c>
    </row>
    <row r="148" spans="1:30" hidden="1">
      <c r="A148" s="244" t="s">
        <v>2422</v>
      </c>
      <c r="B148" s="244" t="s">
        <v>1804</v>
      </c>
      <c r="C148" s="244">
        <v>84061</v>
      </c>
      <c r="D148" s="245">
        <v>41472.000006736111</v>
      </c>
      <c r="E148" s="245">
        <v>43298.000006736111</v>
      </c>
      <c r="F148" s="246">
        <v>2000000000</v>
      </c>
      <c r="G148" s="246">
        <v>971600000</v>
      </c>
      <c r="H148" s="243">
        <v>0.49</v>
      </c>
      <c r="I148" s="234">
        <v>861</v>
      </c>
      <c r="J148" s="234">
        <v>101.5</v>
      </c>
      <c r="K148" s="234">
        <v>479.1</v>
      </c>
      <c r="L148" s="234">
        <f>VLOOKUP(8406,收盤價!A:C,3,0)</f>
        <v>331</v>
      </c>
      <c r="M148" s="234">
        <v>209</v>
      </c>
      <c r="N148" s="234">
        <v>100</v>
      </c>
      <c r="O148" s="235">
        <v>1.4800000000000001E-2</v>
      </c>
      <c r="P148" s="235">
        <v>-0.40289999999999998</v>
      </c>
      <c r="Q148" s="235">
        <v>-4.7846889952153111</v>
      </c>
      <c r="R148" s="234">
        <f>VLOOKUP(84061,U:AC,9,0)</f>
        <v>62</v>
      </c>
      <c r="S148" s="234">
        <f>VLOOKUP(8406,季財報!A:N,8,0)</f>
        <v>1</v>
      </c>
      <c r="T148" s="234">
        <v>10502</v>
      </c>
      <c r="U148" s="234">
        <v>35762</v>
      </c>
      <c r="V148" s="234" t="s">
        <v>2866</v>
      </c>
      <c r="W148" s="234" t="s">
        <v>2865</v>
      </c>
      <c r="X148" s="234">
        <v>548</v>
      </c>
      <c r="Y148" s="234">
        <v>548</v>
      </c>
      <c r="Z148" s="234">
        <v>0</v>
      </c>
      <c r="AA148" s="234">
        <v>0</v>
      </c>
      <c r="AB148" s="234">
        <v>5000</v>
      </c>
      <c r="AC148" s="234">
        <v>8</v>
      </c>
      <c r="AD148" s="234">
        <v>0</v>
      </c>
    </row>
    <row r="149" spans="1:30" hidden="1">
      <c r="A149" s="244" t="s">
        <v>2097</v>
      </c>
      <c r="B149" s="244" t="s">
        <v>1957</v>
      </c>
      <c r="C149" s="244">
        <v>18154</v>
      </c>
      <c r="D149" s="245">
        <v>41540.000006736111</v>
      </c>
      <c r="E149" s="245">
        <v>43366.000006736111</v>
      </c>
      <c r="F149" s="246">
        <v>500000000</v>
      </c>
      <c r="G149" s="246">
        <v>330700000</v>
      </c>
      <c r="H149" s="243">
        <v>0.66</v>
      </c>
      <c r="I149" s="234">
        <v>929</v>
      </c>
      <c r="J149" s="234">
        <v>104.5</v>
      </c>
      <c r="K149" s="234">
        <v>12.55</v>
      </c>
      <c r="L149" s="234">
        <f>VLOOKUP(1815,收盤價!A:C,3,0)</f>
        <v>11.55</v>
      </c>
      <c r="M149" s="234">
        <v>7968</v>
      </c>
      <c r="N149" s="234">
        <v>100</v>
      </c>
      <c r="O149" s="235">
        <v>4.3099999999999999E-2</v>
      </c>
      <c r="P149" s="235">
        <v>-0.14610000000000001</v>
      </c>
      <c r="Q149" s="235">
        <v>-0.12550200803212852</v>
      </c>
      <c r="R149" s="234">
        <f>VLOOKUP(18154,U:AC,9,0)</f>
        <v>57</v>
      </c>
      <c r="S149" s="234">
        <f>VLOOKUP(1815,季財報!A:N,8,0)</f>
        <v>3</v>
      </c>
      <c r="T149" s="234">
        <v>10502</v>
      </c>
      <c r="U149" s="234">
        <v>35801</v>
      </c>
      <c r="V149" s="234" t="s">
        <v>2867</v>
      </c>
      <c r="W149" s="234" t="s">
        <v>2868</v>
      </c>
      <c r="X149" s="234">
        <v>1000</v>
      </c>
      <c r="Y149" s="234">
        <v>1000</v>
      </c>
      <c r="Z149" s="234">
        <v>0</v>
      </c>
      <c r="AA149" s="234">
        <v>0</v>
      </c>
      <c r="AB149" s="234">
        <v>1000</v>
      </c>
      <c r="AC149" s="234">
        <v>8</v>
      </c>
      <c r="AD149" s="234">
        <v>0</v>
      </c>
    </row>
    <row r="150" spans="1:30" hidden="1">
      <c r="A150" s="244" t="s">
        <v>2309</v>
      </c>
      <c r="B150" s="244" t="s">
        <v>1595</v>
      </c>
      <c r="C150" s="244">
        <v>47451</v>
      </c>
      <c r="D150" s="245">
        <v>41696.000006736111</v>
      </c>
      <c r="E150" s="245">
        <v>42792.000006736111</v>
      </c>
      <c r="F150" s="246">
        <v>400000000</v>
      </c>
      <c r="G150" s="246">
        <v>213300000</v>
      </c>
      <c r="H150" s="243">
        <v>0.53</v>
      </c>
      <c r="I150" s="234">
        <v>355</v>
      </c>
      <c r="J150" s="234">
        <v>101.75</v>
      </c>
      <c r="K150" s="234">
        <v>90.87</v>
      </c>
      <c r="L150" s="234">
        <f>VLOOKUP(4745,收盤價!A:C,3,0)</f>
        <v>58.7</v>
      </c>
      <c r="M150" s="234">
        <v>1100</v>
      </c>
      <c r="N150" s="234">
        <v>100</v>
      </c>
      <c r="O150" s="235">
        <v>1.72E-2</v>
      </c>
      <c r="P150" s="235">
        <v>-0.5998</v>
      </c>
      <c r="Q150" s="235">
        <v>-0.90909090909090906</v>
      </c>
      <c r="R150" s="234">
        <f>VLOOKUP(47451,U:AC,9,0)</f>
        <v>4</v>
      </c>
      <c r="S150" s="234">
        <f>VLOOKUP(4745,季財報!A:N,8,0)</f>
        <v>0</v>
      </c>
      <c r="T150" s="234">
        <v>10502</v>
      </c>
      <c r="U150" s="234">
        <v>35941</v>
      </c>
      <c r="V150" s="234" t="s">
        <v>2869</v>
      </c>
      <c r="W150" s="234" t="s">
        <v>2870</v>
      </c>
      <c r="X150" s="234">
        <v>2961</v>
      </c>
      <c r="Y150" s="234">
        <v>2961</v>
      </c>
      <c r="Z150" s="234">
        <v>0</v>
      </c>
      <c r="AA150" s="234">
        <v>0</v>
      </c>
      <c r="AB150" s="234">
        <v>3000</v>
      </c>
      <c r="AC150" s="234">
        <v>36</v>
      </c>
      <c r="AD150" s="234">
        <v>0</v>
      </c>
    </row>
    <row r="151" spans="1:30" hidden="1">
      <c r="A151" s="244" t="s">
        <v>2151</v>
      </c>
      <c r="B151" s="244" t="s">
        <v>2152</v>
      </c>
      <c r="C151" s="244">
        <v>25151</v>
      </c>
      <c r="D151" s="245">
        <v>41694.000006736111</v>
      </c>
      <c r="E151" s="245">
        <v>42790.000006736111</v>
      </c>
      <c r="F151" s="246">
        <v>300000000</v>
      </c>
      <c r="G151" s="246">
        <v>300000000</v>
      </c>
      <c r="H151" s="243">
        <v>1</v>
      </c>
      <c r="I151" s="234">
        <v>353</v>
      </c>
      <c r="J151" s="234">
        <v>101.5</v>
      </c>
      <c r="K151" s="234">
        <v>8.3000000000000007</v>
      </c>
      <c r="L151" s="234">
        <f>VLOOKUP(2515,收盤價!A:C,3,0)</f>
        <v>6.65</v>
      </c>
      <c r="M151" s="234">
        <v>12048</v>
      </c>
      <c r="N151" s="234">
        <v>100</v>
      </c>
      <c r="O151" s="235">
        <v>1.4800000000000001E-2</v>
      </c>
      <c r="P151" s="235">
        <v>-0.2928</v>
      </c>
      <c r="Q151" s="235">
        <v>-8.3001328021248336E-2</v>
      </c>
      <c r="R151" s="234">
        <f>VLOOKUP(25151,U:AC,9,0)</f>
        <v>28</v>
      </c>
      <c r="S151" s="234">
        <f>VLOOKUP(2515,季財報!A:N,8,0)</f>
        <v>0</v>
      </c>
      <c r="T151" s="234">
        <v>10502</v>
      </c>
      <c r="U151" s="234">
        <v>36072</v>
      </c>
      <c r="V151" s="234" t="s">
        <v>2871</v>
      </c>
      <c r="W151" s="234" t="s">
        <v>2872</v>
      </c>
      <c r="X151" s="234">
        <v>8000</v>
      </c>
      <c r="Y151" s="234">
        <v>8000</v>
      </c>
      <c r="Z151" s="234">
        <v>0</v>
      </c>
      <c r="AA151" s="234">
        <v>0</v>
      </c>
      <c r="AB151" s="234">
        <v>8000</v>
      </c>
      <c r="AC151" s="234">
        <v>33</v>
      </c>
      <c r="AD151" s="234">
        <v>0</v>
      </c>
    </row>
    <row r="152" spans="1:30" hidden="1">
      <c r="A152" s="244" t="s">
        <v>2420</v>
      </c>
      <c r="B152" s="244" t="s">
        <v>1970</v>
      </c>
      <c r="C152" s="244">
        <v>84011</v>
      </c>
      <c r="D152" s="245">
        <v>41435.000006736111</v>
      </c>
      <c r="E152" s="245">
        <v>42531.000006736111</v>
      </c>
      <c r="F152" s="246">
        <v>200000000</v>
      </c>
      <c r="G152" s="246">
        <v>64200000</v>
      </c>
      <c r="H152" s="243">
        <v>0.32</v>
      </c>
      <c r="I152" s="234">
        <v>94</v>
      </c>
      <c r="J152" s="234">
        <v>102.5</v>
      </c>
      <c r="K152" s="234">
        <v>12.58</v>
      </c>
      <c r="L152" s="234">
        <f>VLOOKUP(8401,收盤價!A:C,3,0)</f>
        <v>12.5</v>
      </c>
      <c r="M152" s="234">
        <v>7949</v>
      </c>
      <c r="N152" s="234">
        <v>100</v>
      </c>
      <c r="O152" s="235">
        <v>2.4400000000000002E-2</v>
      </c>
      <c r="P152" s="235">
        <v>-4.3999999999999997E-2</v>
      </c>
      <c r="Q152" s="235">
        <v>-0.12580198767140521</v>
      </c>
      <c r="R152" s="234">
        <f>VLOOKUP(84011,U:AC,9,0)</f>
        <v>17</v>
      </c>
      <c r="S152" s="234">
        <f>VLOOKUP(8401,季財報!A:N,8,0)</f>
        <v>1</v>
      </c>
      <c r="T152" s="234">
        <v>10502</v>
      </c>
      <c r="U152" s="234">
        <v>36091</v>
      </c>
      <c r="V152" s="234" t="s">
        <v>2873</v>
      </c>
      <c r="W152" s="234" t="s">
        <v>2874</v>
      </c>
      <c r="X152" s="234">
        <v>1500</v>
      </c>
      <c r="Y152" s="234">
        <v>1500</v>
      </c>
      <c r="Z152" s="234">
        <v>0</v>
      </c>
      <c r="AA152" s="234">
        <v>0</v>
      </c>
      <c r="AB152" s="234">
        <v>1500</v>
      </c>
      <c r="AC152" s="234">
        <v>13</v>
      </c>
      <c r="AD152" s="234">
        <v>0</v>
      </c>
    </row>
    <row r="153" spans="1:30" hidden="1">
      <c r="A153" s="244" t="s">
        <v>2330</v>
      </c>
      <c r="B153" s="244" t="s">
        <v>391</v>
      </c>
      <c r="C153" s="244">
        <v>52301</v>
      </c>
      <c r="D153" s="245">
        <v>41487.000006736111</v>
      </c>
      <c r="E153" s="245">
        <v>42583.000006736111</v>
      </c>
      <c r="F153" s="246">
        <v>230000000</v>
      </c>
      <c r="G153" s="246">
        <v>93600000</v>
      </c>
      <c r="H153" s="243">
        <v>0.41</v>
      </c>
      <c r="I153" s="234">
        <v>146</v>
      </c>
      <c r="J153" s="234">
        <v>101.5</v>
      </c>
      <c r="K153" s="234">
        <v>66.87</v>
      </c>
      <c r="L153" s="234">
        <f>VLOOKUP(5230,收盤價!A:C,3,0)</f>
        <v>47</v>
      </c>
      <c r="M153" s="234">
        <v>1495</v>
      </c>
      <c r="N153" s="234">
        <v>100</v>
      </c>
      <c r="O153" s="235">
        <v>1.4800000000000001E-2</v>
      </c>
      <c r="P153" s="235">
        <v>-0.44900000000000001</v>
      </c>
      <c r="Q153" s="235">
        <v>-0.668896321070234</v>
      </c>
      <c r="R153" s="234">
        <f>VLOOKUP(52301,U:AC,9,0)</f>
        <v>9</v>
      </c>
      <c r="S153" s="234">
        <f>VLOOKUP(5230,季財報!A:N,8,0)</f>
        <v>3</v>
      </c>
      <c r="T153" s="234">
        <v>10502</v>
      </c>
      <c r="U153" s="234">
        <v>36111</v>
      </c>
      <c r="V153" s="234" t="s">
        <v>2875</v>
      </c>
      <c r="W153" s="234" t="s">
        <v>2876</v>
      </c>
      <c r="X153" s="234">
        <v>12000</v>
      </c>
      <c r="Y153" s="234">
        <v>12000</v>
      </c>
      <c r="Z153" s="234">
        <v>0</v>
      </c>
      <c r="AA153" s="234">
        <v>0</v>
      </c>
      <c r="AB153" s="234">
        <v>12000</v>
      </c>
      <c r="AC153" s="234">
        <v>79</v>
      </c>
      <c r="AD153" s="234">
        <v>0</v>
      </c>
    </row>
    <row r="154" spans="1:30" hidden="1">
      <c r="A154" s="244" t="s">
        <v>2379</v>
      </c>
      <c r="B154" s="244" t="s">
        <v>1996</v>
      </c>
      <c r="C154" s="244">
        <v>62193</v>
      </c>
      <c r="D154" s="245">
        <v>41771.000006736111</v>
      </c>
      <c r="E154" s="245">
        <v>42867.000006736111</v>
      </c>
      <c r="F154" s="246">
        <v>400000000</v>
      </c>
      <c r="G154" s="246">
        <v>341300000</v>
      </c>
      <c r="H154" s="243">
        <v>0.85</v>
      </c>
      <c r="I154" s="234">
        <v>430</v>
      </c>
      <c r="J154" s="234">
        <v>102.35</v>
      </c>
      <c r="K154" s="234">
        <v>16.25</v>
      </c>
      <c r="L154" s="234">
        <f>VLOOKUP(6219,收盤價!A:C,3,0)</f>
        <v>11.6</v>
      </c>
      <c r="M154" s="234">
        <v>6154</v>
      </c>
      <c r="N154" s="234">
        <v>100</v>
      </c>
      <c r="O154" s="235">
        <v>2.3E-2</v>
      </c>
      <c r="P154" s="235">
        <v>-0.39479999999999998</v>
      </c>
      <c r="Q154" s="235">
        <v>-0.16249593760155998</v>
      </c>
      <c r="R154" s="234">
        <f>VLOOKUP(62193,U:AC,9,0)</f>
        <v>151</v>
      </c>
      <c r="S154" s="234">
        <f>VLOOKUP(6219,季財報!A:N,8,0)</f>
        <v>3</v>
      </c>
      <c r="T154" s="234">
        <v>10502</v>
      </c>
      <c r="U154" s="234">
        <v>36251</v>
      </c>
      <c r="V154" s="234" t="s">
        <v>2877</v>
      </c>
      <c r="W154" s="234" t="s">
        <v>2878</v>
      </c>
      <c r="X154" s="234">
        <v>2000</v>
      </c>
      <c r="Y154" s="234">
        <v>2000</v>
      </c>
      <c r="Z154" s="234">
        <v>0</v>
      </c>
      <c r="AA154" s="234">
        <v>0</v>
      </c>
      <c r="AB154" s="234">
        <v>2000</v>
      </c>
      <c r="AC154" s="234">
        <v>5</v>
      </c>
      <c r="AD154" s="234">
        <v>0</v>
      </c>
    </row>
    <row r="155" spans="1:30" hidden="1">
      <c r="A155" s="244" t="s">
        <v>2267</v>
      </c>
      <c r="B155" s="244" t="s">
        <v>1961</v>
      </c>
      <c r="C155" s="244">
        <v>36891</v>
      </c>
      <c r="D155" s="245">
        <v>41607.000006736111</v>
      </c>
      <c r="E155" s="245">
        <v>42703.000006736111</v>
      </c>
      <c r="F155" s="246">
        <v>300000000</v>
      </c>
      <c r="G155" s="246">
        <v>17200000</v>
      </c>
      <c r="H155" s="243">
        <v>0.06</v>
      </c>
      <c r="I155" s="234">
        <v>266</v>
      </c>
      <c r="J155" s="234">
        <v>101.5</v>
      </c>
      <c r="K155" s="234">
        <v>75.099999999999994</v>
      </c>
      <c r="L155" s="234">
        <f>VLOOKUP(3689,收盤價!A:C,3,0)</f>
        <v>38.4</v>
      </c>
      <c r="M155" s="234">
        <v>1332</v>
      </c>
      <c r="N155" s="234">
        <v>100</v>
      </c>
      <c r="O155" s="235">
        <v>1.4800000000000001E-2</v>
      </c>
      <c r="P155" s="235">
        <v>-1.5371999999999999</v>
      </c>
      <c r="Q155" s="235">
        <v>-0.75075075075075071</v>
      </c>
      <c r="R155" s="234" t="e">
        <f>VLOOKUP(36891,U:AC,9,0)</f>
        <v>#N/A</v>
      </c>
      <c r="S155" s="234">
        <f>VLOOKUP(3689,季財報!A:N,8,0)</f>
        <v>1</v>
      </c>
      <c r="T155" s="234">
        <v>10502</v>
      </c>
      <c r="U155" s="234">
        <v>36311</v>
      </c>
      <c r="V155" s="234" t="s">
        <v>2879</v>
      </c>
      <c r="W155" s="234" t="s">
        <v>2880</v>
      </c>
      <c r="X155" s="234">
        <v>113</v>
      </c>
      <c r="Y155" s="234">
        <v>113</v>
      </c>
      <c r="Z155" s="234">
        <v>0</v>
      </c>
      <c r="AA155" s="234">
        <v>0</v>
      </c>
      <c r="AB155" s="234">
        <v>3000</v>
      </c>
      <c r="AC155" s="234">
        <v>4</v>
      </c>
      <c r="AD155" s="234">
        <v>0</v>
      </c>
    </row>
    <row r="156" spans="1:30" hidden="1">
      <c r="A156" s="244" t="s">
        <v>2318</v>
      </c>
      <c r="B156" s="244" t="s">
        <v>379</v>
      </c>
      <c r="C156" s="244">
        <v>49392</v>
      </c>
      <c r="D156" s="245">
        <v>41754.000006736111</v>
      </c>
      <c r="E156" s="245">
        <v>42850.000006736111</v>
      </c>
      <c r="F156" s="246">
        <v>300000000</v>
      </c>
      <c r="G156" s="246">
        <v>234300000</v>
      </c>
      <c r="H156" s="243">
        <v>0.78</v>
      </c>
      <c r="I156" s="234">
        <v>413</v>
      </c>
      <c r="J156" s="234">
        <v>101.75</v>
      </c>
      <c r="K156" s="234">
        <v>16.72</v>
      </c>
      <c r="L156" s="234">
        <f>VLOOKUP(4939,收盤價!A:C,3,0)</f>
        <v>7.49</v>
      </c>
      <c r="M156" s="234">
        <v>5981</v>
      </c>
      <c r="N156" s="234">
        <v>100</v>
      </c>
      <c r="O156" s="235">
        <v>1.72E-2</v>
      </c>
      <c r="P156" s="235">
        <v>-1.2717000000000001</v>
      </c>
      <c r="Q156" s="235">
        <v>-0.16719612104999163</v>
      </c>
      <c r="R156" s="234">
        <f>VLOOKUP(49392,U:AC,9,0)</f>
        <v>11</v>
      </c>
      <c r="S156" s="234">
        <f>VLOOKUP(4939,季財報!A:N,8,0)</f>
        <v>2</v>
      </c>
      <c r="T156" s="234">
        <v>10502</v>
      </c>
      <c r="U156" s="234">
        <v>36623</v>
      </c>
      <c r="V156" s="234" t="s">
        <v>2881</v>
      </c>
      <c r="W156" s="234" t="s">
        <v>2882</v>
      </c>
      <c r="X156" s="234">
        <v>249</v>
      </c>
      <c r="Y156" s="234">
        <v>349</v>
      </c>
      <c r="Z156" s="234">
        <v>-100</v>
      </c>
      <c r="AA156" s="234">
        <v>-28.65</v>
      </c>
      <c r="AB156" s="234">
        <v>4000</v>
      </c>
      <c r="AC156" s="234">
        <v>34</v>
      </c>
      <c r="AD156" s="234">
        <v>0</v>
      </c>
    </row>
    <row r="157" spans="1:30" hidden="1">
      <c r="A157" s="244" t="s">
        <v>2423</v>
      </c>
      <c r="B157" s="244" t="s">
        <v>2424</v>
      </c>
      <c r="C157" s="244">
        <v>84111</v>
      </c>
      <c r="D157" s="245">
        <v>41506.000006736111</v>
      </c>
      <c r="E157" s="245">
        <v>42602.000006736111</v>
      </c>
      <c r="F157" s="246">
        <v>1000000000</v>
      </c>
      <c r="G157" s="246">
        <v>50100000</v>
      </c>
      <c r="H157" s="243">
        <v>0.05</v>
      </c>
      <c r="I157" s="234">
        <v>165</v>
      </c>
      <c r="J157" s="234">
        <v>101.6</v>
      </c>
      <c r="K157" s="234">
        <v>73.930000000000007</v>
      </c>
      <c r="L157" s="234">
        <f>VLOOKUP(8411,收盤價!A:C,3,0)</f>
        <v>30</v>
      </c>
      <c r="M157" s="234">
        <v>1353</v>
      </c>
      <c r="N157" s="234">
        <v>100</v>
      </c>
      <c r="O157" s="235">
        <v>1.5699999999999999E-2</v>
      </c>
      <c r="P157" s="235">
        <v>-1.728</v>
      </c>
      <c r="Q157" s="235">
        <v>-0.73909830007390986</v>
      </c>
      <c r="R157" s="234">
        <f>VLOOKUP(84111,U:AC,9,0)</f>
        <v>3</v>
      </c>
      <c r="S157" s="234">
        <f>VLOOKUP(8411,季財報!A:N,8,0)</f>
        <v>5</v>
      </c>
      <c r="T157" s="234">
        <v>10502</v>
      </c>
      <c r="U157" s="234">
        <v>36624</v>
      </c>
      <c r="V157" s="234" t="s">
        <v>2883</v>
      </c>
      <c r="W157" s="234" t="s">
        <v>2661</v>
      </c>
      <c r="X157" s="234">
        <v>0</v>
      </c>
      <c r="Y157" s="234">
        <v>0</v>
      </c>
      <c r="Z157" s="234">
        <v>0</v>
      </c>
      <c r="AA157" s="234">
        <v>100</v>
      </c>
      <c r="AB157" s="234">
        <v>0</v>
      </c>
      <c r="AC157" s="234">
        <v>1</v>
      </c>
      <c r="AD157" s="234">
        <v>0</v>
      </c>
    </row>
    <row r="158" spans="1:30" hidden="1">
      <c r="A158" s="244" t="s">
        <v>2397</v>
      </c>
      <c r="B158" s="244" t="s">
        <v>2398</v>
      </c>
      <c r="C158" s="244">
        <v>64141</v>
      </c>
      <c r="D158" s="245">
        <v>42129.000006736111</v>
      </c>
      <c r="E158" s="245">
        <v>43225.000006736111</v>
      </c>
      <c r="F158" s="246">
        <v>800000000</v>
      </c>
      <c r="G158" s="246">
        <v>496900000</v>
      </c>
      <c r="H158" s="243">
        <v>0.62</v>
      </c>
      <c r="I158" s="234">
        <v>788</v>
      </c>
      <c r="J158" s="234">
        <v>125.5</v>
      </c>
      <c r="K158" s="234">
        <v>289.10000000000002</v>
      </c>
      <c r="L158" s="234">
        <f>VLOOKUP(6414,收盤價!A:C,3,0)</f>
        <v>362</v>
      </c>
      <c r="M158" s="234">
        <v>346</v>
      </c>
      <c r="N158" s="234">
        <v>126.809</v>
      </c>
      <c r="O158" s="235">
        <v>-1.04E-2</v>
      </c>
      <c r="P158" s="235">
        <v>0.2112</v>
      </c>
      <c r="Q158" s="235">
        <v>-2.8901734104046244</v>
      </c>
      <c r="R158" s="234">
        <f>VLOOKUP(64141,U:AC,9,0)</f>
        <v>76</v>
      </c>
      <c r="S158" s="234">
        <f>VLOOKUP(6414,季財報!A:N,8,0)</f>
        <v>3</v>
      </c>
      <c r="T158" s="234">
        <v>10502</v>
      </c>
      <c r="U158" s="234">
        <v>36625</v>
      </c>
      <c r="V158" s="234" t="s">
        <v>2884</v>
      </c>
      <c r="W158" s="234" t="s">
        <v>2661</v>
      </c>
      <c r="X158" s="234">
        <v>0</v>
      </c>
      <c r="Y158" s="234">
        <v>0</v>
      </c>
      <c r="Z158" s="234">
        <v>0</v>
      </c>
      <c r="AA158" s="234">
        <v>100</v>
      </c>
      <c r="AB158" s="234">
        <v>0</v>
      </c>
      <c r="AC158" s="234">
        <v>1</v>
      </c>
      <c r="AD158" s="234">
        <v>0</v>
      </c>
    </row>
    <row r="159" spans="1:30" hidden="1">
      <c r="A159" s="244" t="s">
        <v>2070</v>
      </c>
      <c r="B159" s="244" t="s">
        <v>249</v>
      </c>
      <c r="C159" s="244">
        <v>15695</v>
      </c>
      <c r="D159" s="245">
        <v>42039.000006736111</v>
      </c>
      <c r="E159" s="245">
        <v>43135.000006736111</v>
      </c>
      <c r="F159" s="246">
        <v>200000000</v>
      </c>
      <c r="G159" s="246">
        <v>200000000</v>
      </c>
      <c r="H159" s="243">
        <v>1</v>
      </c>
      <c r="I159" s="234">
        <v>698</v>
      </c>
      <c r="J159" s="234">
        <v>101.8</v>
      </c>
      <c r="K159" s="234">
        <v>22.4</v>
      </c>
      <c r="L159" s="234">
        <f>VLOOKUP(1569,收盤價!A:C,3,0)</f>
        <v>10</v>
      </c>
      <c r="M159" s="234">
        <v>4464</v>
      </c>
      <c r="N159" s="234">
        <v>100</v>
      </c>
      <c r="O159" s="235">
        <v>1.77E-2</v>
      </c>
      <c r="P159" s="235">
        <v>-1.2625999999999999</v>
      </c>
      <c r="Q159" s="235">
        <v>-0.22401433691756273</v>
      </c>
      <c r="R159" s="234">
        <f>VLOOKUP(15695,U:AC,9,0)</f>
        <v>10</v>
      </c>
      <c r="S159" s="234">
        <f>VLOOKUP(1569,季財報!A:N,8,0)</f>
        <v>1</v>
      </c>
      <c r="T159" s="234">
        <v>10502</v>
      </c>
      <c r="U159" s="234">
        <v>36631</v>
      </c>
      <c r="V159" s="234" t="s">
        <v>2885</v>
      </c>
      <c r="W159" s="234" t="s">
        <v>2886</v>
      </c>
      <c r="X159" s="234">
        <v>483</v>
      </c>
      <c r="Y159" s="234">
        <v>483</v>
      </c>
      <c r="Z159" s="234">
        <v>0</v>
      </c>
      <c r="AA159" s="234">
        <v>0</v>
      </c>
      <c r="AB159" s="234">
        <v>2000</v>
      </c>
      <c r="AC159" s="234">
        <v>4</v>
      </c>
      <c r="AD159" s="234">
        <v>0</v>
      </c>
    </row>
    <row r="160" spans="1:30" hidden="1">
      <c r="A160" s="244" t="s">
        <v>2055</v>
      </c>
      <c r="B160" s="244" t="s">
        <v>2056</v>
      </c>
      <c r="C160" s="244">
        <v>14322</v>
      </c>
      <c r="D160" s="245">
        <v>42048.000006736111</v>
      </c>
      <c r="E160" s="245">
        <v>43874.000006736111</v>
      </c>
      <c r="F160" s="246">
        <v>250000000</v>
      </c>
      <c r="G160" s="246">
        <v>203900000</v>
      </c>
      <c r="H160" s="243">
        <v>0.82</v>
      </c>
      <c r="I160" s="234">
        <v>1437</v>
      </c>
      <c r="J160" s="234">
        <v>108.5</v>
      </c>
      <c r="K160" s="234">
        <v>20.100000000000001</v>
      </c>
      <c r="L160" s="234">
        <f>VLOOKUP(1432,收盤價!A:C,3,0)</f>
        <v>21.95</v>
      </c>
      <c r="M160" s="234">
        <v>4975</v>
      </c>
      <c r="N160" s="234">
        <v>103.23125</v>
      </c>
      <c r="O160" s="235">
        <v>4.8599999999999997E-2</v>
      </c>
      <c r="P160" s="235">
        <v>3.1300000000000001E-2</v>
      </c>
      <c r="Q160" s="235">
        <v>-0.20100502512562815</v>
      </c>
      <c r="R160" s="234">
        <f>VLOOKUP(14322,U:AC,9,0)</f>
        <v>109</v>
      </c>
      <c r="S160" s="234">
        <f>VLOOKUP(1432,季財報!A:N,8,0)</f>
        <v>2</v>
      </c>
      <c r="T160" s="234">
        <v>10502</v>
      </c>
      <c r="U160" s="234">
        <v>36632</v>
      </c>
      <c r="V160" s="234" t="s">
        <v>2887</v>
      </c>
      <c r="W160" s="234" t="s">
        <v>2886</v>
      </c>
      <c r="X160" s="234">
        <v>150</v>
      </c>
      <c r="Y160" s="234">
        <v>150</v>
      </c>
      <c r="Z160" s="234">
        <v>0</v>
      </c>
      <c r="AA160" s="234">
        <v>0</v>
      </c>
      <c r="AB160" s="234">
        <v>1000</v>
      </c>
      <c r="AC160" s="234">
        <v>5</v>
      </c>
      <c r="AD160" s="234">
        <v>0</v>
      </c>
    </row>
    <row r="161" spans="1:30" hidden="1">
      <c r="A161" s="244" t="s">
        <v>2240</v>
      </c>
      <c r="B161" s="244" t="s">
        <v>2241</v>
      </c>
      <c r="C161" s="244">
        <v>35352</v>
      </c>
      <c r="D161" s="245">
        <v>41891.000006736111</v>
      </c>
      <c r="E161" s="245">
        <v>42987.000006736111</v>
      </c>
      <c r="F161" s="246">
        <v>200000000</v>
      </c>
      <c r="G161" s="246">
        <v>200000000</v>
      </c>
      <c r="H161" s="243">
        <v>1</v>
      </c>
      <c r="I161" s="234">
        <v>550</v>
      </c>
      <c r="J161" s="234">
        <v>103.5</v>
      </c>
      <c r="K161" s="234">
        <v>16.5</v>
      </c>
      <c r="L161" s="234">
        <f>VLOOKUP(3535,收盤價!A:C,3,0)</f>
        <v>9.5</v>
      </c>
      <c r="M161" s="234">
        <v>6061</v>
      </c>
      <c r="N161" s="234">
        <v>100</v>
      </c>
      <c r="O161" s="235">
        <v>3.3799999999999997E-2</v>
      </c>
      <c r="P161" s="235">
        <v>-0.72770000000000001</v>
      </c>
      <c r="Q161" s="235">
        <v>-0.16498927569707969</v>
      </c>
      <c r="R161" s="234">
        <f>VLOOKUP(35352,U:AC,9,0)</f>
        <v>12</v>
      </c>
      <c r="S161" s="234">
        <f>VLOOKUP(3535,季財報!A:N,8,0)</f>
        <v>2</v>
      </c>
      <c r="T161" s="234">
        <v>10502</v>
      </c>
      <c r="U161" s="234">
        <v>36652</v>
      </c>
      <c r="V161" s="234" t="s">
        <v>2888</v>
      </c>
      <c r="W161" s="234" t="s">
        <v>2889</v>
      </c>
      <c r="X161" s="234">
        <v>1347</v>
      </c>
      <c r="Y161" s="234">
        <v>1605</v>
      </c>
      <c r="Z161" s="234">
        <v>-258</v>
      </c>
      <c r="AA161" s="234">
        <v>-16.07</v>
      </c>
      <c r="AB161" s="234">
        <v>2000</v>
      </c>
      <c r="AC161" s="234">
        <v>39</v>
      </c>
      <c r="AD161" s="234">
        <v>0</v>
      </c>
    </row>
    <row r="162" spans="1:30" hidden="1">
      <c r="A162" s="244" t="s">
        <v>2190</v>
      </c>
      <c r="B162" s="244" t="s">
        <v>1441</v>
      </c>
      <c r="C162" s="244">
        <v>29242</v>
      </c>
      <c r="D162" s="245">
        <v>42291.000006736111</v>
      </c>
      <c r="E162" s="245">
        <v>43387.000006736111</v>
      </c>
      <c r="F162" s="246">
        <v>150000000</v>
      </c>
      <c r="G162" s="246">
        <v>150000000</v>
      </c>
      <c r="H162" s="243">
        <v>1</v>
      </c>
      <c r="I162" s="234">
        <v>950</v>
      </c>
      <c r="J162" s="234">
        <v>102</v>
      </c>
      <c r="K162" s="234">
        <v>72</v>
      </c>
      <c r="L162" s="234">
        <f>VLOOKUP(2924,收盤價!A:C,3,0)</f>
        <v>57.9</v>
      </c>
      <c r="M162" s="234">
        <v>1389</v>
      </c>
      <c r="N162" s="234">
        <v>100</v>
      </c>
      <c r="O162" s="235">
        <v>1.9599999999999999E-2</v>
      </c>
      <c r="P162" s="235">
        <v>-0.22869999999999999</v>
      </c>
      <c r="Q162" s="235">
        <v>-0.71994240460763137</v>
      </c>
      <c r="R162" s="234">
        <f>VLOOKUP(29242,U:AC,9,0)</f>
        <v>12</v>
      </c>
      <c r="S162" s="234">
        <f>VLOOKUP(2924,季財報!A:N,8,0)</f>
        <v>1</v>
      </c>
      <c r="T162" s="234">
        <v>10502</v>
      </c>
      <c r="U162" s="234">
        <v>36801</v>
      </c>
      <c r="V162" s="234" t="s">
        <v>2890</v>
      </c>
      <c r="W162" s="234" t="s">
        <v>2891</v>
      </c>
      <c r="X162" s="234">
        <v>4450</v>
      </c>
      <c r="Y162" s="234">
        <v>4450</v>
      </c>
      <c r="Z162" s="234">
        <v>0</v>
      </c>
      <c r="AA162" s="234">
        <v>0</v>
      </c>
      <c r="AB162" s="234">
        <v>4450</v>
      </c>
      <c r="AC162" s="234">
        <v>132</v>
      </c>
      <c r="AD162" s="234">
        <v>0</v>
      </c>
    </row>
    <row r="163" spans="1:30" hidden="1">
      <c r="A163" s="244" t="s">
        <v>2323</v>
      </c>
      <c r="B163" s="244" t="s">
        <v>382</v>
      </c>
      <c r="C163" s="244">
        <v>49742</v>
      </c>
      <c r="D163" s="245">
        <v>41754.000006736111</v>
      </c>
      <c r="E163" s="245">
        <v>42850.000006736111</v>
      </c>
      <c r="F163" s="246">
        <v>450000000</v>
      </c>
      <c r="G163" s="246">
        <v>450000000</v>
      </c>
      <c r="H163" s="243">
        <v>1</v>
      </c>
      <c r="I163" s="234">
        <v>413</v>
      </c>
      <c r="J163" s="234">
        <v>102.3</v>
      </c>
      <c r="K163" s="234">
        <v>45</v>
      </c>
      <c r="L163" s="234">
        <f>VLOOKUP(4974,收盤價!A:C,3,0)</f>
        <v>37.25</v>
      </c>
      <c r="M163" s="234">
        <v>2222</v>
      </c>
      <c r="N163" s="234">
        <v>100</v>
      </c>
      <c r="O163" s="235">
        <v>2.2499999999999999E-2</v>
      </c>
      <c r="P163" s="235">
        <v>-0.21129999999999999</v>
      </c>
      <c r="Q163" s="235">
        <v>-0.45004500450045004</v>
      </c>
      <c r="R163" s="234">
        <f>VLOOKUP(49742,U:AC,9,0)</f>
        <v>37</v>
      </c>
      <c r="S163" s="234">
        <f>VLOOKUP(4974,季財報!A:N,8,0)</f>
        <v>2</v>
      </c>
      <c r="T163" s="234">
        <v>10502</v>
      </c>
      <c r="U163" s="234">
        <v>36911</v>
      </c>
      <c r="V163" s="234" t="s">
        <v>2892</v>
      </c>
      <c r="W163" s="234" t="s">
        <v>2893</v>
      </c>
      <c r="X163" s="234">
        <v>17417</v>
      </c>
      <c r="Y163" s="234">
        <v>17459</v>
      </c>
      <c r="Z163" s="234">
        <v>-42</v>
      </c>
      <c r="AA163" s="234">
        <v>-0.24</v>
      </c>
      <c r="AB163" s="234">
        <v>18000</v>
      </c>
      <c r="AC163" s="234">
        <v>101</v>
      </c>
      <c r="AD163" s="234">
        <v>0</v>
      </c>
    </row>
    <row r="164" spans="1:30" hidden="1">
      <c r="A164" s="244" t="s">
        <v>2418</v>
      </c>
      <c r="B164" s="244" t="s">
        <v>2419</v>
      </c>
      <c r="C164" s="244">
        <v>83492</v>
      </c>
      <c r="D164" s="245">
        <v>42138.000006736111</v>
      </c>
      <c r="E164" s="245">
        <v>43965.000006736111</v>
      </c>
      <c r="F164" s="246">
        <v>1000000000</v>
      </c>
      <c r="G164" s="246">
        <v>1000000000</v>
      </c>
      <c r="H164" s="243">
        <v>1</v>
      </c>
      <c r="I164" s="234">
        <v>1528</v>
      </c>
      <c r="J164" s="234">
        <v>102.3</v>
      </c>
      <c r="K164" s="234">
        <v>103.9</v>
      </c>
      <c r="L164" s="234">
        <f>VLOOKUP(8349,收盤價!A:C,3,0)</f>
        <v>80.099999999999994</v>
      </c>
      <c r="M164" s="234">
        <v>962</v>
      </c>
      <c r="N164" s="234">
        <v>100</v>
      </c>
      <c r="O164" s="235">
        <v>2.2499999999999999E-2</v>
      </c>
      <c r="P164" s="235">
        <v>-0.29709999999999998</v>
      </c>
      <c r="Q164" s="235">
        <v>-1.0395010395010396</v>
      </c>
      <c r="R164" s="234">
        <f>VLOOKUP(83492,U:AC,9,0)</f>
        <v>38</v>
      </c>
      <c r="S164" s="234">
        <f>VLOOKUP(8349,季財報!A:N,8,0)</f>
        <v>1</v>
      </c>
      <c r="T164" s="234">
        <v>10502</v>
      </c>
      <c r="U164" s="234">
        <v>36931</v>
      </c>
      <c r="V164" s="234" t="s">
        <v>2894</v>
      </c>
      <c r="W164" s="234" t="s">
        <v>2895</v>
      </c>
      <c r="X164" s="234">
        <v>5000</v>
      </c>
      <c r="Y164" s="234">
        <v>5000</v>
      </c>
      <c r="Z164" s="234">
        <v>0</v>
      </c>
      <c r="AA164" s="234">
        <v>0</v>
      </c>
      <c r="AB164" s="234">
        <v>5000</v>
      </c>
      <c r="AC164" s="234">
        <v>40</v>
      </c>
      <c r="AD164" s="234">
        <v>0</v>
      </c>
    </row>
    <row r="165" spans="1:30" hidden="1">
      <c r="A165" s="244" t="s">
        <v>2263</v>
      </c>
      <c r="B165" s="244" t="s">
        <v>1991</v>
      </c>
      <c r="C165" s="244">
        <v>36632</v>
      </c>
      <c r="D165" s="245">
        <v>41534.000006736111</v>
      </c>
      <c r="E165" s="245">
        <v>43360.000006736111</v>
      </c>
      <c r="F165" s="246">
        <v>100000000</v>
      </c>
      <c r="G165" s="246">
        <v>15000000</v>
      </c>
      <c r="H165" s="243">
        <v>0.15</v>
      </c>
      <c r="I165" s="234">
        <v>923</v>
      </c>
      <c r="J165" s="234">
        <v>102</v>
      </c>
      <c r="K165" s="234">
        <v>24.2</v>
      </c>
      <c r="L165" s="234">
        <f>VLOOKUP(3663,收盤價!A:C,3,0)</f>
        <v>16.2</v>
      </c>
      <c r="M165" s="234">
        <v>4132</v>
      </c>
      <c r="N165" s="234">
        <v>100</v>
      </c>
      <c r="O165" s="235">
        <v>1.9599999999999999E-2</v>
      </c>
      <c r="P165" s="235">
        <v>-0.41110000000000002</v>
      </c>
      <c r="Q165" s="235">
        <v>-0.2420135527589545</v>
      </c>
      <c r="R165" s="234">
        <f>VLOOKUP(36632,U:AC,9,0)</f>
        <v>5</v>
      </c>
      <c r="S165" s="234">
        <f>VLOOKUP(3663,季財報!A:N,8,0)</f>
        <v>1</v>
      </c>
      <c r="T165" s="234">
        <v>10502</v>
      </c>
      <c r="U165" s="234">
        <v>36981</v>
      </c>
      <c r="V165" s="234" t="s">
        <v>2896</v>
      </c>
      <c r="W165" s="234" t="s">
        <v>2897</v>
      </c>
      <c r="X165" s="234">
        <v>244</v>
      </c>
      <c r="Y165" s="234">
        <v>244</v>
      </c>
      <c r="Z165" s="234">
        <v>0</v>
      </c>
      <c r="AA165" s="234">
        <v>0</v>
      </c>
      <c r="AB165" s="234">
        <v>10000</v>
      </c>
      <c r="AC165" s="234">
        <v>10</v>
      </c>
      <c r="AD165" s="234">
        <v>0</v>
      </c>
    </row>
    <row r="166" spans="1:30" hidden="1">
      <c r="A166" s="244" t="s">
        <v>2048</v>
      </c>
      <c r="B166" s="244" t="s">
        <v>2042</v>
      </c>
      <c r="C166" s="244">
        <v>12172</v>
      </c>
      <c r="D166" s="245">
        <v>40675.000006736111</v>
      </c>
      <c r="E166" s="245">
        <v>42502.000006736111</v>
      </c>
      <c r="F166" s="246">
        <v>300000000</v>
      </c>
      <c r="G166" s="246">
        <v>1100000</v>
      </c>
      <c r="H166" s="243">
        <v>0</v>
      </c>
      <c r="I166" s="234">
        <v>65</v>
      </c>
      <c r="J166" s="234">
        <v>102</v>
      </c>
      <c r="K166" s="234">
        <v>13.7</v>
      </c>
      <c r="L166" s="234">
        <f>VLOOKUP(1217,收盤價!A:C,3,0)</f>
        <v>8.33</v>
      </c>
      <c r="M166" s="234">
        <v>7299</v>
      </c>
      <c r="N166" s="234">
        <v>100</v>
      </c>
      <c r="O166" s="235">
        <v>1.9599999999999999E-2</v>
      </c>
      <c r="P166" s="235">
        <v>-0.66669999999999996</v>
      </c>
      <c r="Q166" s="235">
        <v>-0.13700506918755995</v>
      </c>
      <c r="R166" s="234">
        <f>VLOOKUP(12172,U:AC,9,0)</f>
        <v>3</v>
      </c>
      <c r="S166" s="234">
        <f>VLOOKUP(1217,季財報!A:N,8,0)</f>
        <v>2</v>
      </c>
      <c r="T166" s="234">
        <v>10502</v>
      </c>
      <c r="U166" s="234">
        <v>36982</v>
      </c>
      <c r="V166" s="234" t="s">
        <v>2898</v>
      </c>
      <c r="W166" s="234" t="s">
        <v>2897</v>
      </c>
      <c r="X166" s="234">
        <v>19980</v>
      </c>
      <c r="Y166" s="234">
        <v>19980</v>
      </c>
      <c r="Z166" s="234">
        <v>0</v>
      </c>
      <c r="AA166" s="234">
        <v>0</v>
      </c>
      <c r="AB166" s="234">
        <v>20000</v>
      </c>
      <c r="AC166" s="234">
        <v>125</v>
      </c>
      <c r="AD166" s="234">
        <v>0</v>
      </c>
    </row>
    <row r="167" spans="1:30" hidden="1">
      <c r="A167" s="244" t="s">
        <v>2075</v>
      </c>
      <c r="B167" s="244" t="s">
        <v>1939</v>
      </c>
      <c r="C167" s="244">
        <v>15861</v>
      </c>
      <c r="D167" s="245">
        <v>42017.000006736111</v>
      </c>
      <c r="E167" s="245">
        <v>43113.000006736111</v>
      </c>
      <c r="F167" s="246">
        <v>300000000</v>
      </c>
      <c r="G167" s="246">
        <v>300000000</v>
      </c>
      <c r="H167" s="243">
        <v>1</v>
      </c>
      <c r="I167" s="234">
        <v>676</v>
      </c>
      <c r="J167" s="234">
        <v>123.05</v>
      </c>
      <c r="K167" s="234">
        <v>29</v>
      </c>
      <c r="L167" s="234">
        <f>VLOOKUP(1586,收盤價!A:C,3,0)</f>
        <v>36.049999999999997</v>
      </c>
      <c r="M167" s="234">
        <v>3448</v>
      </c>
      <c r="N167" s="234">
        <v>120.68</v>
      </c>
      <c r="O167" s="235">
        <v>1.9300000000000001E-2</v>
      </c>
      <c r="P167" s="235">
        <v>0.1714</v>
      </c>
      <c r="Q167" s="235">
        <v>-0.29002320185614849</v>
      </c>
      <c r="R167" s="234">
        <f>VLOOKUP(15861,U:AC,9,0)</f>
        <v>50</v>
      </c>
      <c r="S167" s="234">
        <f>VLOOKUP(1586,季財報!A:N,8,0)</f>
        <v>0</v>
      </c>
      <c r="T167" s="234">
        <v>10502</v>
      </c>
      <c r="U167" s="234">
        <v>37021</v>
      </c>
      <c r="V167" s="234" t="s">
        <v>2899</v>
      </c>
      <c r="W167" s="234" t="s">
        <v>2900</v>
      </c>
      <c r="X167" s="234">
        <v>60000</v>
      </c>
      <c r="Y167" s="234">
        <v>60000</v>
      </c>
      <c r="Z167" s="234">
        <v>0</v>
      </c>
      <c r="AA167" s="234">
        <v>0</v>
      </c>
      <c r="AB167" s="234">
        <v>60000</v>
      </c>
      <c r="AC167" s="234">
        <v>128</v>
      </c>
      <c r="AD167" s="234">
        <v>0</v>
      </c>
    </row>
    <row r="168" spans="1:30">
      <c r="A168" s="244" t="s">
        <v>2139</v>
      </c>
      <c r="B168" s="244" t="s">
        <v>2140</v>
      </c>
      <c r="C168" s="244">
        <v>24615</v>
      </c>
      <c r="D168" s="245">
        <v>41932.000006736111</v>
      </c>
      <c r="E168" s="245">
        <v>43028.000006736111</v>
      </c>
      <c r="F168" s="246">
        <v>200000000</v>
      </c>
      <c r="G168" s="246">
        <v>200000000</v>
      </c>
      <c r="H168" s="243">
        <v>1</v>
      </c>
      <c r="I168" s="234">
        <v>591</v>
      </c>
      <c r="J168" s="234">
        <v>107.5</v>
      </c>
      <c r="K168" s="234">
        <v>16.3</v>
      </c>
      <c r="L168" s="234">
        <f>VLOOKUP(2461,收盤價!A:C,3,0)</f>
        <v>15.05</v>
      </c>
      <c r="M168" s="234">
        <v>6135</v>
      </c>
      <c r="N168" s="234">
        <v>100</v>
      </c>
      <c r="O168" s="235">
        <v>6.9800000000000001E-2</v>
      </c>
      <c r="P168" s="235">
        <v>-0.1203</v>
      </c>
      <c r="Q168" s="235">
        <v>-0.16299918500407498</v>
      </c>
      <c r="R168" s="234">
        <f>VLOOKUP(24615,U:AC,9,0)</f>
        <v>20</v>
      </c>
      <c r="S168" s="234">
        <f>VLOOKUP(2461,季財報!A:N,8,0)</f>
        <v>3</v>
      </c>
      <c r="T168" s="234">
        <v>10502</v>
      </c>
      <c r="U168" s="234">
        <v>37071</v>
      </c>
      <c r="V168" s="234" t="s">
        <v>2901</v>
      </c>
      <c r="W168" s="234" t="s">
        <v>2661</v>
      </c>
      <c r="X168" s="234">
        <v>6500</v>
      </c>
      <c r="Y168" s="234">
        <v>0</v>
      </c>
      <c r="Z168" s="234">
        <v>6500</v>
      </c>
      <c r="AA168" s="234">
        <v>100</v>
      </c>
      <c r="AB168" s="234">
        <v>0</v>
      </c>
      <c r="AC168" s="234">
        <v>56</v>
      </c>
      <c r="AD168" s="234">
        <v>0</v>
      </c>
    </row>
    <row r="169" spans="1:30" hidden="1">
      <c r="A169" s="244" t="s">
        <v>2100</v>
      </c>
      <c r="B169" s="244" t="s">
        <v>2101</v>
      </c>
      <c r="C169" s="244">
        <v>20066</v>
      </c>
      <c r="D169" s="245">
        <v>41218.000006736111</v>
      </c>
      <c r="E169" s="245">
        <v>43044.000006736111</v>
      </c>
      <c r="F169" s="246">
        <v>2500000000</v>
      </c>
      <c r="G169" s="246">
        <v>2482200000</v>
      </c>
      <c r="H169" s="243">
        <v>0.99</v>
      </c>
      <c r="I169" s="234">
        <v>607</v>
      </c>
      <c r="J169" s="234">
        <v>102.7</v>
      </c>
      <c r="K169" s="234">
        <v>25.2</v>
      </c>
      <c r="L169" s="234">
        <f>VLOOKUP(2006,收盤價!A:C,3,0)</f>
        <v>20.6</v>
      </c>
      <c r="M169" s="234">
        <v>3968</v>
      </c>
      <c r="N169" s="234">
        <v>100</v>
      </c>
      <c r="O169" s="235">
        <v>2.63E-2</v>
      </c>
      <c r="P169" s="235">
        <v>-0.26629999999999998</v>
      </c>
      <c r="Q169" s="235">
        <v>-0.25201612903225806</v>
      </c>
      <c r="R169" s="234">
        <f>VLOOKUP(20066,U:AC,9,0)</f>
        <v>45</v>
      </c>
      <c r="S169" s="234">
        <f>VLOOKUP(2006,季財報!A:N,8,0)</f>
        <v>1</v>
      </c>
      <c r="T169" s="234">
        <v>10502</v>
      </c>
      <c r="U169" s="234">
        <v>41045</v>
      </c>
      <c r="V169" s="234" t="s">
        <v>2902</v>
      </c>
      <c r="W169" s="234" t="s">
        <v>2903</v>
      </c>
      <c r="X169" s="234">
        <v>2401</v>
      </c>
      <c r="Y169" s="234">
        <v>2478</v>
      </c>
      <c r="Z169" s="234">
        <v>-77</v>
      </c>
      <c r="AA169" s="234">
        <v>-3.11</v>
      </c>
      <c r="AB169" s="234">
        <v>2517</v>
      </c>
      <c r="AC169" s="234">
        <v>17</v>
      </c>
      <c r="AD169" s="234">
        <v>0</v>
      </c>
    </row>
    <row r="170" spans="1:30" hidden="1">
      <c r="A170" s="244" t="s">
        <v>2342</v>
      </c>
      <c r="B170" s="244" t="s">
        <v>1962</v>
      </c>
      <c r="C170" s="244">
        <v>54757</v>
      </c>
      <c r="D170" s="245">
        <v>41694.000006736111</v>
      </c>
      <c r="E170" s="245">
        <v>42790.000006736111</v>
      </c>
      <c r="F170" s="246">
        <v>200000000</v>
      </c>
      <c r="G170" s="246">
        <v>98200000</v>
      </c>
      <c r="H170" s="243">
        <v>0.49</v>
      </c>
      <c r="I170" s="234">
        <v>353</v>
      </c>
      <c r="J170" s="234">
        <v>102.05</v>
      </c>
      <c r="K170" s="234">
        <v>7.5</v>
      </c>
      <c r="L170" s="234">
        <f>VLOOKUP(5475,收盤價!A:C,3,0)</f>
        <v>3.81</v>
      </c>
      <c r="M170" s="234">
        <v>13333</v>
      </c>
      <c r="N170" s="234">
        <v>100</v>
      </c>
      <c r="O170" s="235">
        <v>2.01E-2</v>
      </c>
      <c r="P170" s="235">
        <v>-1.3734</v>
      </c>
      <c r="Q170" s="235">
        <v>-7.5001875046876179E-2</v>
      </c>
      <c r="R170" s="234">
        <f>VLOOKUP(54757,U:AC,9,0)</f>
        <v>11</v>
      </c>
      <c r="S170" s="234">
        <f>VLOOKUP(5475,季財報!A:N,8,0)</f>
        <v>1</v>
      </c>
      <c r="T170" s="234">
        <v>10502</v>
      </c>
      <c r="U170" s="234">
        <v>41093</v>
      </c>
      <c r="V170" s="234" t="s">
        <v>2904</v>
      </c>
      <c r="W170" s="234" t="s">
        <v>2905</v>
      </c>
      <c r="X170" s="234">
        <v>2386</v>
      </c>
      <c r="Y170" s="234">
        <v>2386</v>
      </c>
      <c r="Z170" s="234">
        <v>0</v>
      </c>
      <c r="AA170" s="234">
        <v>0</v>
      </c>
      <c r="AB170" s="234">
        <v>2500</v>
      </c>
      <c r="AC170" s="234">
        <v>44</v>
      </c>
      <c r="AD170" s="234">
        <v>0</v>
      </c>
    </row>
    <row r="171" spans="1:30" hidden="1">
      <c r="A171" s="244" t="s">
        <v>2125</v>
      </c>
      <c r="B171" s="244" t="s">
        <v>2126</v>
      </c>
      <c r="C171" s="244">
        <v>24268</v>
      </c>
      <c r="D171" s="245">
        <v>42083.000006736111</v>
      </c>
      <c r="E171" s="245">
        <v>43179.000006736111</v>
      </c>
      <c r="F171" s="246">
        <v>300000000</v>
      </c>
      <c r="G171" s="246">
        <v>115700000</v>
      </c>
      <c r="H171" s="243">
        <v>0.39</v>
      </c>
      <c r="I171" s="234">
        <v>742</v>
      </c>
      <c r="J171" s="234">
        <v>124</v>
      </c>
      <c r="K171" s="234">
        <v>12.61</v>
      </c>
      <c r="L171" s="234">
        <f>VLOOKUP(2426,收盤價!A:C,3,0)</f>
        <v>15.2</v>
      </c>
      <c r="M171" s="234">
        <v>7930</v>
      </c>
      <c r="N171" s="234">
        <v>122.5185</v>
      </c>
      <c r="O171" s="235">
        <v>1.1900000000000001E-2</v>
      </c>
      <c r="P171" s="235">
        <v>0.18379999999999999</v>
      </c>
      <c r="Q171" s="235">
        <v>-0.12610340479192939</v>
      </c>
      <c r="R171" s="234">
        <f>VLOOKUP(24268,U:AC,9,0)</f>
        <v>28</v>
      </c>
      <c r="S171" s="234">
        <f>VLOOKUP(2426,季財報!A:N,8,0)</f>
        <v>2</v>
      </c>
      <c r="T171" s="234">
        <v>10502</v>
      </c>
      <c r="U171" s="234">
        <v>41134</v>
      </c>
      <c r="V171" s="234" t="s">
        <v>2906</v>
      </c>
      <c r="W171" s="234" t="s">
        <v>2907</v>
      </c>
      <c r="X171" s="234">
        <v>1883</v>
      </c>
      <c r="Y171" s="234">
        <v>1883</v>
      </c>
      <c r="Z171" s="234">
        <v>0</v>
      </c>
      <c r="AA171" s="234">
        <v>0</v>
      </c>
      <c r="AB171" s="234">
        <v>6000</v>
      </c>
      <c r="AC171" s="234">
        <v>55</v>
      </c>
      <c r="AD171" s="234">
        <v>0</v>
      </c>
    </row>
    <row r="172" spans="1:30" hidden="1">
      <c r="A172" s="244" t="s">
        <v>2339</v>
      </c>
      <c r="B172" s="244" t="s">
        <v>2340</v>
      </c>
      <c r="C172" s="244">
        <v>53885</v>
      </c>
      <c r="D172" s="245">
        <v>41152.000006736111</v>
      </c>
      <c r="E172" s="245">
        <v>42978.000006736111</v>
      </c>
      <c r="F172" s="246">
        <v>600000000</v>
      </c>
      <c r="G172" s="246">
        <v>40000000</v>
      </c>
      <c r="H172" s="243">
        <v>7.0000000000000007E-2</v>
      </c>
      <c r="I172" s="234">
        <v>541</v>
      </c>
      <c r="J172" s="234">
        <v>199</v>
      </c>
      <c r="K172" s="234">
        <v>42.41</v>
      </c>
      <c r="L172" s="234">
        <f>VLOOKUP(5388,收盤價!A:C,3,0)</f>
        <v>81.8</v>
      </c>
      <c r="M172" s="234">
        <v>2358</v>
      </c>
      <c r="N172" s="234">
        <v>202.31639999999999</v>
      </c>
      <c r="O172" s="235">
        <v>-1.67E-2</v>
      </c>
      <c r="P172" s="235">
        <v>0.50570000000000004</v>
      </c>
      <c r="Q172" s="235">
        <v>-0.42408821034775229</v>
      </c>
      <c r="R172" s="234">
        <f>VLOOKUP(53885,U:AC,9,0)</f>
        <v>2</v>
      </c>
      <c r="S172" s="234">
        <f>VLOOKUP(5388,季財報!A:N,8,0)</f>
        <v>5</v>
      </c>
      <c r="T172" s="234">
        <v>10502</v>
      </c>
      <c r="U172" s="234">
        <v>41145</v>
      </c>
      <c r="V172" s="234" t="s">
        <v>2908</v>
      </c>
      <c r="W172" s="234" t="s">
        <v>2909</v>
      </c>
      <c r="X172" s="234">
        <v>5000</v>
      </c>
      <c r="Y172" s="234">
        <v>5000</v>
      </c>
      <c r="Z172" s="234">
        <v>0</v>
      </c>
      <c r="AA172" s="234">
        <v>0</v>
      </c>
      <c r="AB172" s="234">
        <v>5000</v>
      </c>
      <c r="AC172" s="234">
        <v>16</v>
      </c>
      <c r="AD172" s="234">
        <v>0</v>
      </c>
    </row>
    <row r="173" spans="1:30" hidden="1">
      <c r="A173" s="244" t="s">
        <v>2092</v>
      </c>
      <c r="B173" s="244" t="s">
        <v>2093</v>
      </c>
      <c r="C173" s="244">
        <v>17332</v>
      </c>
      <c r="D173" s="245">
        <v>42200.000006736111</v>
      </c>
      <c r="E173" s="245">
        <v>43296.000006736111</v>
      </c>
      <c r="F173" s="246">
        <v>400000000</v>
      </c>
      <c r="G173" s="246">
        <v>365000000</v>
      </c>
      <c r="H173" s="243">
        <v>0.91</v>
      </c>
      <c r="I173" s="234">
        <v>859</v>
      </c>
      <c r="J173" s="234">
        <v>104.45</v>
      </c>
      <c r="K173" s="234">
        <v>46.3</v>
      </c>
      <c r="L173" s="234">
        <f>VLOOKUP(1733,收盤價!A:C,3,0)</f>
        <v>45.4</v>
      </c>
      <c r="M173" s="234">
        <v>2160</v>
      </c>
      <c r="N173" s="234">
        <v>100</v>
      </c>
      <c r="O173" s="235">
        <v>4.2599999999999999E-2</v>
      </c>
      <c r="P173" s="235">
        <v>-3.8100000000000002E-2</v>
      </c>
      <c r="Q173" s="235">
        <v>-0.46296296296296297</v>
      </c>
      <c r="R173" s="234">
        <f>VLOOKUP(17332,U:AC,9,0)</f>
        <v>57</v>
      </c>
      <c r="S173" s="234">
        <f>VLOOKUP(1733,季財報!A:N,8,0)</f>
        <v>4</v>
      </c>
      <c r="T173" s="234">
        <v>10502</v>
      </c>
      <c r="U173" s="234">
        <v>41191</v>
      </c>
      <c r="V173" s="234" t="s">
        <v>2910</v>
      </c>
      <c r="W173" s="234" t="s">
        <v>2911</v>
      </c>
      <c r="X173" s="234">
        <v>1920</v>
      </c>
      <c r="Y173" s="234">
        <v>1933</v>
      </c>
      <c r="Z173" s="234">
        <v>-13</v>
      </c>
      <c r="AA173" s="234">
        <v>-0.67</v>
      </c>
      <c r="AB173" s="234">
        <v>6000</v>
      </c>
      <c r="AC173" s="234">
        <v>27</v>
      </c>
      <c r="AD173" s="234">
        <v>0</v>
      </c>
    </row>
    <row r="174" spans="1:30" hidden="1">
      <c r="A174" s="244" t="s">
        <v>2415</v>
      </c>
      <c r="B174" s="244" t="s">
        <v>1955</v>
      </c>
      <c r="C174" s="244">
        <v>81712</v>
      </c>
      <c r="D174" s="245">
        <v>41887.000006736111</v>
      </c>
      <c r="E174" s="245">
        <v>42983.000006736111</v>
      </c>
      <c r="F174" s="246">
        <v>160000000</v>
      </c>
      <c r="G174" s="246">
        <v>160000000</v>
      </c>
      <c r="H174" s="243">
        <v>1</v>
      </c>
      <c r="I174" s="234">
        <v>546</v>
      </c>
      <c r="J174" s="234">
        <v>102.5</v>
      </c>
      <c r="K174" s="234">
        <v>19.600000000000001</v>
      </c>
      <c r="L174" s="234">
        <f>VLOOKUP(8171,收盤價!A:C,3,0)</f>
        <v>12.55</v>
      </c>
      <c r="M174" s="234">
        <v>5102</v>
      </c>
      <c r="N174" s="234">
        <v>100</v>
      </c>
      <c r="O174" s="235">
        <v>2.4400000000000002E-2</v>
      </c>
      <c r="P174" s="235">
        <v>-0.61980000000000002</v>
      </c>
      <c r="Q174" s="235">
        <v>-0.19600156801254409</v>
      </c>
      <c r="R174" s="234">
        <f>VLOOKUP(81712,U:AC,9,0)</f>
        <v>15</v>
      </c>
      <c r="S174" s="234">
        <f>VLOOKUP(8171,季財報!A:N,8,0)</f>
        <v>2</v>
      </c>
      <c r="T174" s="234">
        <v>10502</v>
      </c>
      <c r="U174" s="234">
        <v>41233</v>
      </c>
      <c r="V174" s="234" t="s">
        <v>2912</v>
      </c>
      <c r="W174" s="234" t="s">
        <v>2913</v>
      </c>
      <c r="X174" s="234">
        <v>27924</v>
      </c>
      <c r="Y174" s="234">
        <v>27924</v>
      </c>
      <c r="Z174" s="234">
        <v>0</v>
      </c>
      <c r="AA174" s="234">
        <v>0</v>
      </c>
      <c r="AB174" s="234">
        <v>34000</v>
      </c>
      <c r="AC174" s="234">
        <v>237</v>
      </c>
      <c r="AD174" s="234">
        <v>0</v>
      </c>
    </row>
    <row r="175" spans="1:30" hidden="1">
      <c r="A175" s="244" t="s">
        <v>2342</v>
      </c>
      <c r="B175" s="244" t="s">
        <v>1962</v>
      </c>
      <c r="C175" s="244">
        <v>54759</v>
      </c>
      <c r="D175" s="245">
        <v>42243.000006736111</v>
      </c>
      <c r="E175" s="245">
        <v>43339.000006736111</v>
      </c>
      <c r="F175" s="246">
        <v>200000000</v>
      </c>
      <c r="G175" s="246">
        <v>200000000</v>
      </c>
      <c r="H175" s="243">
        <v>1</v>
      </c>
      <c r="I175" s="234">
        <v>902</v>
      </c>
      <c r="J175" s="234">
        <v>103.7</v>
      </c>
      <c r="K175" s="234">
        <v>4.8</v>
      </c>
      <c r="L175" s="234">
        <f>VLOOKUP(5475,收盤價!A:C,3,0)</f>
        <v>3.81</v>
      </c>
      <c r="M175" s="234">
        <v>20833</v>
      </c>
      <c r="N175" s="234">
        <v>100</v>
      </c>
      <c r="O175" s="235">
        <v>3.5700000000000003E-2</v>
      </c>
      <c r="P175" s="235">
        <v>-0.51900000000000002</v>
      </c>
      <c r="Q175" s="235">
        <v>-4.8000768012288191E-2</v>
      </c>
      <c r="R175" s="234">
        <f>VLOOKUP(54759,U:AC,9,0)</f>
        <v>19</v>
      </c>
      <c r="S175" s="234">
        <f>VLOOKUP(5475,季財報!A:N,8,0)</f>
        <v>1</v>
      </c>
      <c r="T175" s="234">
        <v>10502</v>
      </c>
      <c r="U175" s="234">
        <v>41301</v>
      </c>
      <c r="V175" s="234" t="s">
        <v>2914</v>
      </c>
      <c r="W175" s="234" t="s">
        <v>2915</v>
      </c>
      <c r="X175" s="234">
        <v>2500</v>
      </c>
      <c r="Y175" s="234">
        <v>2500</v>
      </c>
      <c r="Z175" s="234">
        <v>0</v>
      </c>
      <c r="AA175" s="234">
        <v>0</v>
      </c>
      <c r="AB175" s="234">
        <v>2500</v>
      </c>
      <c r="AC175" s="234">
        <v>40</v>
      </c>
      <c r="AD175" s="234">
        <v>0</v>
      </c>
    </row>
    <row r="176" spans="1:30" hidden="1">
      <c r="A176" s="244" t="s">
        <v>2071</v>
      </c>
      <c r="B176" s="244" t="s">
        <v>2072</v>
      </c>
      <c r="C176" s="244">
        <v>15822</v>
      </c>
      <c r="D176" s="245">
        <v>42024.000006736111</v>
      </c>
      <c r="E176" s="245">
        <v>43120.000006736111</v>
      </c>
      <c r="F176" s="246">
        <v>800000000</v>
      </c>
      <c r="G176" s="246">
        <v>800000000</v>
      </c>
      <c r="H176" s="243">
        <v>1</v>
      </c>
      <c r="I176" s="234">
        <v>683</v>
      </c>
      <c r="J176" s="234">
        <v>103.3</v>
      </c>
      <c r="K176" s="234">
        <v>58.8</v>
      </c>
      <c r="L176" s="234">
        <f>VLOOKUP(1582,收盤價!A:C,3,0)</f>
        <v>51.5</v>
      </c>
      <c r="M176" s="234">
        <v>1701</v>
      </c>
      <c r="N176" s="234">
        <v>100</v>
      </c>
      <c r="O176" s="235">
        <v>3.1899999999999998E-2</v>
      </c>
      <c r="P176" s="235">
        <v>-0.15290000000000001</v>
      </c>
      <c r="Q176" s="235">
        <v>-0.58788947677836567</v>
      </c>
      <c r="R176" s="234">
        <f>VLOOKUP(15822,U:AC,9,0)</f>
        <v>59</v>
      </c>
      <c r="S176" s="234">
        <f>VLOOKUP(1582,季財報!A:N,8,0)</f>
        <v>3</v>
      </c>
      <c r="T176" s="234">
        <v>10502</v>
      </c>
      <c r="U176" s="234">
        <v>41371</v>
      </c>
      <c r="V176" s="234" t="s">
        <v>2916</v>
      </c>
      <c r="W176" s="234" t="s">
        <v>2917</v>
      </c>
      <c r="X176" s="234">
        <v>9000</v>
      </c>
      <c r="Y176" s="234">
        <v>9000</v>
      </c>
      <c r="Z176" s="234">
        <v>0</v>
      </c>
      <c r="AA176" s="234">
        <v>0</v>
      </c>
      <c r="AB176" s="234">
        <v>9000</v>
      </c>
      <c r="AC176" s="234">
        <v>49</v>
      </c>
      <c r="AD176" s="234">
        <v>0</v>
      </c>
    </row>
    <row r="177" spans="1:30">
      <c r="A177" s="244" t="s">
        <v>2379</v>
      </c>
      <c r="B177" s="244" t="s">
        <v>1996</v>
      </c>
      <c r="C177" s="244">
        <v>62191</v>
      </c>
      <c r="D177" s="245">
        <v>41561.000006736111</v>
      </c>
      <c r="E177" s="245">
        <v>42657.000006736111</v>
      </c>
      <c r="F177" s="246">
        <v>200000000</v>
      </c>
      <c r="G177" s="246">
        <v>131500000</v>
      </c>
      <c r="H177" s="243">
        <v>0.66</v>
      </c>
      <c r="I177" s="234">
        <v>220</v>
      </c>
      <c r="J177" s="234">
        <v>102.6</v>
      </c>
      <c r="K177" s="234">
        <v>14.35</v>
      </c>
      <c r="L177" s="234">
        <f>VLOOKUP(6219,收盤價!A:C,3,0)</f>
        <v>11.6</v>
      </c>
      <c r="M177" s="234">
        <v>6969</v>
      </c>
      <c r="N177" s="234">
        <v>100</v>
      </c>
      <c r="O177" s="235">
        <v>2.53E-2</v>
      </c>
      <c r="P177" s="235">
        <v>-0.23180000000000001</v>
      </c>
      <c r="Q177" s="235">
        <v>-0.14349261013057829</v>
      </c>
      <c r="R177" s="234">
        <f>VLOOKUP(62191,U:AC,9,0)</f>
        <v>8</v>
      </c>
      <c r="S177" s="234">
        <f>VLOOKUP(6219,季財報!A:N,8,0)</f>
        <v>3</v>
      </c>
      <c r="T177" s="234">
        <v>10502</v>
      </c>
      <c r="U177" s="234">
        <v>41382</v>
      </c>
      <c r="V177" s="234" t="s">
        <v>2918</v>
      </c>
      <c r="W177" s="234" t="s">
        <v>2919</v>
      </c>
      <c r="X177" s="234">
        <v>3000</v>
      </c>
      <c r="Y177" s="234">
        <v>3000</v>
      </c>
      <c r="Z177" s="234">
        <v>0</v>
      </c>
      <c r="AA177" s="234">
        <v>0</v>
      </c>
      <c r="AB177" s="234">
        <v>3000</v>
      </c>
      <c r="AC177" s="234">
        <v>23</v>
      </c>
      <c r="AD177" s="234">
        <v>0</v>
      </c>
    </row>
    <row r="178" spans="1:30" hidden="1">
      <c r="A178" s="244" t="s">
        <v>2338</v>
      </c>
      <c r="B178" s="244" t="s">
        <v>1985</v>
      </c>
      <c r="C178" s="244">
        <v>53093</v>
      </c>
      <c r="D178" s="245">
        <v>42016.000006736111</v>
      </c>
      <c r="E178" s="245">
        <v>43112.000006736111</v>
      </c>
      <c r="F178" s="246">
        <v>400000000</v>
      </c>
      <c r="G178" s="246">
        <v>249100000</v>
      </c>
      <c r="H178" s="243">
        <v>0.62</v>
      </c>
      <c r="I178" s="234">
        <v>675</v>
      </c>
      <c r="J178" s="234">
        <v>127.9</v>
      </c>
      <c r="K178" s="234">
        <v>14.85</v>
      </c>
      <c r="L178" s="234">
        <f>VLOOKUP(5309,收盤價!A:C,3,0)</f>
        <v>18.8</v>
      </c>
      <c r="M178" s="234">
        <v>6734</v>
      </c>
      <c r="N178" s="234">
        <v>127.2726</v>
      </c>
      <c r="O178" s="235">
        <v>4.8999999999999998E-3</v>
      </c>
      <c r="P178" s="235">
        <v>0.21429999999999999</v>
      </c>
      <c r="Q178" s="235">
        <v>-0.1485001485001485</v>
      </c>
      <c r="R178" s="234">
        <f>VLOOKUP(53093,U:AC,9,0)</f>
        <v>54</v>
      </c>
      <c r="S178" s="234">
        <f>VLOOKUP(5309,季財報!A:N,8,0)</f>
        <v>2</v>
      </c>
      <c r="T178" s="234">
        <v>10502</v>
      </c>
      <c r="U178" s="234">
        <v>41411</v>
      </c>
      <c r="V178" s="234" t="s">
        <v>2920</v>
      </c>
      <c r="W178" s="234" t="s">
        <v>2921</v>
      </c>
      <c r="X178" s="234">
        <v>236</v>
      </c>
      <c r="Y178" s="234">
        <v>236</v>
      </c>
      <c r="Z178" s="234">
        <v>0</v>
      </c>
      <c r="AA178" s="234">
        <v>0</v>
      </c>
      <c r="AB178" s="234">
        <v>4000</v>
      </c>
      <c r="AC178" s="234">
        <v>31</v>
      </c>
      <c r="AD178" s="234">
        <v>0</v>
      </c>
    </row>
    <row r="179" spans="1:30" hidden="1">
      <c r="A179" s="244" t="s">
        <v>2195</v>
      </c>
      <c r="B179" s="244" t="s">
        <v>2196</v>
      </c>
      <c r="C179" s="244">
        <v>30235</v>
      </c>
      <c r="D179" s="245">
        <v>41813.000006736111</v>
      </c>
      <c r="E179" s="245">
        <v>42909.000006736111</v>
      </c>
      <c r="F179" s="246">
        <v>300000000</v>
      </c>
      <c r="G179" s="246">
        <v>48200000</v>
      </c>
      <c r="H179" s="243">
        <v>0.16</v>
      </c>
      <c r="I179" s="234">
        <v>472</v>
      </c>
      <c r="J179" s="234">
        <v>154</v>
      </c>
      <c r="K179" s="234">
        <v>41.2</v>
      </c>
      <c r="L179" s="234">
        <f>VLOOKUP(3023,收盤價!A:C,3,0)</f>
        <v>65</v>
      </c>
      <c r="M179" s="234">
        <v>2427</v>
      </c>
      <c r="N179" s="234">
        <v>156.29880000000003</v>
      </c>
      <c r="O179" s="235">
        <v>-1.49E-2</v>
      </c>
      <c r="P179" s="235">
        <v>0.36020000000000002</v>
      </c>
      <c r="Q179" s="235">
        <v>-0.41203131437989288</v>
      </c>
      <c r="R179" s="234">
        <f>VLOOKUP(30235,U:AC,9,0)</f>
        <v>11</v>
      </c>
      <c r="S179" s="234">
        <f>VLOOKUP(3023,季財報!A:N,8,0)</f>
        <v>3</v>
      </c>
      <c r="T179" s="234">
        <v>10502</v>
      </c>
      <c r="U179" s="234">
        <v>41531</v>
      </c>
      <c r="V179" s="234" t="s">
        <v>2922</v>
      </c>
      <c r="W179" s="234" t="s">
        <v>2923</v>
      </c>
      <c r="X179" s="234">
        <v>1328</v>
      </c>
      <c r="Y179" s="234">
        <v>1328</v>
      </c>
      <c r="Z179" s="234">
        <v>0</v>
      </c>
      <c r="AA179" s="234">
        <v>0</v>
      </c>
      <c r="AB179" s="234">
        <v>2000</v>
      </c>
      <c r="AC179" s="234">
        <v>7</v>
      </c>
      <c r="AD179" s="234">
        <v>0</v>
      </c>
    </row>
    <row r="180" spans="1:30" hidden="1">
      <c r="A180" s="244" t="s">
        <v>2416</v>
      </c>
      <c r="B180" s="244" t="s">
        <v>1984</v>
      </c>
      <c r="C180" s="244">
        <v>82402</v>
      </c>
      <c r="D180" s="245">
        <v>41295.000006736111</v>
      </c>
      <c r="E180" s="245">
        <v>43121.000006736111</v>
      </c>
      <c r="F180" s="246">
        <v>300000000</v>
      </c>
      <c r="G180" s="246">
        <v>300000000</v>
      </c>
      <c r="H180" s="243">
        <v>1</v>
      </c>
      <c r="I180" s="234">
        <v>684</v>
      </c>
      <c r="J180" s="234">
        <v>102.7</v>
      </c>
      <c r="K180" s="234">
        <v>41.3</v>
      </c>
      <c r="L180" s="234">
        <f>VLOOKUP(8240,收盤價!A:C,3,0)</f>
        <v>20.3</v>
      </c>
      <c r="M180" s="234">
        <v>2421</v>
      </c>
      <c r="N180" s="234">
        <v>100</v>
      </c>
      <c r="O180" s="235">
        <v>2.63E-2</v>
      </c>
      <c r="P180" s="235">
        <v>-1.2445999999999999</v>
      </c>
      <c r="Q180" s="235">
        <v>-0.41305245766212306</v>
      </c>
      <c r="R180" s="234" t="e">
        <f>VLOOKUP(82402,U:AC,9,0)</f>
        <v>#N/A</v>
      </c>
      <c r="S180" s="234">
        <f>VLOOKUP(8240,季財報!A:N,8,0)</f>
        <v>4</v>
      </c>
      <c r="T180" s="234">
        <v>10502</v>
      </c>
      <c r="U180" s="234">
        <v>41532</v>
      </c>
      <c r="V180" s="234" t="s">
        <v>2924</v>
      </c>
      <c r="W180" s="234" t="s">
        <v>2923</v>
      </c>
      <c r="X180" s="234">
        <v>3000</v>
      </c>
      <c r="Y180" s="234">
        <v>3000</v>
      </c>
      <c r="Z180" s="234">
        <v>0</v>
      </c>
      <c r="AA180" s="234">
        <v>0</v>
      </c>
      <c r="AB180" s="234">
        <v>3000</v>
      </c>
      <c r="AC180" s="234">
        <v>44</v>
      </c>
      <c r="AD180" s="234">
        <v>0</v>
      </c>
    </row>
    <row r="181" spans="1:30" hidden="1">
      <c r="A181" s="244" t="s">
        <v>2396</v>
      </c>
      <c r="B181" s="244" t="s">
        <v>1965</v>
      </c>
      <c r="C181" s="244">
        <v>62905</v>
      </c>
      <c r="D181" s="245">
        <v>40759.000006736111</v>
      </c>
      <c r="E181" s="245">
        <v>42586.000006736111</v>
      </c>
      <c r="F181" s="246">
        <v>200000000</v>
      </c>
      <c r="G181" s="246">
        <v>21200000</v>
      </c>
      <c r="H181" s="243">
        <v>0.11</v>
      </c>
      <c r="I181" s="234">
        <v>149</v>
      </c>
      <c r="J181" s="234">
        <v>120</v>
      </c>
      <c r="K181" s="234">
        <v>24.5</v>
      </c>
      <c r="L181" s="234">
        <f>VLOOKUP(6290,收盤價!A:C,3,0)</f>
        <v>33.15</v>
      </c>
      <c r="M181" s="234">
        <v>4082</v>
      </c>
      <c r="N181" s="234">
        <v>137.15520000000001</v>
      </c>
      <c r="O181" s="235">
        <v>-0.14299999999999999</v>
      </c>
      <c r="P181" s="235">
        <v>0.27079999999999999</v>
      </c>
      <c r="Q181" s="235">
        <v>-0.24497795198432143</v>
      </c>
      <c r="R181" s="234">
        <f>VLOOKUP(62905,U:AC,9,0)</f>
        <v>1</v>
      </c>
      <c r="S181" s="234">
        <f>VLOOKUP(6290,季財報!A:N,8,0)</f>
        <v>1</v>
      </c>
      <c r="T181" s="234">
        <v>10502</v>
      </c>
      <c r="U181" s="234">
        <v>41611</v>
      </c>
      <c r="V181" s="234" t="s">
        <v>2925</v>
      </c>
      <c r="W181" s="234" t="s">
        <v>2926</v>
      </c>
      <c r="X181" s="234">
        <v>384</v>
      </c>
      <c r="Y181" s="234">
        <v>384</v>
      </c>
      <c r="Z181" s="234">
        <v>0</v>
      </c>
      <c r="AA181" s="234">
        <v>0</v>
      </c>
      <c r="AB181" s="234">
        <v>2500</v>
      </c>
      <c r="AC181" s="234">
        <v>4</v>
      </c>
      <c r="AD181" s="234">
        <v>0</v>
      </c>
    </row>
    <row r="182" spans="1:30" hidden="1">
      <c r="A182" s="244" t="s">
        <v>2242</v>
      </c>
      <c r="B182" s="244" t="s">
        <v>2243</v>
      </c>
      <c r="C182" s="244">
        <v>35451</v>
      </c>
      <c r="D182" s="245">
        <v>41442.000006736111</v>
      </c>
      <c r="E182" s="245">
        <v>43268.000006736111</v>
      </c>
      <c r="F182" s="246">
        <v>1000000000</v>
      </c>
      <c r="G182" s="246">
        <v>996200000</v>
      </c>
      <c r="H182" s="243">
        <v>1</v>
      </c>
      <c r="I182" s="234">
        <v>831</v>
      </c>
      <c r="J182" s="234">
        <v>103.3</v>
      </c>
      <c r="K182" s="234">
        <v>49.46</v>
      </c>
      <c r="L182" s="234">
        <f>VLOOKUP(3545,收盤價!A:C,3,0)</f>
        <v>31.4</v>
      </c>
      <c r="M182" s="234">
        <v>2022</v>
      </c>
      <c r="N182" s="234">
        <v>100</v>
      </c>
      <c r="O182" s="235">
        <v>3.1899999999999998E-2</v>
      </c>
      <c r="P182" s="235">
        <v>-0.50790000000000002</v>
      </c>
      <c r="Q182" s="235">
        <v>-0.49455984174085066</v>
      </c>
      <c r="R182" s="234">
        <f>VLOOKUP(35451,U:AC,9,0)</f>
        <v>91</v>
      </c>
      <c r="S182" s="234">
        <f>VLOOKUP(3545,季財報!A:N,8,0)</f>
        <v>3</v>
      </c>
      <c r="T182" s="234">
        <v>10502</v>
      </c>
      <c r="U182" s="234">
        <v>41631</v>
      </c>
      <c r="V182" s="234" t="s">
        <v>2927</v>
      </c>
      <c r="W182" s="234" t="s">
        <v>2928</v>
      </c>
      <c r="X182" s="234">
        <v>5000</v>
      </c>
      <c r="Y182" s="234">
        <v>5000</v>
      </c>
      <c r="Z182" s="234">
        <v>0</v>
      </c>
      <c r="AA182" s="234">
        <v>0</v>
      </c>
      <c r="AB182" s="234">
        <v>5000</v>
      </c>
      <c r="AC182" s="234">
        <v>27</v>
      </c>
      <c r="AD182" s="234">
        <v>0</v>
      </c>
    </row>
    <row r="183" spans="1:30" hidden="1">
      <c r="A183" s="244" t="s">
        <v>2421</v>
      </c>
      <c r="B183" s="244" t="s">
        <v>1977</v>
      </c>
      <c r="C183" s="244">
        <v>84032</v>
      </c>
      <c r="D183" s="245">
        <v>41488.000006736111</v>
      </c>
      <c r="E183" s="245">
        <v>42584.000006736111</v>
      </c>
      <c r="F183" s="246">
        <v>500000000</v>
      </c>
      <c r="G183" s="246">
        <v>52800000</v>
      </c>
      <c r="H183" s="243">
        <v>0.11</v>
      </c>
      <c r="I183" s="234">
        <v>147</v>
      </c>
      <c r="J183" s="234">
        <v>133.19999999999999</v>
      </c>
      <c r="K183" s="234">
        <v>36.090000000000003</v>
      </c>
      <c r="L183" s="234">
        <f>VLOOKUP(8403,收盤價!A:C,3,0)</f>
        <v>48.3</v>
      </c>
      <c r="M183" s="234">
        <v>2771</v>
      </c>
      <c r="N183" s="234">
        <v>135.50190000000001</v>
      </c>
      <c r="O183" s="235">
        <v>-1.7299999999999999E-2</v>
      </c>
      <c r="P183" s="235">
        <v>0.26200000000000001</v>
      </c>
      <c r="Q183" s="235">
        <v>-0.36088054853843382</v>
      </c>
      <c r="R183" s="234">
        <f>VLOOKUP(84032,U:AC,9,0)</f>
        <v>27</v>
      </c>
      <c r="S183" s="234">
        <f>VLOOKUP(8403,季財報!A:N,8,0)</f>
        <v>1</v>
      </c>
      <c r="T183" s="234">
        <v>10502</v>
      </c>
      <c r="U183" s="234">
        <v>41642</v>
      </c>
      <c r="V183" s="234" t="s">
        <v>2929</v>
      </c>
      <c r="W183" s="234" t="s">
        <v>2930</v>
      </c>
      <c r="X183" s="234">
        <v>10000</v>
      </c>
      <c r="Y183" s="234">
        <v>10000</v>
      </c>
      <c r="Z183" s="234">
        <v>0</v>
      </c>
      <c r="AA183" s="234">
        <v>0</v>
      </c>
      <c r="AB183" s="234">
        <v>10000</v>
      </c>
      <c r="AC183" s="234">
        <v>25</v>
      </c>
      <c r="AD183" s="234">
        <v>0</v>
      </c>
    </row>
    <row r="184" spans="1:30" hidden="1">
      <c r="A184" s="244" t="s">
        <v>2306</v>
      </c>
      <c r="B184" s="244" t="s">
        <v>1946</v>
      </c>
      <c r="C184" s="244">
        <v>47351</v>
      </c>
      <c r="D184" s="245">
        <v>41607.000006736111</v>
      </c>
      <c r="E184" s="245">
        <v>42703.000006736111</v>
      </c>
      <c r="F184" s="246">
        <v>100000000</v>
      </c>
      <c r="G184" s="246">
        <v>3000000</v>
      </c>
      <c r="H184" s="243">
        <v>0.03</v>
      </c>
      <c r="I184" s="234">
        <v>266</v>
      </c>
      <c r="J184" s="234">
        <v>198</v>
      </c>
      <c r="K184" s="234">
        <v>18.399999999999999</v>
      </c>
      <c r="L184" s="234">
        <f>VLOOKUP(4735,收盤價!A:C,3,0)</f>
        <v>34.049999999999997</v>
      </c>
      <c r="M184" s="234">
        <v>5435</v>
      </c>
      <c r="N184" s="234">
        <v>192.399</v>
      </c>
      <c r="O184" s="235">
        <v>2.8299999999999999E-2</v>
      </c>
      <c r="P184" s="235">
        <v>0.48020000000000002</v>
      </c>
      <c r="Q184" s="235">
        <v>-0.18399264029438822</v>
      </c>
      <c r="R184" s="234">
        <f>VLOOKUP(47351,U:AC,9,0)</f>
        <v>1</v>
      </c>
      <c r="S184" s="234">
        <f>VLOOKUP(4735,季財報!A:N,8,0)</f>
        <v>3</v>
      </c>
      <c r="T184" s="234">
        <v>10502</v>
      </c>
      <c r="U184" s="234">
        <v>43066</v>
      </c>
      <c r="V184" s="234" t="s">
        <v>2931</v>
      </c>
      <c r="W184" s="234" t="s">
        <v>2932</v>
      </c>
      <c r="X184" s="234">
        <v>6674</v>
      </c>
      <c r="Y184" s="234">
        <v>6674</v>
      </c>
      <c r="Z184" s="234">
        <v>0</v>
      </c>
      <c r="AA184" s="234">
        <v>0</v>
      </c>
      <c r="AB184" s="234">
        <v>10000</v>
      </c>
      <c r="AC184" s="234">
        <v>81</v>
      </c>
      <c r="AD184" s="234">
        <v>0</v>
      </c>
    </row>
    <row r="185" spans="1:30" hidden="1">
      <c r="A185" s="244" t="s">
        <v>2164</v>
      </c>
      <c r="B185" s="244" t="s">
        <v>2165</v>
      </c>
      <c r="C185" s="244">
        <v>26012</v>
      </c>
      <c r="D185" s="245">
        <v>42044.000006736111</v>
      </c>
      <c r="E185" s="245">
        <v>43140.000006736111</v>
      </c>
      <c r="F185" s="246">
        <v>100000000</v>
      </c>
      <c r="G185" s="246">
        <v>100000000</v>
      </c>
      <c r="H185" s="243">
        <v>1</v>
      </c>
      <c r="I185" s="234">
        <v>703</v>
      </c>
      <c r="J185" s="234">
        <v>103</v>
      </c>
      <c r="K185" s="234">
        <v>17.399999999999999</v>
      </c>
      <c r="L185" s="234">
        <f>VLOOKUP(2601,收盤價!A:C,3,0)</f>
        <v>9.34</v>
      </c>
      <c r="M185" s="234">
        <v>5747</v>
      </c>
      <c r="N185" s="234">
        <v>100</v>
      </c>
      <c r="O185" s="235">
        <v>2.9100000000000001E-2</v>
      </c>
      <c r="P185" s="235">
        <v>-0.86699999999999999</v>
      </c>
      <c r="Q185" s="235">
        <v>-0.17400382808421785</v>
      </c>
      <c r="R185" s="234">
        <f>VLOOKUP(26012,U:AC,9,0)</f>
        <v>9</v>
      </c>
      <c r="S185" s="234">
        <f>VLOOKUP(2601,季財報!A:N,8,0)</f>
        <v>0</v>
      </c>
      <c r="T185" s="234">
        <v>10502</v>
      </c>
      <c r="U185" s="234">
        <v>43067</v>
      </c>
      <c r="V185" s="234" t="s">
        <v>2933</v>
      </c>
      <c r="W185" s="234" t="s">
        <v>2934</v>
      </c>
      <c r="X185" s="234">
        <v>289</v>
      </c>
      <c r="Y185" s="234">
        <v>323</v>
      </c>
      <c r="Z185" s="234">
        <v>-34</v>
      </c>
      <c r="AA185" s="234">
        <v>-10.53</v>
      </c>
      <c r="AB185" s="234">
        <v>3000</v>
      </c>
      <c r="AC185" s="234">
        <v>14</v>
      </c>
      <c r="AD185" s="234">
        <v>0</v>
      </c>
    </row>
    <row r="186" spans="1:30" hidden="1">
      <c r="A186" s="244" t="s">
        <v>2061</v>
      </c>
      <c r="B186" s="244" t="s">
        <v>2062</v>
      </c>
      <c r="C186" s="244">
        <v>14663</v>
      </c>
      <c r="D186" s="245">
        <v>41906.000006736111</v>
      </c>
      <c r="E186" s="245">
        <v>43732.000006736111</v>
      </c>
      <c r="F186" s="246">
        <v>400000000</v>
      </c>
      <c r="G186" s="246">
        <v>400000000</v>
      </c>
      <c r="H186" s="243">
        <v>1</v>
      </c>
      <c r="I186" s="234">
        <v>1295</v>
      </c>
      <c r="J186" s="234">
        <v>103</v>
      </c>
      <c r="K186" s="234">
        <v>21.8</v>
      </c>
      <c r="L186" s="234">
        <f>VLOOKUP(1466,收盤價!A:C,3,0)</f>
        <v>16.3</v>
      </c>
      <c r="M186" s="234">
        <v>4587</v>
      </c>
      <c r="N186" s="234">
        <v>100</v>
      </c>
      <c r="O186" s="235">
        <v>2.9100000000000001E-2</v>
      </c>
      <c r="P186" s="235">
        <v>-0.36249999999999999</v>
      </c>
      <c r="Q186" s="235">
        <v>-0.21800741225201659</v>
      </c>
      <c r="R186" s="234">
        <f>VLOOKUP(14663,U:AC,9,0)</f>
        <v>21</v>
      </c>
      <c r="S186" s="234">
        <f>VLOOKUP(1466,季財報!A:N,8,0)</f>
        <v>1</v>
      </c>
      <c r="T186" s="234">
        <v>10502</v>
      </c>
      <c r="U186" s="234">
        <v>44144</v>
      </c>
      <c r="V186" s="234" t="s">
        <v>2935</v>
      </c>
      <c r="W186" s="234" t="s">
        <v>2936</v>
      </c>
      <c r="X186" s="234">
        <v>9900</v>
      </c>
      <c r="Y186" s="234">
        <v>9900</v>
      </c>
      <c r="Z186" s="234">
        <v>0</v>
      </c>
      <c r="AA186" s="234">
        <v>0</v>
      </c>
      <c r="AB186" s="234">
        <v>9900</v>
      </c>
      <c r="AC186" s="234">
        <v>68</v>
      </c>
      <c r="AD186" s="234">
        <v>0</v>
      </c>
    </row>
    <row r="187" spans="1:30" hidden="1">
      <c r="A187" s="244" t="s">
        <v>2304</v>
      </c>
      <c r="B187" s="244" t="s">
        <v>2305</v>
      </c>
      <c r="C187" s="244">
        <v>47332</v>
      </c>
      <c r="D187" s="245">
        <v>42187.000006736111</v>
      </c>
      <c r="E187" s="245">
        <v>44014.000006736111</v>
      </c>
      <c r="F187" s="246">
        <v>700000000</v>
      </c>
      <c r="G187" s="246">
        <v>700000000</v>
      </c>
      <c r="H187" s="243">
        <v>1</v>
      </c>
      <c r="I187" s="234">
        <v>1577</v>
      </c>
      <c r="J187" s="234">
        <v>100.15</v>
      </c>
      <c r="K187" s="234">
        <v>280</v>
      </c>
      <c r="L187" s="234">
        <f>VLOOKUP(4733,收盤價!A:C,3,0)</f>
        <v>153</v>
      </c>
      <c r="M187" s="234">
        <v>357</v>
      </c>
      <c r="N187" s="234">
        <v>100</v>
      </c>
      <c r="O187" s="235">
        <v>1.5E-3</v>
      </c>
      <c r="P187" s="235">
        <v>-0.98580000000000001</v>
      </c>
      <c r="Q187" s="235">
        <v>-2.8011204481792715</v>
      </c>
      <c r="R187" s="234">
        <f>VLOOKUP(47332,U:AC,9,0)</f>
        <v>59</v>
      </c>
      <c r="S187" s="234">
        <f>VLOOKUP(4733,季財報!A:N,8,0)</f>
        <v>2</v>
      </c>
      <c r="T187" s="234">
        <v>10502</v>
      </c>
      <c r="U187" s="234">
        <v>44161</v>
      </c>
      <c r="V187" s="234" t="s">
        <v>2937</v>
      </c>
      <c r="W187" s="234" t="s">
        <v>2938</v>
      </c>
      <c r="X187" s="234">
        <v>9979</v>
      </c>
      <c r="Y187" s="234">
        <v>9979</v>
      </c>
      <c r="Z187" s="234">
        <v>0</v>
      </c>
      <c r="AA187" s="234">
        <v>0</v>
      </c>
      <c r="AB187" s="234">
        <v>10000</v>
      </c>
      <c r="AC187" s="234">
        <v>54</v>
      </c>
      <c r="AD187" s="234">
        <v>0</v>
      </c>
    </row>
    <row r="188" spans="1:30" hidden="1">
      <c r="A188" s="244" t="s">
        <v>2117</v>
      </c>
      <c r="B188" s="244" t="s">
        <v>2118</v>
      </c>
      <c r="C188" s="244">
        <v>23935</v>
      </c>
      <c r="D188" s="245">
        <v>41628.000006736111</v>
      </c>
      <c r="E188" s="245">
        <v>43454.000006736111</v>
      </c>
      <c r="F188" s="246">
        <v>4000000000</v>
      </c>
      <c r="G188" s="246">
        <v>3815400000</v>
      </c>
      <c r="H188" s="243">
        <v>0.95</v>
      </c>
      <c r="I188" s="234">
        <v>1017</v>
      </c>
      <c r="J188" s="234">
        <v>104.15</v>
      </c>
      <c r="K188" s="234">
        <v>62.8</v>
      </c>
      <c r="L188" s="234">
        <f>VLOOKUP(2393,收盤價!A:C,3,0)</f>
        <v>55.6</v>
      </c>
      <c r="M188" s="234">
        <v>1592</v>
      </c>
      <c r="N188" s="234">
        <v>100</v>
      </c>
      <c r="O188" s="235">
        <v>3.9800000000000002E-2</v>
      </c>
      <c r="P188" s="235">
        <v>-5.0200000000000002E-2</v>
      </c>
      <c r="Q188" s="235">
        <v>-0.62814070351758799</v>
      </c>
      <c r="R188" s="234">
        <f>VLOOKUP(23935,U:AC,9,0)</f>
        <v>89</v>
      </c>
      <c r="S188" s="234">
        <f>VLOOKUP(2393,季財報!A:N,8,0)</f>
        <v>2</v>
      </c>
      <c r="T188" s="234">
        <v>10502</v>
      </c>
      <c r="U188" s="234">
        <v>45231</v>
      </c>
      <c r="V188" s="234" t="s">
        <v>2939</v>
      </c>
      <c r="W188" s="234" t="s">
        <v>2940</v>
      </c>
      <c r="X188" s="234">
        <v>42</v>
      </c>
      <c r="Y188" s="234">
        <v>42</v>
      </c>
      <c r="Z188" s="234">
        <v>0</v>
      </c>
      <c r="AA188" s="234">
        <v>0</v>
      </c>
      <c r="AB188" s="234">
        <v>2000</v>
      </c>
      <c r="AC188" s="234">
        <v>7</v>
      </c>
      <c r="AD188" s="234">
        <v>0</v>
      </c>
    </row>
    <row r="189" spans="1:30" hidden="1">
      <c r="A189" s="244" t="s">
        <v>2432</v>
      </c>
      <c r="B189" s="244" t="s">
        <v>1819</v>
      </c>
      <c r="C189" s="244">
        <v>89333</v>
      </c>
      <c r="D189" s="245">
        <v>41684.000006736111</v>
      </c>
      <c r="E189" s="245">
        <v>43510.000006736111</v>
      </c>
      <c r="F189" s="246">
        <v>100000000</v>
      </c>
      <c r="G189" s="246">
        <v>100000000</v>
      </c>
      <c r="H189" s="243">
        <v>1</v>
      </c>
      <c r="I189" s="234">
        <v>1073</v>
      </c>
      <c r="J189" s="234">
        <v>102.9</v>
      </c>
      <c r="K189" s="234">
        <v>18.5</v>
      </c>
      <c r="L189" s="234">
        <f>VLOOKUP(8933,收盤價!A:C,3,0)</f>
        <v>15.05</v>
      </c>
      <c r="M189" s="234">
        <v>5405</v>
      </c>
      <c r="N189" s="234">
        <v>100</v>
      </c>
      <c r="O189" s="235">
        <v>2.8199999999999999E-2</v>
      </c>
      <c r="P189" s="235">
        <v>-0.25</v>
      </c>
      <c r="Q189" s="235">
        <v>-0.18501387604070305</v>
      </c>
      <c r="R189" s="234">
        <f>VLOOKUP(89333,U:AC,9,0)</f>
        <v>8</v>
      </c>
      <c r="S189" s="234">
        <f>VLOOKUP(8933,季財報!A:N,8,0)</f>
        <v>4</v>
      </c>
      <c r="T189" s="234">
        <v>10502</v>
      </c>
      <c r="U189" s="234">
        <v>45322</v>
      </c>
      <c r="V189" s="234" t="s">
        <v>2941</v>
      </c>
      <c r="W189" s="234" t="s">
        <v>2942</v>
      </c>
      <c r="X189" s="234">
        <v>10000</v>
      </c>
      <c r="Y189" s="234">
        <v>10000</v>
      </c>
      <c r="Z189" s="234">
        <v>0</v>
      </c>
      <c r="AA189" s="234">
        <v>0</v>
      </c>
      <c r="AB189" s="234">
        <v>10000</v>
      </c>
      <c r="AC189" s="234">
        <v>64</v>
      </c>
      <c r="AD189" s="234">
        <v>0</v>
      </c>
    </row>
    <row r="190" spans="1:30" hidden="1">
      <c r="A190" s="244" t="s">
        <v>2344</v>
      </c>
      <c r="B190" s="244" t="s">
        <v>2345</v>
      </c>
      <c r="C190" s="244">
        <v>55191</v>
      </c>
      <c r="D190" s="245">
        <v>42263.000006736111</v>
      </c>
      <c r="E190" s="245">
        <v>43359.000006736111</v>
      </c>
      <c r="F190" s="246">
        <v>200000000</v>
      </c>
      <c r="G190" s="246">
        <v>200000000</v>
      </c>
      <c r="H190" s="243">
        <v>1</v>
      </c>
      <c r="I190" s="234">
        <v>922</v>
      </c>
      <c r="J190" s="234">
        <v>102.7</v>
      </c>
      <c r="K190" s="234">
        <v>14.15</v>
      </c>
      <c r="L190" s="234">
        <f>VLOOKUP(5519,收盤價!A:C,3,0)</f>
        <v>13</v>
      </c>
      <c r="M190" s="234">
        <v>7067</v>
      </c>
      <c r="N190" s="234">
        <v>100</v>
      </c>
      <c r="O190" s="235">
        <v>2.63E-2</v>
      </c>
      <c r="P190" s="235">
        <v>-0.10979999999999999</v>
      </c>
      <c r="Q190" s="235">
        <v>-0.1415027593038064</v>
      </c>
      <c r="R190" s="234">
        <f>VLOOKUP(55191,U:AC,9,0)</f>
        <v>18</v>
      </c>
      <c r="S190" s="234">
        <f>VLOOKUP(5519,季財報!A:N,8,0)</f>
        <v>2</v>
      </c>
      <c r="T190" s="234">
        <v>10502</v>
      </c>
      <c r="U190" s="234">
        <v>45411</v>
      </c>
      <c r="V190" s="234" t="s">
        <v>2943</v>
      </c>
      <c r="W190" s="234" t="s">
        <v>2944</v>
      </c>
      <c r="X190" s="234">
        <v>3000</v>
      </c>
      <c r="Y190" s="234">
        <v>3000</v>
      </c>
      <c r="Z190" s="234">
        <v>0</v>
      </c>
      <c r="AA190" s="234">
        <v>0</v>
      </c>
      <c r="AB190" s="234">
        <v>3000</v>
      </c>
      <c r="AC190" s="234">
        <v>19</v>
      </c>
      <c r="AD190" s="234">
        <v>0</v>
      </c>
    </row>
    <row r="191" spans="1:30" hidden="1">
      <c r="A191" s="244" t="s">
        <v>2094</v>
      </c>
      <c r="B191" s="244" t="s">
        <v>252</v>
      </c>
      <c r="C191" s="244">
        <v>17522</v>
      </c>
      <c r="D191" s="245">
        <v>41621.000006736111</v>
      </c>
      <c r="E191" s="245">
        <v>42717.000006736111</v>
      </c>
      <c r="F191" s="246">
        <v>400000000</v>
      </c>
      <c r="G191" s="246">
        <v>25300000</v>
      </c>
      <c r="H191" s="243">
        <v>0.06</v>
      </c>
      <c r="I191" s="234">
        <v>280</v>
      </c>
      <c r="J191" s="234">
        <v>141</v>
      </c>
      <c r="K191" s="234">
        <v>33.799999999999997</v>
      </c>
      <c r="L191" s="234">
        <f>VLOOKUP(1752,收盤價!A:C,3,0)</f>
        <v>44</v>
      </c>
      <c r="M191" s="234">
        <v>2959</v>
      </c>
      <c r="N191" s="234">
        <v>131.82344999999998</v>
      </c>
      <c r="O191" s="235">
        <v>6.5100000000000005E-2</v>
      </c>
      <c r="P191" s="235">
        <v>0.24129999999999999</v>
      </c>
      <c r="Q191" s="235">
        <v>-0.33795201081446435</v>
      </c>
      <c r="R191" s="234">
        <f>VLOOKUP(17522,U:AC,9,0)</f>
        <v>8</v>
      </c>
      <c r="S191" s="234">
        <f>VLOOKUP(1752,季財報!A:N,8,0)</f>
        <v>3</v>
      </c>
      <c r="T191" s="234">
        <v>10502</v>
      </c>
      <c r="U191" s="234">
        <v>45412</v>
      </c>
      <c r="V191" s="234" t="s">
        <v>2945</v>
      </c>
      <c r="W191" s="234" t="s">
        <v>2944</v>
      </c>
      <c r="X191" s="234">
        <v>1000</v>
      </c>
      <c r="Y191" s="234">
        <v>1000</v>
      </c>
      <c r="Z191" s="234">
        <v>0</v>
      </c>
      <c r="AA191" s="234">
        <v>0</v>
      </c>
      <c r="AB191" s="234">
        <v>1000</v>
      </c>
      <c r="AC191" s="234">
        <v>13</v>
      </c>
      <c r="AD191" s="234">
        <v>0</v>
      </c>
    </row>
    <row r="192" spans="1:30" hidden="1">
      <c r="A192" s="244" t="s">
        <v>2237</v>
      </c>
      <c r="B192" s="244" t="s">
        <v>2238</v>
      </c>
      <c r="C192" s="244">
        <v>35142</v>
      </c>
      <c r="D192" s="245">
        <v>41535.000006736111</v>
      </c>
      <c r="E192" s="245">
        <v>43361.000006736111</v>
      </c>
      <c r="F192" s="246">
        <v>500000000</v>
      </c>
      <c r="G192" s="246">
        <v>2600000</v>
      </c>
      <c r="H192" s="243">
        <v>0.01</v>
      </c>
      <c r="I192" s="234">
        <v>924</v>
      </c>
      <c r="J192" s="234">
        <v>136.1</v>
      </c>
      <c r="K192" s="234">
        <v>25.91</v>
      </c>
      <c r="L192" s="234">
        <f>VLOOKUP(3514,收盤價!A:C,3,0)</f>
        <v>30</v>
      </c>
      <c r="M192" s="234">
        <v>3860</v>
      </c>
      <c r="N192" s="234">
        <v>122.748</v>
      </c>
      <c r="O192" s="235">
        <v>9.8100000000000007E-2</v>
      </c>
      <c r="P192" s="235">
        <v>0.1852</v>
      </c>
      <c r="Q192" s="235">
        <v>-0.2590673575129534</v>
      </c>
      <c r="R192" s="234">
        <f>VLOOKUP(35142,U:AC,9,0)</f>
        <v>3</v>
      </c>
      <c r="S192" s="234">
        <f>VLOOKUP(3514,季財報!A:N,8,0)</f>
        <v>3</v>
      </c>
      <c r="T192" s="234">
        <v>10502</v>
      </c>
      <c r="U192" s="234">
        <v>47031</v>
      </c>
      <c r="V192" s="234" t="s">
        <v>2946</v>
      </c>
      <c r="W192" s="234" t="s">
        <v>2947</v>
      </c>
      <c r="X192" s="234">
        <v>2997</v>
      </c>
      <c r="Y192" s="234">
        <v>2997</v>
      </c>
      <c r="Z192" s="234">
        <v>0</v>
      </c>
      <c r="AA192" s="234">
        <v>0</v>
      </c>
      <c r="AB192" s="234">
        <v>3000</v>
      </c>
      <c r="AC192" s="234">
        <v>299</v>
      </c>
      <c r="AD192" s="234">
        <v>0</v>
      </c>
    </row>
    <row r="193" spans="1:30" hidden="1">
      <c r="A193" s="244" t="s">
        <v>2048</v>
      </c>
      <c r="B193" s="244" t="s">
        <v>2042</v>
      </c>
      <c r="C193" s="244">
        <v>12173</v>
      </c>
      <c r="D193" s="245">
        <v>41340.000006736111</v>
      </c>
      <c r="E193" s="245">
        <v>43166.000006736111</v>
      </c>
      <c r="F193" s="246">
        <v>1000000000</v>
      </c>
      <c r="G193" s="246">
        <v>460800000</v>
      </c>
      <c r="H193" s="243">
        <v>0.46</v>
      </c>
      <c r="I193" s="234">
        <v>729</v>
      </c>
      <c r="J193" s="234">
        <v>104.8</v>
      </c>
      <c r="K193" s="234">
        <v>10.9</v>
      </c>
      <c r="L193" s="234">
        <f>VLOOKUP(1217,收盤價!A:C,3,0)</f>
        <v>8.33</v>
      </c>
      <c r="M193" s="234">
        <v>9174</v>
      </c>
      <c r="N193" s="234">
        <v>100</v>
      </c>
      <c r="O193" s="235">
        <v>4.58E-2</v>
      </c>
      <c r="P193" s="235">
        <v>-0.32600000000000001</v>
      </c>
      <c r="Q193" s="235">
        <v>-0.10900370612600829</v>
      </c>
      <c r="R193" s="234">
        <f>VLOOKUP(12173,U:AC,9,0)</f>
        <v>4</v>
      </c>
      <c r="S193" s="234">
        <f>VLOOKUP(1217,季財報!A:N,8,0)</f>
        <v>2</v>
      </c>
      <c r="T193" s="234">
        <v>10502</v>
      </c>
      <c r="U193" s="234">
        <v>47143</v>
      </c>
      <c r="V193" s="234" t="s">
        <v>2948</v>
      </c>
      <c r="W193" s="234" t="s">
        <v>2949</v>
      </c>
      <c r="X193" s="234">
        <v>1346</v>
      </c>
      <c r="Y193" s="234">
        <v>1346</v>
      </c>
      <c r="Z193" s="234">
        <v>0</v>
      </c>
      <c r="AA193" s="234">
        <v>0</v>
      </c>
      <c r="AB193" s="234">
        <v>1500</v>
      </c>
      <c r="AC193" s="234">
        <v>10</v>
      </c>
      <c r="AD193" s="234">
        <v>0</v>
      </c>
    </row>
    <row r="194" spans="1:30" hidden="1">
      <c r="A194" s="244" t="s">
        <v>2432</v>
      </c>
      <c r="B194" s="244" t="s">
        <v>1819</v>
      </c>
      <c r="C194" s="244">
        <v>89332</v>
      </c>
      <c r="D194" s="245">
        <v>41683.000006736111</v>
      </c>
      <c r="E194" s="245">
        <v>43509.000006736111</v>
      </c>
      <c r="F194" s="246">
        <v>200000000</v>
      </c>
      <c r="G194" s="246">
        <v>200000000</v>
      </c>
      <c r="H194" s="243">
        <v>1</v>
      </c>
      <c r="I194" s="234">
        <v>1072</v>
      </c>
      <c r="J194" s="234">
        <v>104.4</v>
      </c>
      <c r="K194" s="234">
        <v>18.5</v>
      </c>
      <c r="L194" s="234">
        <f>VLOOKUP(8933,收盤價!A:C,3,0)</f>
        <v>15.05</v>
      </c>
      <c r="M194" s="234">
        <v>5405</v>
      </c>
      <c r="N194" s="234">
        <v>100</v>
      </c>
      <c r="O194" s="235">
        <v>4.2099999999999999E-2</v>
      </c>
      <c r="P194" s="235">
        <v>-0.25</v>
      </c>
      <c r="Q194" s="235">
        <v>-0.18501387604070305</v>
      </c>
      <c r="R194" s="234">
        <f>VLOOKUP(89332,U:AC,9,0)</f>
        <v>11</v>
      </c>
      <c r="S194" s="234">
        <f>VLOOKUP(8933,季財報!A:N,8,0)</f>
        <v>4</v>
      </c>
      <c r="T194" s="234">
        <v>10502</v>
      </c>
      <c r="U194" s="234">
        <v>47144</v>
      </c>
      <c r="V194" s="234" t="s">
        <v>2950</v>
      </c>
      <c r="W194" s="234" t="s">
        <v>2949</v>
      </c>
      <c r="X194" s="234">
        <v>369</v>
      </c>
      <c r="Y194" s="234">
        <v>369</v>
      </c>
      <c r="Z194" s="234">
        <v>0</v>
      </c>
      <c r="AA194" s="234">
        <v>0</v>
      </c>
      <c r="AB194" s="234">
        <v>1000</v>
      </c>
      <c r="AC194" s="234">
        <v>16</v>
      </c>
      <c r="AD194" s="234">
        <v>0</v>
      </c>
    </row>
    <row r="195" spans="1:30">
      <c r="A195" s="244" t="s">
        <v>2078</v>
      </c>
      <c r="B195" s="244" t="s">
        <v>250</v>
      </c>
      <c r="C195" s="244">
        <v>15931</v>
      </c>
      <c r="D195" s="245">
        <v>42034.000006736111</v>
      </c>
      <c r="E195" s="245">
        <v>43130.000006736111</v>
      </c>
      <c r="F195" s="246">
        <v>60000000</v>
      </c>
      <c r="G195" s="246">
        <v>60000000</v>
      </c>
      <c r="H195" s="243">
        <v>1</v>
      </c>
      <c r="I195" s="234">
        <v>693</v>
      </c>
      <c r="J195" s="234">
        <v>104.6</v>
      </c>
      <c r="K195" s="234">
        <v>42.4</v>
      </c>
      <c r="L195" s="234">
        <f>VLOOKUP(1593,收盤價!A:C,3,0)</f>
        <v>39</v>
      </c>
      <c r="M195" s="234">
        <v>2358</v>
      </c>
      <c r="N195" s="234">
        <v>100</v>
      </c>
      <c r="O195" s="235">
        <v>4.3999999999999997E-2</v>
      </c>
      <c r="P195" s="235">
        <v>-9.1399999999999995E-2</v>
      </c>
      <c r="Q195" s="235">
        <v>-0.42408821034775235</v>
      </c>
      <c r="R195" s="234">
        <f>VLOOKUP(15931,U:AC,9,0)</f>
        <v>14</v>
      </c>
      <c r="S195" s="234">
        <f>VLOOKUP(1593,季財報!A:N,8,0)</f>
        <v>3</v>
      </c>
      <c r="T195" s="234">
        <v>10502</v>
      </c>
      <c r="U195" s="234">
        <v>47331</v>
      </c>
      <c r="V195" s="234" t="s">
        <v>2951</v>
      </c>
      <c r="W195" s="234" t="s">
        <v>2952</v>
      </c>
      <c r="X195" s="234">
        <v>1801</v>
      </c>
      <c r="Y195" s="234">
        <v>2151</v>
      </c>
      <c r="Z195" s="234">
        <v>-350</v>
      </c>
      <c r="AA195" s="234">
        <v>-16.27</v>
      </c>
      <c r="AB195" s="234">
        <v>7100</v>
      </c>
      <c r="AC195" s="234">
        <v>8</v>
      </c>
      <c r="AD195" s="234">
        <v>0</v>
      </c>
    </row>
    <row r="196" spans="1:30" hidden="1">
      <c r="A196" s="244" t="s">
        <v>2220</v>
      </c>
      <c r="B196" s="244" t="s">
        <v>292</v>
      </c>
      <c r="C196" s="244">
        <v>32721</v>
      </c>
      <c r="D196" s="245">
        <v>42068.000006736111</v>
      </c>
      <c r="E196" s="245">
        <v>43164.000006736111</v>
      </c>
      <c r="F196" s="246">
        <v>400000000</v>
      </c>
      <c r="G196" s="246">
        <v>262200000</v>
      </c>
      <c r="H196" s="243">
        <v>0.66</v>
      </c>
      <c r="I196" s="234">
        <v>727</v>
      </c>
      <c r="J196" s="234">
        <v>103.5</v>
      </c>
      <c r="K196" s="234">
        <v>92.3</v>
      </c>
      <c r="L196" s="234">
        <f>VLOOKUP(3272,收盤價!A:C,3,0)</f>
        <v>66.400000000000006</v>
      </c>
      <c r="M196" s="234">
        <v>1083</v>
      </c>
      <c r="N196" s="234">
        <v>100</v>
      </c>
      <c r="O196" s="235">
        <v>3.3799999999999997E-2</v>
      </c>
      <c r="P196" s="235">
        <v>-0.48630000000000001</v>
      </c>
      <c r="Q196" s="235">
        <v>-0.92336103416435822</v>
      </c>
      <c r="R196" s="234">
        <f>VLOOKUP(32721,U:AC,9,0)</f>
        <v>44</v>
      </c>
      <c r="S196" s="234">
        <f>VLOOKUP(3272,季財報!A:N,8,0)</f>
        <v>3</v>
      </c>
      <c r="T196" s="234">
        <v>10502</v>
      </c>
      <c r="U196" s="234">
        <v>47332</v>
      </c>
      <c r="V196" s="234" t="s">
        <v>2953</v>
      </c>
      <c r="W196" s="234" t="s">
        <v>2952</v>
      </c>
      <c r="X196" s="234">
        <v>7000</v>
      </c>
      <c r="Y196" s="234">
        <v>7000</v>
      </c>
      <c r="Z196" s="234">
        <v>0</v>
      </c>
      <c r="AA196" s="234">
        <v>0</v>
      </c>
      <c r="AB196" s="234">
        <v>7000</v>
      </c>
      <c r="AC196" s="234">
        <v>59</v>
      </c>
      <c r="AD196" s="234">
        <v>0</v>
      </c>
    </row>
    <row r="197" spans="1:30" hidden="1">
      <c r="A197" s="244" t="s">
        <v>2159</v>
      </c>
      <c r="B197" s="244" t="s">
        <v>2160</v>
      </c>
      <c r="C197" s="244">
        <v>25383</v>
      </c>
      <c r="D197" s="245">
        <v>41586.000006736111</v>
      </c>
      <c r="E197" s="245">
        <v>43412.000006736111</v>
      </c>
      <c r="F197" s="246">
        <v>1000000000</v>
      </c>
      <c r="G197" s="246">
        <v>1000000000</v>
      </c>
      <c r="H197" s="243">
        <v>1</v>
      </c>
      <c r="I197" s="234">
        <v>975</v>
      </c>
      <c r="J197" s="234">
        <v>103</v>
      </c>
      <c r="K197" s="234">
        <v>18.399999999999999</v>
      </c>
      <c r="L197" s="234">
        <f>VLOOKUP(2538,收盤價!A:C,3,0)</f>
        <v>16.350000000000001</v>
      </c>
      <c r="M197" s="234">
        <v>5435</v>
      </c>
      <c r="N197" s="234">
        <v>100</v>
      </c>
      <c r="O197" s="235">
        <v>2.9100000000000001E-2</v>
      </c>
      <c r="P197" s="235">
        <v>-0.2185</v>
      </c>
      <c r="Q197" s="235">
        <v>-0.18399264029438822</v>
      </c>
      <c r="R197" s="234">
        <f>VLOOKUP(25383,U:AC,9,0)</f>
        <v>21</v>
      </c>
      <c r="S197" s="234">
        <f>VLOOKUP(2538,季財報!A:N,8,0)</f>
        <v>2</v>
      </c>
      <c r="T197" s="234">
        <v>10502</v>
      </c>
      <c r="U197" s="234">
        <v>47351</v>
      </c>
      <c r="V197" s="234" t="s">
        <v>2954</v>
      </c>
      <c r="W197" s="234" t="s">
        <v>2955</v>
      </c>
      <c r="X197" s="234">
        <v>1</v>
      </c>
      <c r="Y197" s="234">
        <v>22</v>
      </c>
      <c r="Z197" s="234">
        <v>-21</v>
      </c>
      <c r="AA197" s="234">
        <v>-95.45</v>
      </c>
      <c r="AB197" s="234">
        <v>1000</v>
      </c>
      <c r="AC197" s="234">
        <v>1</v>
      </c>
      <c r="AD197" s="234">
        <v>0</v>
      </c>
    </row>
    <row r="198" spans="1:30" hidden="1">
      <c r="A198" s="244" t="s">
        <v>2310</v>
      </c>
      <c r="B198" s="244" t="s">
        <v>2311</v>
      </c>
      <c r="C198" s="244">
        <v>47462</v>
      </c>
      <c r="D198" s="245">
        <v>41851.000006736111</v>
      </c>
      <c r="E198" s="245">
        <v>42947.000006736111</v>
      </c>
      <c r="F198" s="246">
        <v>500000000</v>
      </c>
      <c r="G198" s="246">
        <v>500000000</v>
      </c>
      <c r="H198" s="243">
        <v>1</v>
      </c>
      <c r="I198" s="234">
        <v>510</v>
      </c>
      <c r="J198" s="234">
        <v>104.6</v>
      </c>
      <c r="K198" s="234">
        <v>81.7</v>
      </c>
      <c r="L198" s="234">
        <f>VLOOKUP(4746,收盤價!A:C,3,0)</f>
        <v>73.599999999999994</v>
      </c>
      <c r="M198" s="234">
        <v>1224</v>
      </c>
      <c r="N198" s="234">
        <v>100</v>
      </c>
      <c r="O198" s="235">
        <v>4.3999999999999997E-2</v>
      </c>
      <c r="P198" s="235">
        <v>-8.9300000000000004E-2</v>
      </c>
      <c r="Q198" s="235">
        <v>-0.81699346405228768</v>
      </c>
      <c r="R198" s="234">
        <f>VLOOKUP(47462,U:AC,9,0)</f>
        <v>54</v>
      </c>
      <c r="S198" s="234">
        <f>VLOOKUP(4746,季財報!A:N,8,0)</f>
        <v>5</v>
      </c>
      <c r="T198" s="234">
        <v>10502</v>
      </c>
      <c r="U198" s="234">
        <v>47362</v>
      </c>
      <c r="V198" s="234" t="s">
        <v>2956</v>
      </c>
      <c r="W198" s="234" t="s">
        <v>2957</v>
      </c>
      <c r="X198" s="234">
        <v>6000</v>
      </c>
      <c r="Y198" s="234">
        <v>6000</v>
      </c>
      <c r="Z198" s="234">
        <v>0</v>
      </c>
      <c r="AA198" s="234">
        <v>0</v>
      </c>
      <c r="AB198" s="234">
        <v>6000</v>
      </c>
      <c r="AC198" s="234">
        <v>12</v>
      </c>
      <c r="AD198" s="234">
        <v>0</v>
      </c>
    </row>
    <row r="199" spans="1:30">
      <c r="A199" s="244" t="s">
        <v>2269</v>
      </c>
      <c r="B199" s="244" t="s">
        <v>344</v>
      </c>
      <c r="C199" s="244">
        <v>36931</v>
      </c>
      <c r="D199" s="245">
        <v>42192.000006736111</v>
      </c>
      <c r="E199" s="245">
        <v>44019.000006736111</v>
      </c>
      <c r="F199" s="246">
        <v>500000000</v>
      </c>
      <c r="G199" s="246">
        <v>500000000</v>
      </c>
      <c r="H199" s="243">
        <v>1</v>
      </c>
      <c r="I199" s="234">
        <v>1582</v>
      </c>
      <c r="J199" s="234">
        <v>103.55</v>
      </c>
      <c r="K199" s="234">
        <v>121.5</v>
      </c>
      <c r="L199" s="234">
        <f>VLOOKUP(3693,收盤價!A:C,3,0)</f>
        <v>97</v>
      </c>
      <c r="M199" s="234">
        <v>823</v>
      </c>
      <c r="N199" s="234">
        <v>100</v>
      </c>
      <c r="O199" s="235">
        <v>3.4299999999999997E-2</v>
      </c>
      <c r="P199" s="235">
        <v>-0.2298</v>
      </c>
      <c r="Q199" s="235">
        <v>-1.2150668286755772</v>
      </c>
      <c r="R199" s="234">
        <f>VLOOKUP(36931,U:AC,9,0)</f>
        <v>40</v>
      </c>
      <c r="S199" s="234">
        <f>VLOOKUP(3693,季財報!A:N,8,0)</f>
        <v>4</v>
      </c>
      <c r="T199" s="234">
        <v>10502</v>
      </c>
      <c r="U199" s="234">
        <v>47391</v>
      </c>
      <c r="V199" s="234" t="s">
        <v>2958</v>
      </c>
      <c r="W199" s="234" t="s">
        <v>2959</v>
      </c>
      <c r="X199" s="234">
        <v>331</v>
      </c>
      <c r="Y199" s="234">
        <v>331</v>
      </c>
      <c r="Z199" s="234">
        <v>0</v>
      </c>
      <c r="AA199" s="234">
        <v>0</v>
      </c>
      <c r="AB199" s="234">
        <v>4000</v>
      </c>
      <c r="AC199" s="234">
        <v>4</v>
      </c>
      <c r="AD199" s="234">
        <v>0</v>
      </c>
    </row>
    <row r="200" spans="1:30" hidden="1">
      <c r="A200" s="244" t="s">
        <v>2224</v>
      </c>
      <c r="B200" s="244" t="s">
        <v>298</v>
      </c>
      <c r="C200" s="244">
        <v>32994</v>
      </c>
      <c r="D200" s="245">
        <v>42265.000006736111</v>
      </c>
      <c r="E200" s="245">
        <v>43361.000006736111</v>
      </c>
      <c r="F200" s="246">
        <v>300000000</v>
      </c>
      <c r="G200" s="246">
        <v>229300000</v>
      </c>
      <c r="H200" s="243">
        <v>0.76</v>
      </c>
      <c r="I200" s="234">
        <v>924</v>
      </c>
      <c r="J200" s="234">
        <v>119.5</v>
      </c>
      <c r="K200" s="234">
        <v>45.7</v>
      </c>
      <c r="L200" s="234">
        <f>VLOOKUP(3299,收盤價!A:C,3,0)</f>
        <v>55</v>
      </c>
      <c r="M200" s="234">
        <v>2188</v>
      </c>
      <c r="N200" s="234">
        <v>118.5896</v>
      </c>
      <c r="O200" s="235">
        <v>7.6E-3</v>
      </c>
      <c r="P200" s="235">
        <v>0.15679999999999999</v>
      </c>
      <c r="Q200" s="235">
        <v>-0.45703839122486289</v>
      </c>
      <c r="R200" s="234">
        <f>VLOOKUP(32994,U:AC,9,0)</f>
        <v>69</v>
      </c>
      <c r="S200" s="234">
        <f>VLOOKUP(3299,季財報!A:N,8,0)</f>
        <v>2</v>
      </c>
      <c r="T200" s="234">
        <v>10502</v>
      </c>
      <c r="U200" s="234">
        <v>47392</v>
      </c>
      <c r="V200" s="234" t="s">
        <v>2960</v>
      </c>
      <c r="W200" s="234" t="s">
        <v>2959</v>
      </c>
      <c r="X200" s="234">
        <v>6000</v>
      </c>
      <c r="Y200" s="234">
        <v>6000</v>
      </c>
      <c r="Z200" s="234">
        <v>0</v>
      </c>
      <c r="AA200" s="234">
        <v>0</v>
      </c>
      <c r="AB200" s="234">
        <v>6000</v>
      </c>
      <c r="AC200" s="234">
        <v>14</v>
      </c>
      <c r="AD200" s="234">
        <v>0</v>
      </c>
    </row>
    <row r="201" spans="1:30" hidden="1">
      <c r="A201" s="244" t="s">
        <v>2268</v>
      </c>
      <c r="B201" s="244" t="s">
        <v>1536</v>
      </c>
      <c r="C201" s="244">
        <v>36911</v>
      </c>
      <c r="D201" s="245">
        <v>41845.000006736111</v>
      </c>
      <c r="E201" s="245">
        <v>43671.000006736111</v>
      </c>
      <c r="F201" s="246">
        <v>1800000000</v>
      </c>
      <c r="G201" s="246">
        <v>1745900000</v>
      </c>
      <c r="H201" s="243">
        <v>0.97</v>
      </c>
      <c r="I201" s="234">
        <v>1234</v>
      </c>
      <c r="J201" s="234">
        <v>107.4</v>
      </c>
      <c r="K201" s="234">
        <v>608</v>
      </c>
      <c r="L201" s="234">
        <f>VLOOKUP(3691,收盤價!A:C,3,0)</f>
        <v>591</v>
      </c>
      <c r="M201" s="234">
        <v>164</v>
      </c>
      <c r="N201" s="234">
        <v>101.352</v>
      </c>
      <c r="O201" s="235">
        <v>5.6300000000000003E-2</v>
      </c>
      <c r="P201" s="235">
        <v>1.6199999999999999E-2</v>
      </c>
      <c r="Q201" s="235">
        <v>-6.0975609756097562</v>
      </c>
      <c r="R201" s="234">
        <f>VLOOKUP(36911,U:AC,9,0)</f>
        <v>101</v>
      </c>
      <c r="S201" s="234">
        <f>VLOOKUP(3691,季財報!A:N,8,0)</f>
        <v>3</v>
      </c>
      <c r="T201" s="234">
        <v>10502</v>
      </c>
      <c r="U201" s="234">
        <v>47451</v>
      </c>
      <c r="V201" s="234" t="s">
        <v>2961</v>
      </c>
      <c r="W201" s="234" t="s">
        <v>2962</v>
      </c>
      <c r="X201" s="234">
        <v>37</v>
      </c>
      <c r="Y201" s="234">
        <v>2055</v>
      </c>
      <c r="Z201" s="234">
        <v>-2018</v>
      </c>
      <c r="AA201" s="234">
        <v>-98.2</v>
      </c>
      <c r="AB201" s="234">
        <v>4000</v>
      </c>
      <c r="AC201" s="234">
        <v>4</v>
      </c>
      <c r="AD201" s="234">
        <v>0</v>
      </c>
    </row>
    <row r="202" spans="1:30" hidden="1">
      <c r="A202" s="244" t="s">
        <v>2109</v>
      </c>
      <c r="B202" s="244" t="s">
        <v>2110</v>
      </c>
      <c r="C202" s="244">
        <v>22311</v>
      </c>
      <c r="D202" s="245">
        <v>41547.000006736111</v>
      </c>
      <c r="E202" s="245">
        <v>42643.000006736111</v>
      </c>
      <c r="F202" s="246">
        <v>250000000</v>
      </c>
      <c r="G202" s="246">
        <v>16600000</v>
      </c>
      <c r="H202" s="243">
        <v>7.0000000000000007E-2</v>
      </c>
      <c r="I202" s="234">
        <v>206</v>
      </c>
      <c r="J202" s="234">
        <v>522</v>
      </c>
      <c r="K202" s="234">
        <v>75.930000000000007</v>
      </c>
      <c r="L202" s="234">
        <f>VLOOKUP(2231,收盤價!A:C,3,0)</f>
        <v>364</v>
      </c>
      <c r="M202" s="234">
        <v>1317</v>
      </c>
      <c r="N202" s="234">
        <v>483.339</v>
      </c>
      <c r="O202" s="235">
        <v>7.4099999999999999E-2</v>
      </c>
      <c r="P202" s="235">
        <v>0.79310000000000003</v>
      </c>
      <c r="Q202" s="235">
        <v>-0.75930144267274113</v>
      </c>
      <c r="R202" s="234">
        <f>VLOOKUP(22311,U:AC,9,0)</f>
        <v>4</v>
      </c>
      <c r="S202" s="234">
        <f>VLOOKUP(2231,季財報!A:N,8,0)</f>
        <v>4</v>
      </c>
      <c r="T202" s="234">
        <v>10502</v>
      </c>
      <c r="U202" s="234">
        <v>47462</v>
      </c>
      <c r="V202" s="234" t="s">
        <v>2963</v>
      </c>
      <c r="W202" s="234" t="s">
        <v>2964</v>
      </c>
      <c r="X202" s="234">
        <v>5000</v>
      </c>
      <c r="Y202" s="234">
        <v>5000</v>
      </c>
      <c r="Z202" s="234">
        <v>0</v>
      </c>
      <c r="AA202" s="234">
        <v>0</v>
      </c>
      <c r="AB202" s="234">
        <v>5000</v>
      </c>
      <c r="AC202" s="234">
        <v>54</v>
      </c>
      <c r="AD202" s="234">
        <v>0</v>
      </c>
    </row>
    <row r="203" spans="1:30" hidden="1">
      <c r="A203" s="244" t="s">
        <v>2097</v>
      </c>
      <c r="B203" s="244" t="s">
        <v>1957</v>
      </c>
      <c r="C203" s="244">
        <v>18153</v>
      </c>
      <c r="D203" s="245">
        <v>40976.000006736111</v>
      </c>
      <c r="E203" s="245">
        <v>42802.000006736111</v>
      </c>
      <c r="F203" s="246">
        <v>750000000</v>
      </c>
      <c r="G203" s="246">
        <v>1500000</v>
      </c>
      <c r="H203" s="243">
        <v>0</v>
      </c>
      <c r="I203" s="234">
        <v>365</v>
      </c>
      <c r="J203" s="234">
        <v>103.9</v>
      </c>
      <c r="K203" s="234">
        <v>19.260000000000002</v>
      </c>
      <c r="L203" s="234">
        <f>VLOOKUP(1815,收盤價!A:C,3,0)</f>
        <v>11.55</v>
      </c>
      <c r="M203" s="234">
        <v>5192</v>
      </c>
      <c r="N203" s="234">
        <v>100</v>
      </c>
      <c r="O203" s="235">
        <v>3.7499999999999999E-2</v>
      </c>
      <c r="P203" s="235">
        <v>-0.75890000000000002</v>
      </c>
      <c r="Q203" s="235">
        <v>-0.19260400616332818</v>
      </c>
      <c r="R203" s="234">
        <f>VLOOKUP(18153,U:AC,9,0)</f>
        <v>3</v>
      </c>
      <c r="S203" s="234">
        <f>VLOOKUP(1815,季財報!A:N,8,0)</f>
        <v>3</v>
      </c>
      <c r="T203" s="234">
        <v>10502</v>
      </c>
      <c r="U203" s="234">
        <v>49063</v>
      </c>
      <c r="V203" s="234" t="s">
        <v>2965</v>
      </c>
      <c r="W203" s="234" t="s">
        <v>2966</v>
      </c>
      <c r="X203" s="234">
        <v>18410</v>
      </c>
      <c r="Y203" s="234">
        <v>18410</v>
      </c>
      <c r="Z203" s="234">
        <v>0</v>
      </c>
      <c r="AA203" s="234">
        <v>0</v>
      </c>
      <c r="AB203" s="234">
        <v>20000</v>
      </c>
      <c r="AC203" s="234">
        <v>38</v>
      </c>
      <c r="AD203" s="234">
        <v>0</v>
      </c>
    </row>
    <row r="204" spans="1:30" hidden="1">
      <c r="A204" s="244" t="s">
        <v>2065</v>
      </c>
      <c r="B204" s="244" t="s">
        <v>2066</v>
      </c>
      <c r="C204" s="244">
        <v>15061</v>
      </c>
      <c r="D204" s="245">
        <v>42027.000006736111</v>
      </c>
      <c r="E204" s="245">
        <v>43123.000006736111</v>
      </c>
      <c r="F204" s="246">
        <v>700000000</v>
      </c>
      <c r="G204" s="246">
        <v>699900000</v>
      </c>
      <c r="H204" s="243">
        <v>1</v>
      </c>
      <c r="I204" s="234">
        <v>686</v>
      </c>
      <c r="J204" s="234">
        <v>103</v>
      </c>
      <c r="K204" s="234">
        <v>24.18</v>
      </c>
      <c r="L204" s="234">
        <f>VLOOKUP(1506,收盤價!A:C,3,0)</f>
        <v>15.5</v>
      </c>
      <c r="M204" s="234">
        <v>4136</v>
      </c>
      <c r="N204" s="234">
        <v>100</v>
      </c>
      <c r="O204" s="235">
        <v>2.9100000000000001E-2</v>
      </c>
      <c r="P204" s="235">
        <v>-0.57010000000000005</v>
      </c>
      <c r="Q204" s="235">
        <v>-0.24177949709864605</v>
      </c>
      <c r="R204" s="234">
        <f>VLOOKUP(15061,U:AC,9,0)</f>
        <v>16</v>
      </c>
      <c r="S204" s="234">
        <f>VLOOKUP(1506,季財報!A:N,8,0)</f>
        <v>3</v>
      </c>
      <c r="T204" s="234">
        <v>10502</v>
      </c>
      <c r="U204" s="234">
        <v>49161</v>
      </c>
      <c r="V204" s="234" t="s">
        <v>2967</v>
      </c>
      <c r="W204" s="234" t="s">
        <v>2968</v>
      </c>
      <c r="X204" s="234">
        <v>2800</v>
      </c>
      <c r="Y204" s="234">
        <v>2800</v>
      </c>
      <c r="Z204" s="234">
        <v>0</v>
      </c>
      <c r="AA204" s="234">
        <v>0</v>
      </c>
      <c r="AB204" s="234">
        <v>2800</v>
      </c>
      <c r="AC204" s="234">
        <v>12</v>
      </c>
      <c r="AD204" s="234">
        <v>0</v>
      </c>
    </row>
    <row r="205" spans="1:30" hidden="1">
      <c r="A205" s="244" t="s">
        <v>2353</v>
      </c>
      <c r="B205" s="244" t="s">
        <v>1678</v>
      </c>
      <c r="C205" s="244">
        <v>59054</v>
      </c>
      <c r="D205" s="245">
        <v>40805.000006736111</v>
      </c>
      <c r="E205" s="245">
        <v>42632.000006736111</v>
      </c>
      <c r="F205" s="246">
        <v>1000000000</v>
      </c>
      <c r="G205" s="246">
        <v>725600000</v>
      </c>
      <c r="H205" s="243">
        <v>0.73</v>
      </c>
      <c r="I205" s="234">
        <v>195</v>
      </c>
      <c r="J205" s="234">
        <v>104</v>
      </c>
      <c r="K205" s="234">
        <v>11.23</v>
      </c>
      <c r="L205" s="234">
        <f>VLOOKUP(5905,收盤價!A:C,3,0)</f>
        <v>8.9</v>
      </c>
      <c r="M205" s="234">
        <v>8905</v>
      </c>
      <c r="N205" s="234">
        <v>100</v>
      </c>
      <c r="O205" s="235">
        <v>3.85E-2</v>
      </c>
      <c r="P205" s="235">
        <v>-0.29980000000000001</v>
      </c>
      <c r="Q205" s="235">
        <v>-0.11229646266142616</v>
      </c>
      <c r="R205" s="234">
        <f>VLOOKUP(59054,U:AC,9,0)</f>
        <v>16</v>
      </c>
      <c r="S205" s="234">
        <f>VLOOKUP(5905,季財報!A:N,8,0)</f>
        <v>2</v>
      </c>
      <c r="T205" s="234">
        <v>10502</v>
      </c>
      <c r="U205" s="234">
        <v>49272</v>
      </c>
      <c r="V205" s="234" t="s">
        <v>2969</v>
      </c>
      <c r="W205" s="234" t="s">
        <v>2970</v>
      </c>
      <c r="X205" s="234">
        <v>6166</v>
      </c>
      <c r="Y205" s="234">
        <v>6166</v>
      </c>
      <c r="Z205" s="234">
        <v>0</v>
      </c>
      <c r="AA205" s="234">
        <v>0</v>
      </c>
      <c r="AB205" s="234">
        <v>6500</v>
      </c>
      <c r="AC205" s="234">
        <v>25</v>
      </c>
      <c r="AD205" s="234">
        <v>0</v>
      </c>
    </row>
    <row r="206" spans="1:30" hidden="1">
      <c r="A206" s="244" t="s">
        <v>2061</v>
      </c>
      <c r="B206" s="244" t="s">
        <v>2062</v>
      </c>
      <c r="C206" s="244">
        <v>14662</v>
      </c>
      <c r="D206" s="245">
        <v>41288.000006736111</v>
      </c>
      <c r="E206" s="245">
        <v>43114.000006736111</v>
      </c>
      <c r="F206" s="246">
        <v>300000000</v>
      </c>
      <c r="G206" s="246">
        <v>93500000</v>
      </c>
      <c r="H206" s="243">
        <v>0.31</v>
      </c>
      <c r="I206" s="234">
        <v>677</v>
      </c>
      <c r="J206" s="234">
        <v>104</v>
      </c>
      <c r="K206" s="234">
        <v>18</v>
      </c>
      <c r="L206" s="234">
        <f>VLOOKUP(1466,收盤價!A:C,3,0)</f>
        <v>16.3</v>
      </c>
      <c r="M206" s="234">
        <v>5556</v>
      </c>
      <c r="N206" s="234">
        <v>100</v>
      </c>
      <c r="O206" s="235">
        <v>3.85E-2</v>
      </c>
      <c r="P206" s="235">
        <v>-0.125</v>
      </c>
      <c r="Q206" s="235">
        <v>-0.17998560115190784</v>
      </c>
      <c r="R206" s="234">
        <f>VLOOKUP(14662,U:AC,9,0)</f>
        <v>13</v>
      </c>
      <c r="S206" s="234">
        <f>VLOOKUP(1466,季財報!A:N,8,0)</f>
        <v>1</v>
      </c>
      <c r="T206" s="234">
        <v>10502</v>
      </c>
      <c r="U206" s="234">
        <v>49331</v>
      </c>
      <c r="V206" s="234" t="s">
        <v>2971</v>
      </c>
      <c r="W206" s="234" t="s">
        <v>2972</v>
      </c>
      <c r="X206" s="234">
        <v>26</v>
      </c>
      <c r="Y206" s="234">
        <v>96</v>
      </c>
      <c r="Z206" s="234">
        <v>-70</v>
      </c>
      <c r="AA206" s="234">
        <v>-72.92</v>
      </c>
      <c r="AB206" s="234">
        <v>10000</v>
      </c>
      <c r="AC206" s="234">
        <v>5</v>
      </c>
      <c r="AD206" s="234">
        <v>0</v>
      </c>
    </row>
    <row r="207" spans="1:30" hidden="1">
      <c r="A207" s="244" t="s">
        <v>2233</v>
      </c>
      <c r="B207" s="244" t="s">
        <v>1959</v>
      </c>
      <c r="C207" s="244">
        <v>34652</v>
      </c>
      <c r="D207" s="245">
        <v>41697.000006736111</v>
      </c>
      <c r="E207" s="245">
        <v>42793.000006736111</v>
      </c>
      <c r="F207" s="246">
        <v>50000000</v>
      </c>
      <c r="G207" s="246">
        <v>16000000</v>
      </c>
      <c r="H207" s="243">
        <v>0.32</v>
      </c>
      <c r="I207" s="234">
        <v>356</v>
      </c>
      <c r="J207" s="234">
        <v>102</v>
      </c>
      <c r="K207" s="234">
        <v>13.86</v>
      </c>
      <c r="L207" s="234">
        <f>VLOOKUP(3465,收盤價!A:C,3,0)</f>
        <v>10.25</v>
      </c>
      <c r="M207" s="234">
        <v>7215</v>
      </c>
      <c r="N207" s="234">
        <v>100</v>
      </c>
      <c r="O207" s="235">
        <v>1.9599999999999999E-2</v>
      </c>
      <c r="P207" s="235">
        <v>-0.34560000000000002</v>
      </c>
      <c r="Q207" s="235">
        <v>-0.13860013860013859</v>
      </c>
      <c r="R207" s="234">
        <f>VLOOKUP(34652,U:AC,9,0)</f>
        <v>4</v>
      </c>
      <c r="S207" s="234">
        <f>VLOOKUP(3465,季財報!A:N,8,0)</f>
        <v>0</v>
      </c>
      <c r="T207" s="234">
        <v>10502</v>
      </c>
      <c r="U207" s="234">
        <v>49392</v>
      </c>
      <c r="V207" s="234" t="s">
        <v>2973</v>
      </c>
      <c r="W207" s="234" t="s">
        <v>2974</v>
      </c>
      <c r="X207" s="234">
        <v>2343</v>
      </c>
      <c r="Y207" s="234">
        <v>2343</v>
      </c>
      <c r="Z207" s="234">
        <v>0</v>
      </c>
      <c r="AA207" s="234">
        <v>0</v>
      </c>
      <c r="AB207" s="234">
        <v>3000</v>
      </c>
      <c r="AC207" s="234">
        <v>11</v>
      </c>
      <c r="AD207" s="234">
        <v>0</v>
      </c>
    </row>
    <row r="208" spans="1:30" hidden="1">
      <c r="A208" s="244" t="s">
        <v>2086</v>
      </c>
      <c r="B208" s="244" t="s">
        <v>2087</v>
      </c>
      <c r="C208" s="244">
        <v>17091</v>
      </c>
      <c r="D208" s="245">
        <v>41690.000006736111</v>
      </c>
      <c r="E208" s="245">
        <v>43516.000006736111</v>
      </c>
      <c r="F208" s="246">
        <v>700000000</v>
      </c>
      <c r="G208" s="246">
        <v>700000000</v>
      </c>
      <c r="H208" s="243">
        <v>1</v>
      </c>
      <c r="I208" s="234">
        <v>1079</v>
      </c>
      <c r="J208" s="234">
        <v>117</v>
      </c>
      <c r="K208" s="234">
        <v>14.1</v>
      </c>
      <c r="L208" s="234">
        <f>VLOOKUP(1709,收盤價!A:C,3,0)</f>
        <v>16.600000000000001</v>
      </c>
      <c r="M208" s="234">
        <v>7092</v>
      </c>
      <c r="N208" s="234">
        <v>113.8266</v>
      </c>
      <c r="O208" s="235">
        <v>2.7099999999999999E-2</v>
      </c>
      <c r="P208" s="235">
        <v>0.1215</v>
      </c>
      <c r="Q208" s="235">
        <v>-0.14100394811054712</v>
      </c>
      <c r="R208" s="234">
        <f>VLOOKUP(17091,U:AC,9,0)</f>
        <v>52</v>
      </c>
      <c r="S208" s="234">
        <f>VLOOKUP(1709,季財報!A:N,8,0)</f>
        <v>2</v>
      </c>
      <c r="T208" s="234">
        <v>10502</v>
      </c>
      <c r="U208" s="234">
        <v>49441</v>
      </c>
      <c r="V208" s="234" t="s">
        <v>2975</v>
      </c>
      <c r="W208" s="234" t="s">
        <v>2976</v>
      </c>
      <c r="X208" s="234">
        <v>481</v>
      </c>
      <c r="Y208" s="234">
        <v>481</v>
      </c>
      <c r="Z208" s="234">
        <v>0</v>
      </c>
      <c r="AA208" s="234">
        <v>0</v>
      </c>
      <c r="AB208" s="234">
        <v>3000</v>
      </c>
      <c r="AC208" s="234">
        <v>36</v>
      </c>
      <c r="AD208" s="234">
        <v>0</v>
      </c>
    </row>
    <row r="209" spans="1:30">
      <c r="A209" s="244" t="s">
        <v>2316</v>
      </c>
      <c r="B209" s="244" t="s">
        <v>1832</v>
      </c>
      <c r="C209" s="244">
        <v>49272</v>
      </c>
      <c r="D209" s="245">
        <v>41841.000006736111</v>
      </c>
      <c r="E209" s="245">
        <v>43667.000006736111</v>
      </c>
      <c r="F209" s="246">
        <v>650000000</v>
      </c>
      <c r="G209" s="246">
        <v>616600000</v>
      </c>
      <c r="H209" s="243">
        <v>0.95</v>
      </c>
      <c r="I209" s="234">
        <v>1230</v>
      </c>
      <c r="J209" s="234">
        <v>107</v>
      </c>
      <c r="K209" s="234">
        <v>40.6</v>
      </c>
      <c r="L209" s="234">
        <f>VLOOKUP(4927,收盤價!A:C,3,0)</f>
        <v>37.65</v>
      </c>
      <c r="M209" s="234">
        <v>2463</v>
      </c>
      <c r="N209" s="234">
        <v>100</v>
      </c>
      <c r="O209" s="235">
        <v>6.54E-2</v>
      </c>
      <c r="P209" s="235">
        <v>-8.5599999999999996E-2</v>
      </c>
      <c r="Q209" s="235">
        <v>-0.4060089321965083</v>
      </c>
      <c r="R209" s="234">
        <f>VLOOKUP(49272,U:AC,9,0)</f>
        <v>25</v>
      </c>
      <c r="S209" s="234">
        <f>VLOOKUP(4927,季財報!A:N,8,0)</f>
        <v>3</v>
      </c>
      <c r="T209" s="234">
        <v>10502</v>
      </c>
      <c r="U209" s="234">
        <v>49561</v>
      </c>
      <c r="V209" s="234" t="s">
        <v>2977</v>
      </c>
      <c r="W209" s="234" t="s">
        <v>2978</v>
      </c>
      <c r="X209" s="234">
        <v>5000</v>
      </c>
      <c r="Y209" s="234">
        <v>5000</v>
      </c>
      <c r="Z209" s="234">
        <v>0</v>
      </c>
      <c r="AA209" s="234">
        <v>0</v>
      </c>
      <c r="AB209" s="234">
        <v>5000</v>
      </c>
      <c r="AC209" s="234">
        <v>93</v>
      </c>
      <c r="AD209" s="234">
        <v>0</v>
      </c>
    </row>
    <row r="210" spans="1:30">
      <c r="A210" s="244" t="s">
        <v>2325</v>
      </c>
      <c r="B210" s="244" t="s">
        <v>1611</v>
      </c>
      <c r="C210" s="244">
        <v>49912</v>
      </c>
      <c r="D210" s="245">
        <v>42138.000006736111</v>
      </c>
      <c r="E210" s="245">
        <v>43234.000006736111</v>
      </c>
      <c r="F210" s="246">
        <v>300000000</v>
      </c>
      <c r="G210" s="246">
        <v>247800000</v>
      </c>
      <c r="H210" s="243">
        <v>0.83</v>
      </c>
      <c r="I210" s="234">
        <v>797</v>
      </c>
      <c r="J210" s="234">
        <v>137</v>
      </c>
      <c r="K210" s="234">
        <v>66.7</v>
      </c>
      <c r="L210" s="234">
        <f>VLOOKUP(4991,收盤價!A:C,3,0)</f>
        <v>89.9</v>
      </c>
      <c r="M210" s="234">
        <v>1499</v>
      </c>
      <c r="N210" s="234">
        <v>129.21379999999999</v>
      </c>
      <c r="O210" s="235">
        <v>5.6800000000000003E-2</v>
      </c>
      <c r="P210" s="235">
        <v>0.22620000000000001</v>
      </c>
      <c r="Q210" s="235">
        <v>-0.66711140760507004</v>
      </c>
      <c r="R210" s="234">
        <f>VLOOKUP(49912,U:AC,9,0)</f>
        <v>31</v>
      </c>
      <c r="S210" s="234">
        <f>VLOOKUP(4991,季財報!A:N,8,0)</f>
        <v>4</v>
      </c>
      <c r="T210" s="234">
        <v>10502</v>
      </c>
      <c r="U210" s="234">
        <v>49742</v>
      </c>
      <c r="V210" s="234" t="s">
        <v>2979</v>
      </c>
      <c r="W210" s="234" t="s">
        <v>2980</v>
      </c>
      <c r="X210" s="234">
        <v>4500</v>
      </c>
      <c r="Y210" s="234">
        <v>4500</v>
      </c>
      <c r="Z210" s="234">
        <v>0</v>
      </c>
      <c r="AA210" s="234">
        <v>0</v>
      </c>
      <c r="AB210" s="234">
        <v>4500</v>
      </c>
      <c r="AC210" s="234">
        <v>37</v>
      </c>
      <c r="AD210" s="234">
        <v>0</v>
      </c>
    </row>
    <row r="211" spans="1:30" hidden="1">
      <c r="A211" s="244" t="s">
        <v>2131</v>
      </c>
      <c r="B211" s="244" t="s">
        <v>2132</v>
      </c>
      <c r="C211" s="244">
        <v>24422</v>
      </c>
      <c r="D211" s="245">
        <v>41345.000006736111</v>
      </c>
      <c r="E211" s="245">
        <v>42806.000006736111</v>
      </c>
      <c r="F211" s="246">
        <v>400000000</v>
      </c>
      <c r="G211" s="246">
        <v>301900000</v>
      </c>
      <c r="H211" s="243">
        <v>0.75</v>
      </c>
      <c r="I211" s="234">
        <v>369</v>
      </c>
      <c r="J211" s="234">
        <v>105.2</v>
      </c>
      <c r="K211" s="234">
        <v>7.2</v>
      </c>
      <c r="L211" s="234">
        <f>VLOOKUP(2442,收盤價!A:C,3,0)</f>
        <v>6.35</v>
      </c>
      <c r="M211" s="234">
        <v>13889</v>
      </c>
      <c r="N211" s="234">
        <v>100</v>
      </c>
      <c r="O211" s="235">
        <v>4.9399999999999999E-2</v>
      </c>
      <c r="P211" s="235">
        <v>-0.16880000000000001</v>
      </c>
      <c r="Q211" s="235">
        <v>-7.1999424004607959E-2</v>
      </c>
      <c r="R211" s="234">
        <f>VLOOKUP(24422,U:AC,9,0)</f>
        <v>7</v>
      </c>
      <c r="S211" s="234">
        <f>VLOOKUP(2442,季財報!A:N,8,0)</f>
        <v>1</v>
      </c>
      <c r="T211" s="234">
        <v>10502</v>
      </c>
      <c r="U211" s="234">
        <v>49791</v>
      </c>
      <c r="V211" s="234" t="s">
        <v>2981</v>
      </c>
      <c r="W211" s="234" t="s">
        <v>2982</v>
      </c>
      <c r="X211" s="234">
        <v>8000</v>
      </c>
      <c r="Y211" s="234">
        <v>8000</v>
      </c>
      <c r="Z211" s="234">
        <v>0</v>
      </c>
      <c r="AA211" s="234">
        <v>0</v>
      </c>
      <c r="AB211" s="234">
        <v>8000</v>
      </c>
      <c r="AC211" s="234">
        <v>56</v>
      </c>
      <c r="AD211" s="234">
        <v>0</v>
      </c>
    </row>
    <row r="212" spans="1:30" hidden="1">
      <c r="A212" s="244" t="s">
        <v>2141</v>
      </c>
      <c r="B212" s="244" t="s">
        <v>2142</v>
      </c>
      <c r="C212" s="244">
        <v>24622</v>
      </c>
      <c r="D212" s="245">
        <v>41064.000006736111</v>
      </c>
      <c r="E212" s="245">
        <v>42890.000006736111</v>
      </c>
      <c r="F212" s="246">
        <v>200000000</v>
      </c>
      <c r="G212" s="246">
        <v>38800000</v>
      </c>
      <c r="H212" s="243">
        <v>0.19</v>
      </c>
      <c r="I212" s="234">
        <v>453</v>
      </c>
      <c r="J212" s="234">
        <v>105.45</v>
      </c>
      <c r="K212" s="234">
        <v>22.22</v>
      </c>
      <c r="L212" s="234">
        <f>VLOOKUP(2462,收盤價!A:C,3,0)</f>
        <v>17.75</v>
      </c>
      <c r="M212" s="234">
        <v>4500</v>
      </c>
      <c r="N212" s="234">
        <v>100</v>
      </c>
      <c r="O212" s="235">
        <v>5.1700000000000003E-2</v>
      </c>
      <c r="P212" s="235">
        <v>-0.24829999999999999</v>
      </c>
      <c r="Q212" s="235">
        <v>-0.22222222222222221</v>
      </c>
      <c r="R212" s="234">
        <f>VLOOKUP(24622,U:AC,9,0)</f>
        <v>8</v>
      </c>
      <c r="S212" s="234">
        <f>VLOOKUP(2462,季財報!A:N,8,0)</f>
        <v>2</v>
      </c>
      <c r="T212" s="234">
        <v>10502</v>
      </c>
      <c r="U212" s="234">
        <v>49911</v>
      </c>
      <c r="V212" s="234" t="s">
        <v>2983</v>
      </c>
      <c r="W212" s="234" t="s">
        <v>2984</v>
      </c>
      <c r="X212" s="234">
        <v>2853</v>
      </c>
      <c r="Y212" s="234">
        <v>2853</v>
      </c>
      <c r="Z212" s="234">
        <v>0</v>
      </c>
      <c r="AA212" s="234">
        <v>0</v>
      </c>
      <c r="AB212" s="234">
        <v>3000</v>
      </c>
      <c r="AC212" s="234">
        <v>6</v>
      </c>
      <c r="AD212" s="234">
        <v>0</v>
      </c>
    </row>
    <row r="213" spans="1:30" hidden="1">
      <c r="A213" s="244" t="s">
        <v>2326</v>
      </c>
      <c r="B213" s="244" t="s">
        <v>1982</v>
      </c>
      <c r="C213" s="244">
        <v>49951</v>
      </c>
      <c r="D213" s="245">
        <v>42373.000006736111</v>
      </c>
      <c r="E213" s="245">
        <v>43469.000006736111</v>
      </c>
      <c r="F213" s="246">
        <v>320000000</v>
      </c>
      <c r="G213" s="246">
        <v>320000000</v>
      </c>
      <c r="H213" s="243">
        <v>1</v>
      </c>
      <c r="I213" s="234">
        <v>1032</v>
      </c>
      <c r="J213" s="234">
        <v>107.9</v>
      </c>
      <c r="K213" s="234">
        <v>39.799999999999997</v>
      </c>
      <c r="L213" s="234">
        <f>VLOOKUP(4995,收盤價!A:C,3,0)</f>
        <v>39</v>
      </c>
      <c r="M213" s="234">
        <v>2513</v>
      </c>
      <c r="N213" s="234">
        <v>100</v>
      </c>
      <c r="O213" s="235">
        <v>7.3200000000000001E-2</v>
      </c>
      <c r="P213" s="235">
        <v>-1.66E-2</v>
      </c>
      <c r="Q213" s="235">
        <v>-0.39793076004775169</v>
      </c>
      <c r="R213" s="234">
        <f>VLOOKUP(49951,U:AC,9,0)</f>
        <v>39</v>
      </c>
      <c r="S213" s="234">
        <f>VLOOKUP(4995,季財報!A:N,8,0)</f>
        <v>2</v>
      </c>
      <c r="T213" s="234">
        <v>10502</v>
      </c>
      <c r="U213" s="234">
        <v>49912</v>
      </c>
      <c r="V213" s="234" t="s">
        <v>2985</v>
      </c>
      <c r="W213" s="234" t="s">
        <v>2984</v>
      </c>
      <c r="X213" s="234">
        <v>2478</v>
      </c>
      <c r="Y213" s="234">
        <v>2478</v>
      </c>
      <c r="Z213" s="234">
        <v>0</v>
      </c>
      <c r="AA213" s="234">
        <v>0</v>
      </c>
      <c r="AB213" s="234">
        <v>3000</v>
      </c>
      <c r="AC213" s="234">
        <v>31</v>
      </c>
      <c r="AD213" s="234">
        <v>0</v>
      </c>
    </row>
    <row r="214" spans="1:30" hidden="1">
      <c r="A214" s="244" t="s">
        <v>2232</v>
      </c>
      <c r="B214" s="244" t="s">
        <v>1947</v>
      </c>
      <c r="C214" s="244">
        <v>34382</v>
      </c>
      <c r="D214" s="245">
        <v>41605.000006736111</v>
      </c>
      <c r="E214" s="245">
        <v>42701.000006736111</v>
      </c>
      <c r="F214" s="246">
        <v>300000000</v>
      </c>
      <c r="G214" s="246">
        <v>291800000</v>
      </c>
      <c r="H214" s="243">
        <v>0.97</v>
      </c>
      <c r="I214" s="234">
        <v>264</v>
      </c>
      <c r="J214" s="234">
        <v>104.25</v>
      </c>
      <c r="K214" s="234">
        <v>24</v>
      </c>
      <c r="L214" s="234">
        <f>VLOOKUP(3438,收盤價!A:C,3,0)</f>
        <v>18.25</v>
      </c>
      <c r="M214" s="234">
        <v>4167</v>
      </c>
      <c r="N214" s="234">
        <v>100</v>
      </c>
      <c r="O214" s="235">
        <v>4.0800000000000003E-2</v>
      </c>
      <c r="P214" s="235">
        <v>-0.35589999999999999</v>
      </c>
      <c r="Q214" s="235">
        <v>-0.23998080153587714</v>
      </c>
      <c r="R214" s="234">
        <f>VLOOKUP(34382,U:AC,9,0)</f>
        <v>5</v>
      </c>
      <c r="S214" s="234">
        <f>VLOOKUP(3438,季財報!A:N,8,0)</f>
        <v>0</v>
      </c>
      <c r="T214" s="234">
        <v>10502</v>
      </c>
      <c r="U214" s="234">
        <v>49951</v>
      </c>
      <c r="V214" s="234" t="s">
        <v>2986</v>
      </c>
      <c r="W214" s="234" t="s">
        <v>2661</v>
      </c>
      <c r="X214" s="234">
        <v>3200</v>
      </c>
      <c r="Y214" s="234">
        <v>3200</v>
      </c>
      <c r="Z214" s="234">
        <v>0</v>
      </c>
      <c r="AA214" s="234">
        <v>0</v>
      </c>
      <c r="AB214" s="234">
        <v>0</v>
      </c>
      <c r="AC214" s="234">
        <v>39</v>
      </c>
      <c r="AD214" s="234">
        <v>0</v>
      </c>
    </row>
    <row r="215" spans="1:30" hidden="1">
      <c r="A215" s="244" t="s">
        <v>2296</v>
      </c>
      <c r="B215" s="244" t="s">
        <v>2297</v>
      </c>
      <c r="C215" s="244">
        <v>44144</v>
      </c>
      <c r="D215" s="245">
        <v>42027.000006736111</v>
      </c>
      <c r="E215" s="245">
        <v>43123.000006736111</v>
      </c>
      <c r="F215" s="246">
        <v>990000000</v>
      </c>
      <c r="G215" s="246">
        <v>990000000</v>
      </c>
      <c r="H215" s="243">
        <v>1</v>
      </c>
      <c r="I215" s="234">
        <v>686</v>
      </c>
      <c r="J215" s="234">
        <v>150</v>
      </c>
      <c r="K215" s="234">
        <v>17.100000000000001</v>
      </c>
      <c r="L215" s="234">
        <f>VLOOKUP(4414,收盤價!A:C,3,0)</f>
        <v>25.4</v>
      </c>
      <c r="M215" s="234">
        <v>5848</v>
      </c>
      <c r="N215" s="234">
        <v>140.352</v>
      </c>
      <c r="O215" s="235">
        <v>6.4299999999999996E-2</v>
      </c>
      <c r="P215" s="235">
        <v>0.28749999999999998</v>
      </c>
      <c r="Q215" s="235">
        <v>-0.17099863201094392</v>
      </c>
      <c r="R215" s="234">
        <f>VLOOKUP(44144,U:AC,9,0)</f>
        <v>68</v>
      </c>
      <c r="S215" s="234">
        <f>VLOOKUP(4414,季財報!A:N,8,0)</f>
        <v>1</v>
      </c>
      <c r="T215" s="234">
        <v>10502</v>
      </c>
      <c r="U215" s="234">
        <v>52133</v>
      </c>
      <c r="V215" s="234" t="s">
        <v>2987</v>
      </c>
      <c r="W215" s="234" t="s">
        <v>2988</v>
      </c>
      <c r="X215" s="234">
        <v>1824</v>
      </c>
      <c r="Y215" s="234">
        <v>1824</v>
      </c>
      <c r="Z215" s="234">
        <v>0</v>
      </c>
      <c r="AA215" s="234">
        <v>0</v>
      </c>
      <c r="AB215" s="234">
        <v>4000</v>
      </c>
      <c r="AC215" s="234">
        <v>14</v>
      </c>
      <c r="AD215" s="234">
        <v>0</v>
      </c>
    </row>
    <row r="216" spans="1:30" hidden="1">
      <c r="A216" s="244" t="s">
        <v>2284</v>
      </c>
      <c r="B216" s="244" t="s">
        <v>2285</v>
      </c>
      <c r="C216" s="244">
        <v>41371</v>
      </c>
      <c r="D216" s="245">
        <v>42321.000006736111</v>
      </c>
      <c r="E216" s="245">
        <v>43417.000006736111</v>
      </c>
      <c r="F216" s="246">
        <v>900000000</v>
      </c>
      <c r="G216" s="246">
        <v>900000000</v>
      </c>
      <c r="H216" s="243">
        <v>1</v>
      </c>
      <c r="I216" s="234">
        <v>980</v>
      </c>
      <c r="J216" s="234">
        <v>114.9</v>
      </c>
      <c r="K216" s="234">
        <v>288</v>
      </c>
      <c r="L216" s="234">
        <f>VLOOKUP(4137,收盤價!A:C,3,0)</f>
        <v>303</v>
      </c>
      <c r="M216" s="234">
        <v>347</v>
      </c>
      <c r="N216" s="234">
        <v>109.999</v>
      </c>
      <c r="O216" s="235">
        <v>4.2700000000000002E-2</v>
      </c>
      <c r="P216" s="235">
        <v>9.1499999999999998E-2</v>
      </c>
      <c r="Q216" s="235">
        <v>-2.8818443804034581</v>
      </c>
      <c r="R216" s="234">
        <f>VLOOKUP(41371,U:AC,9,0)</f>
        <v>49</v>
      </c>
      <c r="S216" s="234">
        <f>VLOOKUP(4137,季財報!A:N,8,0)</f>
        <v>2</v>
      </c>
      <c r="T216" s="234">
        <v>10502</v>
      </c>
      <c r="U216" s="234">
        <v>52134</v>
      </c>
      <c r="V216" s="234" t="s">
        <v>2989</v>
      </c>
      <c r="W216" s="234" t="s">
        <v>2988</v>
      </c>
      <c r="X216" s="234">
        <v>179</v>
      </c>
      <c r="Y216" s="234">
        <v>179</v>
      </c>
      <c r="Z216" s="234">
        <v>0</v>
      </c>
      <c r="AA216" s="234">
        <v>0</v>
      </c>
      <c r="AB216" s="234">
        <v>1000</v>
      </c>
      <c r="AC216" s="234">
        <v>5</v>
      </c>
      <c r="AD216" s="234">
        <v>0</v>
      </c>
    </row>
    <row r="217" spans="1:30" hidden="1">
      <c r="A217" s="244" t="s">
        <v>2307</v>
      </c>
      <c r="B217" s="244" t="s">
        <v>375</v>
      </c>
      <c r="C217" s="244">
        <v>47361</v>
      </c>
      <c r="D217" s="245">
        <v>41507.000006736111</v>
      </c>
      <c r="E217" s="245">
        <v>42603.000006736111</v>
      </c>
      <c r="F217" s="246">
        <v>600000000</v>
      </c>
      <c r="G217" s="246">
        <v>11200000</v>
      </c>
      <c r="H217" s="243">
        <v>0.02</v>
      </c>
      <c r="I217" s="234">
        <v>166</v>
      </c>
      <c r="J217" s="234">
        <v>138</v>
      </c>
      <c r="K217" s="234">
        <v>71.44</v>
      </c>
      <c r="L217" s="234">
        <f>VLOOKUP(4736,收盤價!A:C,3,0)</f>
        <v>110</v>
      </c>
      <c r="M217" s="234">
        <v>1400</v>
      </c>
      <c r="N217" s="234">
        <v>132.30000000000001</v>
      </c>
      <c r="O217" s="235">
        <v>4.1300000000000003E-2</v>
      </c>
      <c r="P217" s="235">
        <v>0.24399999999999999</v>
      </c>
      <c r="Q217" s="235">
        <v>-0.7142857142857143</v>
      </c>
      <c r="R217" s="234" t="e">
        <f>VLOOKUP(47361,U:AC,9,0)</f>
        <v>#N/A</v>
      </c>
      <c r="S217" s="234">
        <f>VLOOKUP(4736,季財報!A:N,8,0)</f>
        <v>5</v>
      </c>
      <c r="T217" s="234">
        <v>10502</v>
      </c>
      <c r="U217" s="234">
        <v>52135</v>
      </c>
      <c r="V217" s="234" t="s">
        <v>2990</v>
      </c>
      <c r="W217" s="234" t="s">
        <v>2988</v>
      </c>
      <c r="X217" s="234">
        <v>4000</v>
      </c>
      <c r="Y217" s="234">
        <v>4000</v>
      </c>
      <c r="Z217" s="234">
        <v>0</v>
      </c>
      <c r="AA217" s="234">
        <v>0</v>
      </c>
      <c r="AB217" s="234">
        <v>4000</v>
      </c>
      <c r="AC217" s="234">
        <v>16</v>
      </c>
      <c r="AD217" s="234">
        <v>0</v>
      </c>
    </row>
    <row r="218" spans="1:30">
      <c r="A218" s="244" t="s">
        <v>2210</v>
      </c>
      <c r="B218" s="244" t="s">
        <v>2000</v>
      </c>
      <c r="C218" s="244">
        <v>30861</v>
      </c>
      <c r="D218" s="245">
        <v>41996.000006736111</v>
      </c>
      <c r="E218" s="245">
        <v>43092.000006736111</v>
      </c>
      <c r="F218" s="246">
        <v>300000000</v>
      </c>
      <c r="G218" s="246">
        <v>293400000</v>
      </c>
      <c r="H218" s="243">
        <v>0.98</v>
      </c>
      <c r="I218" s="234">
        <v>655</v>
      </c>
      <c r="J218" s="234">
        <v>113</v>
      </c>
      <c r="K218" s="234">
        <v>11.77</v>
      </c>
      <c r="L218" s="234">
        <f>VLOOKUP(3086,收盤價!A:C,3,0)</f>
        <v>12.5</v>
      </c>
      <c r="M218" s="234">
        <v>8496</v>
      </c>
      <c r="N218" s="234">
        <v>106.2</v>
      </c>
      <c r="O218" s="235">
        <v>6.0199999999999997E-2</v>
      </c>
      <c r="P218" s="235">
        <v>5.8400000000000001E-2</v>
      </c>
      <c r="Q218" s="235">
        <v>-0.11770244821092279</v>
      </c>
      <c r="R218" s="234">
        <f>VLOOKUP(30861,U:AC,9,0)</f>
        <v>27</v>
      </c>
      <c r="S218" s="234">
        <f>VLOOKUP(3086,季財報!A:N,8,0)</f>
        <v>3</v>
      </c>
      <c r="T218" s="234">
        <v>10502</v>
      </c>
      <c r="U218" s="234">
        <v>52136</v>
      </c>
      <c r="V218" s="234" t="s">
        <v>2991</v>
      </c>
      <c r="W218" s="234" t="s">
        <v>2988</v>
      </c>
      <c r="X218" s="234">
        <v>5000</v>
      </c>
      <c r="Y218" s="234">
        <v>5000</v>
      </c>
      <c r="Z218" s="234">
        <v>0</v>
      </c>
      <c r="AA218" s="234">
        <v>0</v>
      </c>
      <c r="AB218" s="234">
        <v>5000</v>
      </c>
      <c r="AC218" s="234">
        <v>22</v>
      </c>
      <c r="AD218" s="234">
        <v>0</v>
      </c>
    </row>
    <row r="219" spans="1:30" hidden="1">
      <c r="A219" s="244" t="s">
        <v>2170</v>
      </c>
      <c r="B219" s="244" t="s">
        <v>2171</v>
      </c>
      <c r="C219" s="244">
        <v>26131</v>
      </c>
      <c r="D219" s="245">
        <v>42306.000006736111</v>
      </c>
      <c r="E219" s="245">
        <v>43402.000006736111</v>
      </c>
      <c r="F219" s="246">
        <v>150000000</v>
      </c>
      <c r="G219" s="246">
        <v>150000000</v>
      </c>
      <c r="H219" s="243">
        <v>1</v>
      </c>
      <c r="I219" s="234">
        <v>965</v>
      </c>
      <c r="J219" s="234">
        <v>104.45</v>
      </c>
      <c r="K219" s="234">
        <v>14.5</v>
      </c>
      <c r="L219" s="234">
        <f>VLOOKUP(2613,收盤價!A:C,3,0)</f>
        <v>13.3</v>
      </c>
      <c r="M219" s="234">
        <v>6897</v>
      </c>
      <c r="N219" s="234">
        <v>100</v>
      </c>
      <c r="O219" s="235">
        <v>4.2599999999999999E-2</v>
      </c>
      <c r="P219" s="235">
        <v>-9.8500000000000004E-2</v>
      </c>
      <c r="Q219" s="235">
        <v>-0.14499057561258519</v>
      </c>
      <c r="R219" s="234">
        <f>VLOOKUP(26131,U:AC,9,0)</f>
        <v>9</v>
      </c>
      <c r="S219" s="234">
        <f>VLOOKUP(2613,季財報!A:N,8,0)</f>
        <v>0</v>
      </c>
      <c r="T219" s="234">
        <v>10502</v>
      </c>
      <c r="U219" s="234">
        <v>52151</v>
      </c>
      <c r="V219" s="234" t="s">
        <v>2992</v>
      </c>
      <c r="W219" s="234" t="s">
        <v>2993</v>
      </c>
      <c r="X219" s="234">
        <v>1500</v>
      </c>
      <c r="Y219" s="234">
        <v>1500</v>
      </c>
      <c r="Z219" s="234">
        <v>0</v>
      </c>
      <c r="AA219" s="234">
        <v>0</v>
      </c>
      <c r="AB219" s="234">
        <v>1500</v>
      </c>
      <c r="AC219" s="234">
        <v>7</v>
      </c>
      <c r="AD219" s="234">
        <v>0</v>
      </c>
    </row>
    <row r="220" spans="1:30" hidden="1">
      <c r="A220" s="244" t="s">
        <v>2127</v>
      </c>
      <c r="B220" s="244" t="s">
        <v>2128</v>
      </c>
      <c r="C220" s="244">
        <v>24371</v>
      </c>
      <c r="D220" s="245">
        <v>42019.000006736111</v>
      </c>
      <c r="E220" s="245">
        <v>43845.000006736111</v>
      </c>
      <c r="F220" s="246">
        <v>1200000000</v>
      </c>
      <c r="G220" s="246">
        <v>763000000</v>
      </c>
      <c r="H220" s="243">
        <v>0.64</v>
      </c>
      <c r="I220" s="234">
        <v>1408</v>
      </c>
      <c r="J220" s="234">
        <v>108.9</v>
      </c>
      <c r="K220" s="234">
        <v>51.3</v>
      </c>
      <c r="L220" s="234">
        <f>VLOOKUP(2437,收盤價!A:C,3,0)</f>
        <v>53.5</v>
      </c>
      <c r="M220" s="234">
        <v>1949</v>
      </c>
      <c r="N220" s="234">
        <v>101.15309999999999</v>
      </c>
      <c r="O220" s="235">
        <v>7.1099999999999997E-2</v>
      </c>
      <c r="P220" s="235">
        <v>1.1599999999999999E-2</v>
      </c>
      <c r="Q220" s="235">
        <v>-0.51308363263211898</v>
      </c>
      <c r="R220" s="234">
        <f>VLOOKUP(24371,U:AC,9,0)</f>
        <v>111</v>
      </c>
      <c r="S220" s="234">
        <f>VLOOKUP(2437,季財報!A:N,8,0)</f>
        <v>3</v>
      </c>
      <c r="T220" s="234">
        <v>10502</v>
      </c>
      <c r="U220" s="234">
        <v>52301</v>
      </c>
      <c r="V220" s="234" t="s">
        <v>2994</v>
      </c>
      <c r="W220" s="234" t="s">
        <v>2995</v>
      </c>
      <c r="X220" s="234">
        <v>936</v>
      </c>
      <c r="Y220" s="234">
        <v>936</v>
      </c>
      <c r="Z220" s="234">
        <v>0</v>
      </c>
      <c r="AA220" s="234">
        <v>0</v>
      </c>
      <c r="AB220" s="234">
        <v>2300</v>
      </c>
      <c r="AC220" s="234">
        <v>9</v>
      </c>
      <c r="AD220" s="234">
        <v>0</v>
      </c>
    </row>
    <row r="221" spans="1:30" hidden="1">
      <c r="A221" s="244" t="s">
        <v>2425</v>
      </c>
      <c r="B221" s="244" t="s">
        <v>498</v>
      </c>
      <c r="C221" s="244">
        <v>84211</v>
      </c>
      <c r="D221" s="245">
        <v>41716.000006736111</v>
      </c>
      <c r="E221" s="245">
        <v>42812.000006736111</v>
      </c>
      <c r="F221" s="246">
        <v>150000000</v>
      </c>
      <c r="G221" s="246">
        <v>150000000</v>
      </c>
      <c r="H221" s="243">
        <v>1</v>
      </c>
      <c r="I221" s="234">
        <v>375</v>
      </c>
      <c r="J221" s="234">
        <v>102.3</v>
      </c>
      <c r="K221" s="234">
        <v>16.75</v>
      </c>
      <c r="L221" s="234">
        <f>VLOOKUP(8421,收盤價!A:C,3,0)</f>
        <v>13.1</v>
      </c>
      <c r="M221" s="234">
        <v>5970</v>
      </c>
      <c r="N221" s="234">
        <v>100</v>
      </c>
      <c r="O221" s="235">
        <v>2.2499999999999999E-2</v>
      </c>
      <c r="P221" s="235">
        <v>-0.2984</v>
      </c>
      <c r="Q221" s="235">
        <v>-0.16750418760469013</v>
      </c>
      <c r="R221" s="234">
        <f>VLOOKUP(84211,U:AC,9,0)</f>
        <v>11</v>
      </c>
      <c r="S221" s="234">
        <f>VLOOKUP(8421,季財報!A:N,8,0)</f>
        <v>5</v>
      </c>
      <c r="T221" s="234">
        <v>10502</v>
      </c>
      <c r="U221" s="234">
        <v>52302</v>
      </c>
      <c r="V221" s="234" t="s">
        <v>2996</v>
      </c>
      <c r="W221" s="234" t="s">
        <v>2995</v>
      </c>
      <c r="X221" s="234">
        <v>2000</v>
      </c>
      <c r="Y221" s="234">
        <v>2000</v>
      </c>
      <c r="Z221" s="234">
        <v>0</v>
      </c>
      <c r="AA221" s="234">
        <v>0</v>
      </c>
      <c r="AB221" s="234">
        <v>2000</v>
      </c>
      <c r="AC221" s="234">
        <v>16</v>
      </c>
      <c r="AD221" s="234">
        <v>0</v>
      </c>
    </row>
    <row r="222" spans="1:30" hidden="1">
      <c r="A222" s="244" t="s">
        <v>2184</v>
      </c>
      <c r="B222" s="244" t="s">
        <v>2185</v>
      </c>
      <c r="C222" s="244">
        <v>28411</v>
      </c>
      <c r="D222" s="245">
        <v>42234.000006736111</v>
      </c>
      <c r="E222" s="245">
        <v>43330.000006736111</v>
      </c>
      <c r="F222" s="246">
        <v>200000000</v>
      </c>
      <c r="G222" s="246">
        <v>200000000</v>
      </c>
      <c r="H222" s="243">
        <v>1</v>
      </c>
      <c r="I222" s="234">
        <v>893</v>
      </c>
      <c r="J222" s="234">
        <v>115</v>
      </c>
      <c r="K222" s="234">
        <v>10.76</v>
      </c>
      <c r="L222" s="234">
        <f>VLOOKUP(2841,收盤價!A:C,3,0)</f>
        <v>12.2</v>
      </c>
      <c r="M222" s="234">
        <v>9294</v>
      </c>
      <c r="N222" s="234">
        <v>111.52800000000001</v>
      </c>
      <c r="O222" s="235">
        <v>3.0200000000000001E-2</v>
      </c>
      <c r="P222" s="235">
        <v>0.1033</v>
      </c>
      <c r="Q222" s="235">
        <v>-0.10759629868732516</v>
      </c>
      <c r="R222" s="234">
        <f>VLOOKUP(28411,U:AC,9,0)</f>
        <v>35</v>
      </c>
      <c r="S222" s="234">
        <f>VLOOKUP(2841,季財報!A:N,8,0)</f>
        <v>1</v>
      </c>
      <c r="T222" s="234">
        <v>10502</v>
      </c>
      <c r="U222" s="234">
        <v>52591</v>
      </c>
      <c r="V222" s="234" t="s">
        <v>2997</v>
      </c>
      <c r="W222" s="234" t="s">
        <v>2998</v>
      </c>
      <c r="X222" s="234">
        <v>3000</v>
      </c>
      <c r="Y222" s="234">
        <v>3000</v>
      </c>
      <c r="Z222" s="234">
        <v>0</v>
      </c>
      <c r="AA222" s="234">
        <v>0</v>
      </c>
      <c r="AB222" s="234">
        <v>3000</v>
      </c>
      <c r="AC222" s="234">
        <v>13</v>
      </c>
      <c r="AD222" s="234">
        <v>0</v>
      </c>
    </row>
    <row r="223" spans="1:30" hidden="1">
      <c r="A223" s="244" t="s">
        <v>2261</v>
      </c>
      <c r="B223" s="244" t="s">
        <v>338</v>
      </c>
      <c r="C223" s="244">
        <v>36311</v>
      </c>
      <c r="D223" s="245">
        <v>40885.000006736111</v>
      </c>
      <c r="E223" s="245">
        <v>42712.000006736111</v>
      </c>
      <c r="F223" s="246">
        <v>300000000</v>
      </c>
      <c r="G223" s="246">
        <v>11300000</v>
      </c>
      <c r="H223" s="243">
        <v>0.04</v>
      </c>
      <c r="I223" s="234">
        <v>275</v>
      </c>
      <c r="J223" s="234">
        <v>104.5</v>
      </c>
      <c r="K223" s="234">
        <v>40.700000000000003</v>
      </c>
      <c r="L223" s="234">
        <f>VLOOKUP(3631,收盤價!A:C,3,0)</f>
        <v>22.5</v>
      </c>
      <c r="M223" s="234">
        <v>2457</v>
      </c>
      <c r="N223" s="234">
        <v>100</v>
      </c>
      <c r="O223" s="235">
        <v>4.3099999999999999E-2</v>
      </c>
      <c r="P223" s="235">
        <v>-0.87129999999999996</v>
      </c>
      <c r="Q223" s="235">
        <v>-0.40700040700040702</v>
      </c>
      <c r="R223" s="234">
        <f>VLOOKUP(36311,U:AC,9,0)</f>
        <v>4</v>
      </c>
      <c r="S223" s="234">
        <f>VLOOKUP(3631,季財報!A:N,8,0)</f>
        <v>2</v>
      </c>
      <c r="T223" s="234">
        <v>10502</v>
      </c>
      <c r="U223" s="234">
        <v>52841</v>
      </c>
      <c r="V223" s="234" t="s">
        <v>2999</v>
      </c>
      <c r="W223" s="234" t="s">
        <v>3000</v>
      </c>
      <c r="X223" s="234">
        <v>710</v>
      </c>
      <c r="Y223" s="234">
        <v>770</v>
      </c>
      <c r="Z223" s="234">
        <v>-60</v>
      </c>
      <c r="AA223" s="234">
        <v>-7.79</v>
      </c>
      <c r="AB223" s="234">
        <v>2000</v>
      </c>
      <c r="AC223" s="234">
        <v>24</v>
      </c>
      <c r="AD223" s="234">
        <v>0</v>
      </c>
    </row>
    <row r="224" spans="1:30" hidden="1">
      <c r="A224" s="244" t="s">
        <v>2354</v>
      </c>
      <c r="B224" s="244" t="s">
        <v>1979</v>
      </c>
      <c r="C224" s="244">
        <v>61053</v>
      </c>
      <c r="D224" s="245">
        <v>41920.000006736111</v>
      </c>
      <c r="E224" s="245">
        <v>43016.000006736111</v>
      </c>
      <c r="F224" s="246">
        <v>600000000</v>
      </c>
      <c r="G224" s="246">
        <v>441900000</v>
      </c>
      <c r="H224" s="243">
        <v>0.74</v>
      </c>
      <c r="I224" s="234">
        <v>579</v>
      </c>
      <c r="J224" s="234">
        <v>118</v>
      </c>
      <c r="K224" s="234">
        <v>38.200000000000003</v>
      </c>
      <c r="L224" s="234">
        <f>VLOOKUP(6105,收盤價!A:C,3,0)</f>
        <v>43.2</v>
      </c>
      <c r="M224" s="234">
        <v>2618</v>
      </c>
      <c r="N224" s="234">
        <v>113.4903</v>
      </c>
      <c r="O224" s="235">
        <v>3.8199999999999998E-2</v>
      </c>
      <c r="P224" s="235">
        <v>0.1188</v>
      </c>
      <c r="Q224" s="235">
        <v>-0.38197097020626436</v>
      </c>
      <c r="R224" s="234">
        <f>VLOOKUP(61053,U:AC,9,0)</f>
        <v>32</v>
      </c>
      <c r="S224" s="234">
        <f>VLOOKUP(6105,季財報!A:N,8,0)</f>
        <v>2</v>
      </c>
      <c r="T224" s="234">
        <v>10502</v>
      </c>
      <c r="U224" s="234">
        <v>52851</v>
      </c>
      <c r="V224" s="234" t="s">
        <v>3001</v>
      </c>
      <c r="W224" s="234" t="s">
        <v>3002</v>
      </c>
      <c r="X224" s="234">
        <v>7200</v>
      </c>
      <c r="Y224" s="234">
        <v>7200</v>
      </c>
      <c r="Z224" s="234">
        <v>0</v>
      </c>
      <c r="AA224" s="234">
        <v>0</v>
      </c>
      <c r="AB224" s="234">
        <v>7200</v>
      </c>
      <c r="AC224" s="234">
        <v>70</v>
      </c>
      <c r="AD224" s="234">
        <v>0</v>
      </c>
    </row>
    <row r="225" spans="1:30" hidden="1">
      <c r="A225" s="244" t="s">
        <v>2342</v>
      </c>
      <c r="B225" s="244" t="s">
        <v>1962</v>
      </c>
      <c r="C225" s="244">
        <v>54754</v>
      </c>
      <c r="D225" s="245">
        <v>41061.000006736111</v>
      </c>
      <c r="E225" s="245">
        <v>42522.000006736111</v>
      </c>
      <c r="F225" s="246">
        <v>200000000</v>
      </c>
      <c r="G225" s="246">
        <v>200000000</v>
      </c>
      <c r="H225" s="243">
        <v>1</v>
      </c>
      <c r="I225" s="234">
        <v>85</v>
      </c>
      <c r="J225" s="234">
        <v>104.65</v>
      </c>
      <c r="K225" s="234">
        <v>9.6300000000000008</v>
      </c>
      <c r="L225" s="234">
        <f>VLOOKUP(5475,收盤價!A:C,3,0)</f>
        <v>3.81</v>
      </c>
      <c r="M225" s="234">
        <v>10384</v>
      </c>
      <c r="N225" s="234">
        <v>100</v>
      </c>
      <c r="O225" s="235">
        <v>4.4400000000000002E-2</v>
      </c>
      <c r="P225" s="235">
        <v>-2.0474999999999999</v>
      </c>
      <c r="Q225" s="235">
        <v>-9.6302003081664089E-2</v>
      </c>
      <c r="R225" s="234">
        <f>VLOOKUP(54754,U:AC,9,0)</f>
        <v>11</v>
      </c>
      <c r="S225" s="234">
        <f>VLOOKUP(5475,季財報!A:N,8,0)</f>
        <v>1</v>
      </c>
      <c r="T225" s="234">
        <v>10502</v>
      </c>
      <c r="U225" s="234">
        <v>52891</v>
      </c>
      <c r="V225" s="234" t="s">
        <v>3003</v>
      </c>
      <c r="W225" s="234" t="s">
        <v>3004</v>
      </c>
      <c r="X225" s="234">
        <v>5000</v>
      </c>
      <c r="Y225" s="234">
        <v>5000</v>
      </c>
      <c r="Z225" s="234">
        <v>0</v>
      </c>
      <c r="AA225" s="234">
        <v>0</v>
      </c>
      <c r="AB225" s="234">
        <v>5000</v>
      </c>
      <c r="AC225" s="234">
        <v>53</v>
      </c>
      <c r="AD225" s="234">
        <v>0</v>
      </c>
    </row>
    <row r="226" spans="1:30" hidden="1">
      <c r="A226" s="244" t="s">
        <v>2161</v>
      </c>
      <c r="B226" s="244" t="s">
        <v>2162</v>
      </c>
      <c r="C226" s="244">
        <v>25474</v>
      </c>
      <c r="D226" s="245">
        <v>40976.000006736111</v>
      </c>
      <c r="E226" s="245">
        <v>42437.000006736111</v>
      </c>
      <c r="F226" s="246">
        <v>800000000</v>
      </c>
      <c r="G226" s="246">
        <v>313300000</v>
      </c>
      <c r="H226" s="243">
        <v>0.39</v>
      </c>
      <c r="I226" s="234">
        <v>0</v>
      </c>
      <c r="J226" s="234">
        <v>105.65</v>
      </c>
      <c r="K226" s="234">
        <v>20.5</v>
      </c>
      <c r="L226" s="234">
        <f>VLOOKUP(2547,收盤價!A:C,3,0)</f>
        <v>11.2</v>
      </c>
      <c r="M226" s="234">
        <v>4878</v>
      </c>
      <c r="N226" s="234">
        <v>100</v>
      </c>
      <c r="O226" s="235">
        <v>5.3499999999999999E-2</v>
      </c>
      <c r="P226" s="235">
        <v>-0.92490000000000006</v>
      </c>
      <c r="Q226" s="235">
        <v>-0.20500205002050018</v>
      </c>
      <c r="R226" s="234">
        <f>VLOOKUP(25474,U:AC,9,0)</f>
        <v>15</v>
      </c>
      <c r="S226" s="234">
        <f>VLOOKUP(2547,季財報!A:N,8,0)</f>
        <v>0</v>
      </c>
      <c r="T226" s="234">
        <v>10502</v>
      </c>
      <c r="U226" s="234">
        <v>53093</v>
      </c>
      <c r="V226" s="234" t="s">
        <v>3005</v>
      </c>
      <c r="W226" s="234" t="s">
        <v>3006</v>
      </c>
      <c r="X226" s="234">
        <v>2476</v>
      </c>
      <c r="Y226" s="234">
        <v>2482</v>
      </c>
      <c r="Z226" s="234">
        <v>-6</v>
      </c>
      <c r="AA226" s="234">
        <v>-0.24</v>
      </c>
      <c r="AB226" s="234">
        <v>4000</v>
      </c>
      <c r="AC226" s="234">
        <v>54</v>
      </c>
      <c r="AD226" s="234">
        <v>0</v>
      </c>
    </row>
    <row r="227" spans="1:30">
      <c r="A227" s="244" t="s">
        <v>2407</v>
      </c>
      <c r="B227" s="244" t="s">
        <v>1966</v>
      </c>
      <c r="C227" s="244">
        <v>80745</v>
      </c>
      <c r="D227" s="245">
        <v>42236.000006736111</v>
      </c>
      <c r="E227" s="245">
        <v>44063.000006736111</v>
      </c>
      <c r="F227" s="246">
        <v>450000000</v>
      </c>
      <c r="G227" s="246">
        <v>436800000</v>
      </c>
      <c r="H227" s="243">
        <v>0.97</v>
      </c>
      <c r="I227" s="234">
        <v>1626</v>
      </c>
      <c r="J227" s="234">
        <v>126.5</v>
      </c>
      <c r="K227" s="234">
        <v>20.399999999999999</v>
      </c>
      <c r="L227" s="234">
        <f>VLOOKUP(8074,收盤價!A:C,3,0)</f>
        <v>25.85</v>
      </c>
      <c r="M227" s="234">
        <v>4902</v>
      </c>
      <c r="N227" s="234">
        <v>125.001</v>
      </c>
      <c r="O227" s="235">
        <v>1.18E-2</v>
      </c>
      <c r="P227" s="235">
        <v>0.2</v>
      </c>
      <c r="Q227" s="235">
        <v>-0.2039983680130559</v>
      </c>
      <c r="R227" s="234">
        <f>VLOOKUP(80745,U:AC,9,0)</f>
        <v>17</v>
      </c>
      <c r="S227" s="234">
        <f>VLOOKUP(8074,季財報!A:N,8,0)</f>
        <v>4</v>
      </c>
      <c r="T227" s="234">
        <v>10502</v>
      </c>
      <c r="U227" s="234">
        <v>53884</v>
      </c>
      <c r="V227" s="234" t="s">
        <v>3007</v>
      </c>
      <c r="W227" s="234" t="s">
        <v>3008</v>
      </c>
      <c r="X227" s="234">
        <v>202</v>
      </c>
      <c r="Y227" s="234">
        <v>202</v>
      </c>
      <c r="Z227" s="234">
        <v>0</v>
      </c>
      <c r="AA227" s="234">
        <v>0</v>
      </c>
      <c r="AB227" s="234">
        <v>6000</v>
      </c>
      <c r="AC227" s="234">
        <v>2</v>
      </c>
      <c r="AD227" s="234">
        <v>0</v>
      </c>
    </row>
    <row r="228" spans="1:30" hidden="1">
      <c r="A228" s="244" t="s">
        <v>2193</v>
      </c>
      <c r="B228" s="244" t="s">
        <v>2194</v>
      </c>
      <c r="C228" s="244">
        <v>30181</v>
      </c>
      <c r="D228" s="245">
        <v>41962.000006736111</v>
      </c>
      <c r="E228" s="245">
        <v>43058.000006736111</v>
      </c>
      <c r="F228" s="246">
        <v>75000000</v>
      </c>
      <c r="G228" s="246">
        <v>67100000</v>
      </c>
      <c r="H228" s="243">
        <v>0.89</v>
      </c>
      <c r="I228" s="234">
        <v>621</v>
      </c>
      <c r="J228" s="234">
        <v>104.8</v>
      </c>
      <c r="K228" s="234">
        <v>20.100000000000001</v>
      </c>
      <c r="L228" s="234">
        <f>VLOOKUP(3018,收盤價!A:C,3,0)</f>
        <v>17.45</v>
      </c>
      <c r="M228" s="234">
        <v>4975</v>
      </c>
      <c r="N228" s="234">
        <v>100</v>
      </c>
      <c r="O228" s="235">
        <v>4.58E-2</v>
      </c>
      <c r="P228" s="235">
        <v>-0.12920000000000001</v>
      </c>
      <c r="Q228" s="235">
        <v>-0.20100502512562812</v>
      </c>
      <c r="R228" s="234">
        <f>VLOOKUP(30181,U:AC,9,0)</f>
        <v>7</v>
      </c>
      <c r="S228" s="234">
        <f>VLOOKUP(3018,季財報!A:N,8,0)</f>
        <v>0</v>
      </c>
      <c r="T228" s="234">
        <v>10502</v>
      </c>
      <c r="U228" s="234">
        <v>53885</v>
      </c>
      <c r="V228" s="234" t="s">
        <v>3009</v>
      </c>
      <c r="W228" s="234" t="s">
        <v>3008</v>
      </c>
      <c r="X228" s="234">
        <v>400</v>
      </c>
      <c r="Y228" s="234">
        <v>400</v>
      </c>
      <c r="Z228" s="234">
        <v>0</v>
      </c>
      <c r="AA228" s="234">
        <v>0</v>
      </c>
      <c r="AB228" s="234">
        <v>6000</v>
      </c>
      <c r="AC228" s="234">
        <v>2</v>
      </c>
      <c r="AD228" s="234">
        <v>0</v>
      </c>
    </row>
    <row r="229" spans="1:30" hidden="1">
      <c r="A229" s="244" t="s">
        <v>2226</v>
      </c>
      <c r="B229" s="244" t="s">
        <v>1978</v>
      </c>
      <c r="C229" s="244">
        <v>33252</v>
      </c>
      <c r="D229" s="245">
        <v>41869.000006736111</v>
      </c>
      <c r="E229" s="245">
        <v>42965.000006736111</v>
      </c>
      <c r="F229" s="246">
        <v>100000000</v>
      </c>
      <c r="G229" s="246">
        <v>99000000</v>
      </c>
      <c r="H229" s="243">
        <v>0.99</v>
      </c>
      <c r="I229" s="234">
        <v>528</v>
      </c>
      <c r="J229" s="234">
        <v>105</v>
      </c>
      <c r="K229" s="234">
        <v>27.08</v>
      </c>
      <c r="L229" s="234">
        <f>VLOOKUP(3325,收盤價!A:C,3,0)</f>
        <v>17</v>
      </c>
      <c r="M229" s="234">
        <v>3693</v>
      </c>
      <c r="N229" s="234">
        <v>100</v>
      </c>
      <c r="O229" s="235">
        <v>4.7600000000000003E-2</v>
      </c>
      <c r="P229" s="235">
        <v>-0.63129999999999997</v>
      </c>
      <c r="Q229" s="235">
        <v>-0.27078256160303277</v>
      </c>
      <c r="R229" s="234">
        <f>VLOOKUP(33252,U:AC,9,0)</f>
        <v>5</v>
      </c>
      <c r="S229" s="234">
        <f>VLOOKUP(3325,季財報!A:N,8,0)</f>
        <v>3</v>
      </c>
      <c r="T229" s="234">
        <v>10502</v>
      </c>
      <c r="U229" s="234">
        <v>53924</v>
      </c>
      <c r="V229" s="234" t="s">
        <v>3010</v>
      </c>
      <c r="W229" s="234" t="s">
        <v>3011</v>
      </c>
      <c r="X229" s="234">
        <v>15000</v>
      </c>
      <c r="Y229" s="234">
        <v>15000</v>
      </c>
      <c r="Z229" s="234">
        <v>0</v>
      </c>
      <c r="AA229" s="234">
        <v>0</v>
      </c>
      <c r="AB229" s="234">
        <v>15000</v>
      </c>
      <c r="AC229" s="234">
        <v>108</v>
      </c>
      <c r="AD229" s="234">
        <v>0</v>
      </c>
    </row>
    <row r="230" spans="1:30" hidden="1">
      <c r="A230" s="244" t="s">
        <v>2378</v>
      </c>
      <c r="B230" s="244" t="s">
        <v>449</v>
      </c>
      <c r="C230" s="244">
        <v>61904</v>
      </c>
      <c r="D230" s="245">
        <v>41835.000006736111</v>
      </c>
      <c r="E230" s="245">
        <v>42931.000006736111</v>
      </c>
      <c r="F230" s="246">
        <v>200000000</v>
      </c>
      <c r="G230" s="246">
        <v>200000000</v>
      </c>
      <c r="H230" s="243">
        <v>1</v>
      </c>
      <c r="I230" s="234">
        <v>494</v>
      </c>
      <c r="J230" s="234">
        <v>100</v>
      </c>
      <c r="K230" s="234">
        <v>10.199999999999999</v>
      </c>
      <c r="L230" s="234">
        <f>VLOOKUP(6190,收盤價!A:C,3,0)</f>
        <v>6.5</v>
      </c>
      <c r="M230" s="234">
        <v>9804</v>
      </c>
      <c r="N230" s="234">
        <v>100</v>
      </c>
      <c r="O230" s="235">
        <v>0</v>
      </c>
      <c r="P230" s="235">
        <v>-0.67490000000000006</v>
      </c>
      <c r="Q230" s="235">
        <v>-0.10199918400652795</v>
      </c>
      <c r="R230" s="234">
        <f>VLOOKUP(61904,U:AC,9,0)</f>
        <v>10</v>
      </c>
      <c r="S230" s="234">
        <f>VLOOKUP(6190,季財報!A:N,8,0)</f>
        <v>2</v>
      </c>
      <c r="T230" s="234">
        <v>10502</v>
      </c>
      <c r="U230" s="234">
        <v>54754</v>
      </c>
      <c r="V230" s="234" t="s">
        <v>3012</v>
      </c>
      <c r="W230" s="234" t="s">
        <v>3013</v>
      </c>
      <c r="X230" s="234">
        <v>2000</v>
      </c>
      <c r="Y230" s="234">
        <v>2000</v>
      </c>
      <c r="Z230" s="234">
        <v>0</v>
      </c>
      <c r="AA230" s="234">
        <v>0</v>
      </c>
      <c r="AB230" s="234">
        <v>2000</v>
      </c>
      <c r="AC230" s="234">
        <v>11</v>
      </c>
      <c r="AD230" s="234">
        <v>0</v>
      </c>
    </row>
    <row r="231" spans="1:30" hidden="1">
      <c r="A231" s="244" t="s">
        <v>2227</v>
      </c>
      <c r="B231" s="244" t="s">
        <v>2228</v>
      </c>
      <c r="C231" s="244">
        <v>33381</v>
      </c>
      <c r="D231" s="245">
        <v>42033.000006736111</v>
      </c>
      <c r="E231" s="245">
        <v>43129.000006736111</v>
      </c>
      <c r="F231" s="246">
        <v>300000000</v>
      </c>
      <c r="G231" s="246">
        <v>298500000</v>
      </c>
      <c r="H231" s="243">
        <v>1</v>
      </c>
      <c r="I231" s="234">
        <v>692</v>
      </c>
      <c r="J231" s="234">
        <v>102</v>
      </c>
      <c r="K231" s="234">
        <v>34.299999999999997</v>
      </c>
      <c r="L231" s="234">
        <f>VLOOKUP(3338,收盤價!A:C,3,0)</f>
        <v>26.35</v>
      </c>
      <c r="M231" s="234">
        <v>2915</v>
      </c>
      <c r="N231" s="234">
        <v>100</v>
      </c>
      <c r="O231" s="235">
        <v>1.9599999999999999E-2</v>
      </c>
      <c r="P231" s="235">
        <v>-0.27510000000000001</v>
      </c>
      <c r="Q231" s="235">
        <v>-0.34305317324185247</v>
      </c>
      <c r="R231" s="234">
        <f>VLOOKUP(33381,U:AC,9,0)</f>
        <v>21</v>
      </c>
      <c r="S231" s="234">
        <f>VLOOKUP(3338,季財報!A:N,8,0)</f>
        <v>5</v>
      </c>
      <c r="T231" s="234">
        <v>10502</v>
      </c>
      <c r="U231" s="234">
        <v>54755</v>
      </c>
      <c r="V231" s="234" t="s">
        <v>3014</v>
      </c>
      <c r="W231" s="234" t="s">
        <v>3013</v>
      </c>
      <c r="X231" s="234">
        <v>38</v>
      </c>
      <c r="Y231" s="234">
        <v>38</v>
      </c>
      <c r="Z231" s="234">
        <v>0</v>
      </c>
      <c r="AA231" s="234">
        <v>0</v>
      </c>
      <c r="AB231" s="234">
        <v>2000</v>
      </c>
      <c r="AC231" s="234">
        <v>4</v>
      </c>
      <c r="AD231" s="234">
        <v>0</v>
      </c>
    </row>
    <row r="232" spans="1:30">
      <c r="A232" s="244" t="s">
        <v>2375</v>
      </c>
      <c r="B232" s="244" t="s">
        <v>447</v>
      </c>
      <c r="C232" s="244">
        <v>61825</v>
      </c>
      <c r="D232" s="245">
        <v>42109.000006736111</v>
      </c>
      <c r="E232" s="245">
        <v>43205.000006736111</v>
      </c>
      <c r="F232" s="246">
        <v>600000000</v>
      </c>
      <c r="G232" s="246">
        <v>600000000</v>
      </c>
      <c r="H232" s="243">
        <v>1</v>
      </c>
      <c r="I232" s="234">
        <v>768</v>
      </c>
      <c r="J232" s="234">
        <v>105.45</v>
      </c>
      <c r="K232" s="234">
        <v>14.02</v>
      </c>
      <c r="L232" s="234">
        <f>VLOOKUP(6182,收盤價!A:C,3,0)</f>
        <v>12.1</v>
      </c>
      <c r="M232" s="234">
        <v>7133</v>
      </c>
      <c r="N232" s="234">
        <v>100</v>
      </c>
      <c r="O232" s="235">
        <v>5.1700000000000003E-2</v>
      </c>
      <c r="P232" s="235">
        <v>-0.13059999999999999</v>
      </c>
      <c r="Q232" s="235">
        <v>-0.14019346698443852</v>
      </c>
      <c r="R232" s="234">
        <f>VLOOKUP(61825,U:AC,9,0)</f>
        <v>28</v>
      </c>
      <c r="S232" s="234">
        <f>VLOOKUP(6182,季財報!A:N,8,0)</f>
        <v>3</v>
      </c>
      <c r="T232" s="234">
        <v>10502</v>
      </c>
      <c r="U232" s="234">
        <v>54757</v>
      </c>
      <c r="V232" s="234" t="s">
        <v>3015</v>
      </c>
      <c r="W232" s="234" t="s">
        <v>3013</v>
      </c>
      <c r="X232" s="234">
        <v>982</v>
      </c>
      <c r="Y232" s="234">
        <v>982</v>
      </c>
      <c r="Z232" s="234">
        <v>0</v>
      </c>
      <c r="AA232" s="234">
        <v>0</v>
      </c>
      <c r="AB232" s="234">
        <v>2000</v>
      </c>
      <c r="AC232" s="234">
        <v>11</v>
      </c>
      <c r="AD232" s="234">
        <v>0</v>
      </c>
    </row>
    <row r="233" spans="1:30" hidden="1">
      <c r="A233" s="244" t="s">
        <v>2400</v>
      </c>
      <c r="B233" s="244" t="s">
        <v>478</v>
      </c>
      <c r="C233" s="244">
        <v>66032</v>
      </c>
      <c r="D233" s="245">
        <v>42157.000006736111</v>
      </c>
      <c r="E233" s="245">
        <v>43984.000006736111</v>
      </c>
      <c r="F233" s="246">
        <v>300000000</v>
      </c>
      <c r="G233" s="246">
        <v>300000000</v>
      </c>
      <c r="H233" s="243">
        <v>1</v>
      </c>
      <c r="I233" s="234">
        <v>1547</v>
      </c>
      <c r="J233" s="234">
        <v>106.75</v>
      </c>
      <c r="K233" s="234">
        <v>11.83</v>
      </c>
      <c r="L233" s="234">
        <f>VLOOKUP(6603,收盤價!A:C,3,0)</f>
        <v>10.7</v>
      </c>
      <c r="M233" s="234">
        <v>8453</v>
      </c>
      <c r="N233" s="234">
        <v>100</v>
      </c>
      <c r="O233" s="235">
        <v>6.3200000000000006E-2</v>
      </c>
      <c r="P233" s="235">
        <v>-0.12130000000000001</v>
      </c>
      <c r="Q233" s="235">
        <v>-0.1183011948420679</v>
      </c>
      <c r="R233" s="234">
        <f>VLOOKUP(66032,U:AC,9,0)</f>
        <v>23</v>
      </c>
      <c r="S233" s="234">
        <f>VLOOKUP(6603,季財報!A:N,8,0)</f>
        <v>2</v>
      </c>
      <c r="T233" s="234">
        <v>10502</v>
      </c>
      <c r="U233" s="234">
        <v>54758</v>
      </c>
      <c r="V233" s="234" t="s">
        <v>3016</v>
      </c>
      <c r="W233" s="234" t="s">
        <v>3013</v>
      </c>
      <c r="X233" s="234">
        <v>2000</v>
      </c>
      <c r="Y233" s="234">
        <v>2000</v>
      </c>
      <c r="Z233" s="234">
        <v>0</v>
      </c>
      <c r="AA233" s="234">
        <v>0</v>
      </c>
      <c r="AB233" s="234">
        <v>2000</v>
      </c>
      <c r="AC233" s="234">
        <v>15</v>
      </c>
      <c r="AD233" s="234">
        <v>0</v>
      </c>
    </row>
    <row r="234" spans="1:30" hidden="1">
      <c r="A234" s="244" t="s">
        <v>2308</v>
      </c>
      <c r="B234" s="244" t="s">
        <v>1942</v>
      </c>
      <c r="C234" s="244">
        <v>47392</v>
      </c>
      <c r="D234" s="245">
        <v>42179.000006736111</v>
      </c>
      <c r="E234" s="245">
        <v>44006.000006736111</v>
      </c>
      <c r="F234" s="246">
        <v>600000000</v>
      </c>
      <c r="G234" s="246">
        <v>600000000</v>
      </c>
      <c r="H234" s="243">
        <v>1</v>
      </c>
      <c r="I234" s="234">
        <v>1569</v>
      </c>
      <c r="J234" s="234">
        <v>107</v>
      </c>
      <c r="K234" s="234">
        <v>57.1</v>
      </c>
      <c r="L234" s="234">
        <f>VLOOKUP(4739,收盤價!A:C,3,0)</f>
        <v>42.1</v>
      </c>
      <c r="M234" s="234">
        <v>1751</v>
      </c>
      <c r="N234" s="234">
        <v>100</v>
      </c>
      <c r="O234" s="235">
        <v>6.54E-2</v>
      </c>
      <c r="P234" s="235">
        <v>-0.29770000000000002</v>
      </c>
      <c r="Q234" s="235">
        <v>-0.57110222729868643</v>
      </c>
      <c r="R234" s="234">
        <f>VLOOKUP(47392,U:AC,9,0)</f>
        <v>14</v>
      </c>
      <c r="S234" s="234">
        <f>VLOOKUP(4739,季財報!A:N,8,0)</f>
        <v>1</v>
      </c>
      <c r="T234" s="234">
        <v>10502</v>
      </c>
      <c r="U234" s="234">
        <v>54759</v>
      </c>
      <c r="V234" s="234" t="s">
        <v>3017</v>
      </c>
      <c r="W234" s="234" t="s">
        <v>3013</v>
      </c>
      <c r="X234" s="234">
        <v>2000</v>
      </c>
      <c r="Y234" s="234">
        <v>2000</v>
      </c>
      <c r="Z234" s="234">
        <v>0</v>
      </c>
      <c r="AA234" s="234">
        <v>0</v>
      </c>
      <c r="AB234" s="234">
        <v>2000</v>
      </c>
      <c r="AC234" s="234">
        <v>19</v>
      </c>
      <c r="AD234" s="234">
        <v>0</v>
      </c>
    </row>
    <row r="235" spans="1:30" hidden="1">
      <c r="A235" s="244" t="s">
        <v>2211</v>
      </c>
      <c r="B235" s="244" t="s">
        <v>1951</v>
      </c>
      <c r="C235" s="244">
        <v>31281</v>
      </c>
      <c r="D235" s="245">
        <v>41702.000006736111</v>
      </c>
      <c r="E235" s="245">
        <v>42798.000006736111</v>
      </c>
      <c r="F235" s="246">
        <v>100000000</v>
      </c>
      <c r="G235" s="246">
        <v>100000000</v>
      </c>
      <c r="H235" s="243">
        <v>1</v>
      </c>
      <c r="I235" s="234">
        <v>361</v>
      </c>
      <c r="J235" s="234">
        <v>104.2</v>
      </c>
      <c r="K235" s="234">
        <v>17.100000000000001</v>
      </c>
      <c r="L235" s="234">
        <f>VLOOKUP(3128,收盤價!A:C,3,0)</f>
        <v>14.3</v>
      </c>
      <c r="M235" s="234">
        <v>5848</v>
      </c>
      <c r="N235" s="234">
        <v>100</v>
      </c>
      <c r="O235" s="235">
        <v>4.0300000000000002E-2</v>
      </c>
      <c r="P235" s="235">
        <v>-0.16719999999999999</v>
      </c>
      <c r="Q235" s="235">
        <v>-0.1709986320109439</v>
      </c>
      <c r="R235" s="234">
        <f>VLOOKUP(31281,U:AC,9,0)</f>
        <v>11</v>
      </c>
      <c r="S235" s="234">
        <f>VLOOKUP(3128,季財報!A:N,8,0)</f>
        <v>2</v>
      </c>
      <c r="T235" s="234">
        <v>10502</v>
      </c>
      <c r="U235" s="234">
        <v>54913</v>
      </c>
      <c r="V235" s="234" t="s">
        <v>3018</v>
      </c>
      <c r="W235" s="234" t="s">
        <v>3019</v>
      </c>
      <c r="X235" s="234">
        <v>481</v>
      </c>
      <c r="Y235" s="234">
        <v>481</v>
      </c>
      <c r="Z235" s="234">
        <v>0</v>
      </c>
      <c r="AA235" s="234">
        <v>0</v>
      </c>
      <c r="AB235" s="234">
        <v>3000</v>
      </c>
      <c r="AC235" s="234">
        <v>6</v>
      </c>
      <c r="AD235" s="234">
        <v>0</v>
      </c>
    </row>
    <row r="236" spans="1:30" hidden="1">
      <c r="A236" s="244" t="s">
        <v>2218</v>
      </c>
      <c r="B236" s="244" t="s">
        <v>287</v>
      </c>
      <c r="C236" s="244">
        <v>32342</v>
      </c>
      <c r="D236" s="245">
        <v>42321.000006736111</v>
      </c>
      <c r="E236" s="245">
        <v>43417.000006736111</v>
      </c>
      <c r="F236" s="246">
        <v>500000000</v>
      </c>
      <c r="G236" s="246">
        <v>500000000</v>
      </c>
      <c r="H236" s="243">
        <v>1</v>
      </c>
      <c r="I236" s="234">
        <v>980</v>
      </c>
      <c r="J236" s="234">
        <v>107</v>
      </c>
      <c r="K236" s="234">
        <v>109.5</v>
      </c>
      <c r="L236" s="234">
        <f>VLOOKUP(3234,收盤價!A:C,3,0)</f>
        <v>96.8</v>
      </c>
      <c r="M236" s="234">
        <v>913</v>
      </c>
      <c r="N236" s="234">
        <v>100</v>
      </c>
      <c r="O236" s="235">
        <v>6.54E-2</v>
      </c>
      <c r="P236" s="235">
        <v>-0.13350000000000001</v>
      </c>
      <c r="Q236" s="235">
        <v>-1.095290251916758</v>
      </c>
      <c r="R236" s="234">
        <f>VLOOKUP(32342,U:AC,9,0)</f>
        <v>43</v>
      </c>
      <c r="S236" s="234">
        <f>VLOOKUP(3234,季財報!A:N,8,0)</f>
        <v>6</v>
      </c>
      <c r="T236" s="234">
        <v>10502</v>
      </c>
      <c r="U236" s="234">
        <v>55191</v>
      </c>
      <c r="V236" s="234" t="s">
        <v>3020</v>
      </c>
      <c r="W236" s="234" t="s">
        <v>3021</v>
      </c>
      <c r="X236" s="234">
        <v>2000</v>
      </c>
      <c r="Y236" s="234">
        <v>2000</v>
      </c>
      <c r="Z236" s="234">
        <v>0</v>
      </c>
      <c r="AA236" s="234">
        <v>0</v>
      </c>
      <c r="AB236" s="234">
        <v>2000</v>
      </c>
      <c r="AC236" s="234">
        <v>18</v>
      </c>
      <c r="AD236" s="234">
        <v>0</v>
      </c>
    </row>
    <row r="237" spans="1:30" hidden="1">
      <c r="A237" s="244" t="s">
        <v>2362</v>
      </c>
      <c r="B237" s="244" t="s">
        <v>2363</v>
      </c>
      <c r="C237" s="244">
        <v>61393</v>
      </c>
      <c r="D237" s="245">
        <v>42236.000006736111</v>
      </c>
      <c r="E237" s="245">
        <v>43332.000006736111</v>
      </c>
      <c r="F237" s="246">
        <v>700000000</v>
      </c>
      <c r="G237" s="246">
        <v>700000000</v>
      </c>
      <c r="H237" s="243">
        <v>1</v>
      </c>
      <c r="I237" s="234">
        <v>895</v>
      </c>
      <c r="J237" s="234">
        <v>153</v>
      </c>
      <c r="K237" s="234">
        <v>19</v>
      </c>
      <c r="L237" s="234">
        <f>VLOOKUP(6139,收盤價!A:C,3,0)</f>
        <v>29.3</v>
      </c>
      <c r="M237" s="234">
        <v>5263</v>
      </c>
      <c r="N237" s="234">
        <v>153.41644999999997</v>
      </c>
      <c r="O237" s="235">
        <v>-2.7000000000000001E-3</v>
      </c>
      <c r="P237" s="235">
        <v>0.34820000000000001</v>
      </c>
      <c r="Q237" s="235">
        <v>-0.19000570017100513</v>
      </c>
      <c r="R237" s="234">
        <f>VLOOKUP(61393,U:AC,9,0)</f>
        <v>66</v>
      </c>
      <c r="S237" s="234">
        <f>VLOOKUP(6139,季財報!A:N,8,0)</f>
        <v>2</v>
      </c>
      <c r="T237" s="234">
        <v>10502</v>
      </c>
      <c r="U237" s="234">
        <v>55192</v>
      </c>
      <c r="V237" s="234" t="s">
        <v>3022</v>
      </c>
      <c r="W237" s="234" t="s">
        <v>3021</v>
      </c>
      <c r="X237" s="234">
        <v>991</v>
      </c>
      <c r="Y237" s="234">
        <v>991</v>
      </c>
      <c r="Z237" s="234">
        <v>0</v>
      </c>
      <c r="AA237" s="234">
        <v>0</v>
      </c>
      <c r="AB237" s="234">
        <v>1000</v>
      </c>
      <c r="AC237" s="234">
        <v>47</v>
      </c>
      <c r="AD237" s="234">
        <v>0</v>
      </c>
    </row>
    <row r="238" spans="1:30" hidden="1">
      <c r="A238" s="244" t="s">
        <v>2392</v>
      </c>
      <c r="B238" s="244" t="s">
        <v>1988</v>
      </c>
      <c r="C238" s="244">
        <v>62842</v>
      </c>
      <c r="D238" s="245">
        <v>41603.000006736111</v>
      </c>
      <c r="E238" s="245">
        <v>42699.000006736111</v>
      </c>
      <c r="F238" s="246">
        <v>300000000</v>
      </c>
      <c r="G238" s="246">
        <v>202500000</v>
      </c>
      <c r="H238" s="243">
        <v>0.68</v>
      </c>
      <c r="I238" s="234">
        <v>262</v>
      </c>
      <c r="J238" s="234">
        <v>105.5</v>
      </c>
      <c r="K238" s="234">
        <v>29.44</v>
      </c>
      <c r="L238" s="234">
        <f>VLOOKUP(6284,收盤價!A:C,3,0)</f>
        <v>21.85</v>
      </c>
      <c r="M238" s="234">
        <v>3397</v>
      </c>
      <c r="N238" s="234">
        <v>100</v>
      </c>
      <c r="O238" s="235">
        <v>5.21E-2</v>
      </c>
      <c r="P238" s="235">
        <v>-0.35049999999999998</v>
      </c>
      <c r="Q238" s="235">
        <v>-0.29437739181630851</v>
      </c>
      <c r="R238" s="234">
        <f>VLOOKUP(62842,U:AC,9,0)</f>
        <v>6</v>
      </c>
      <c r="S238" s="234">
        <f>VLOOKUP(6284,季財報!A:N,8,0)</f>
        <v>4</v>
      </c>
      <c r="T238" s="234">
        <v>10502</v>
      </c>
      <c r="U238" s="234">
        <v>55226</v>
      </c>
      <c r="V238" s="234" t="s">
        <v>3023</v>
      </c>
      <c r="W238" s="234" t="s">
        <v>3024</v>
      </c>
      <c r="X238" s="234">
        <v>9</v>
      </c>
      <c r="Y238" s="234">
        <v>9</v>
      </c>
      <c r="Z238" s="234">
        <v>0</v>
      </c>
      <c r="AA238" s="234">
        <v>0</v>
      </c>
      <c r="AB238" s="234">
        <v>12000</v>
      </c>
      <c r="AC238" s="234">
        <v>4</v>
      </c>
      <c r="AD238" s="234">
        <v>0</v>
      </c>
    </row>
    <row r="239" spans="1:30" hidden="1">
      <c r="A239" s="244" t="s">
        <v>2376</v>
      </c>
      <c r="B239" s="244" t="s">
        <v>2377</v>
      </c>
      <c r="C239" s="244">
        <v>61841</v>
      </c>
      <c r="D239" s="245">
        <v>41411.000006736111</v>
      </c>
      <c r="E239" s="245">
        <v>42507.000006736111</v>
      </c>
      <c r="F239" s="246">
        <v>1200000000</v>
      </c>
      <c r="G239" s="246">
        <v>1178700000</v>
      </c>
      <c r="H239" s="243">
        <v>0.98</v>
      </c>
      <c r="I239" s="234">
        <v>70</v>
      </c>
      <c r="J239" s="234">
        <v>105.4</v>
      </c>
      <c r="K239" s="234">
        <v>50.64</v>
      </c>
      <c r="L239" s="234">
        <f>VLOOKUP(6184,收盤價!A:C,3,0)</f>
        <v>48.2</v>
      </c>
      <c r="M239" s="234">
        <v>1975</v>
      </c>
      <c r="N239" s="234">
        <v>100</v>
      </c>
      <c r="O239" s="235">
        <v>5.1200000000000002E-2</v>
      </c>
      <c r="P239" s="235">
        <v>-5.0599999999999999E-2</v>
      </c>
      <c r="Q239" s="235">
        <v>-0.50632911392405056</v>
      </c>
      <c r="R239" s="234">
        <f>VLOOKUP(61841,U:AC,9,0)</f>
        <v>38</v>
      </c>
      <c r="S239" s="234">
        <f>VLOOKUP(6184,季財報!A:N,8,0)</f>
        <v>1</v>
      </c>
      <c r="T239" s="234">
        <v>10502</v>
      </c>
      <c r="U239" s="234">
        <v>55291</v>
      </c>
      <c r="V239" s="234" t="s">
        <v>3025</v>
      </c>
      <c r="W239" s="234" t="s">
        <v>3026</v>
      </c>
      <c r="X239" s="234">
        <v>4000</v>
      </c>
      <c r="Y239" s="234">
        <v>4000</v>
      </c>
      <c r="Z239" s="234">
        <v>0</v>
      </c>
      <c r="AA239" s="234">
        <v>0</v>
      </c>
      <c r="AB239" s="234">
        <v>4000</v>
      </c>
      <c r="AC239" s="234">
        <v>17</v>
      </c>
      <c r="AD239" s="234">
        <v>0</v>
      </c>
    </row>
    <row r="240" spans="1:30">
      <c r="A240" s="244" t="s">
        <v>2248</v>
      </c>
      <c r="B240" s="244" t="s">
        <v>1515</v>
      </c>
      <c r="C240" s="244">
        <v>35641</v>
      </c>
      <c r="D240" s="245">
        <v>42307.000006736111</v>
      </c>
      <c r="E240" s="245">
        <v>43403.000006736111</v>
      </c>
      <c r="F240" s="246">
        <v>200000000</v>
      </c>
      <c r="G240" s="246">
        <v>200000000</v>
      </c>
      <c r="H240" s="243">
        <v>1</v>
      </c>
      <c r="I240" s="234">
        <v>966</v>
      </c>
      <c r="J240" s="234">
        <v>105.6</v>
      </c>
      <c r="K240" s="234">
        <v>69.400000000000006</v>
      </c>
      <c r="L240" s="234">
        <f>VLOOKUP(3564,收盤價!A:C,3,0)</f>
        <v>60.1</v>
      </c>
      <c r="M240" s="234">
        <v>1441</v>
      </c>
      <c r="N240" s="234">
        <v>100</v>
      </c>
      <c r="O240" s="235">
        <v>5.2999999999999999E-2</v>
      </c>
      <c r="P240" s="235">
        <v>-0.123</v>
      </c>
      <c r="Q240" s="235">
        <v>-0.69396252602359476</v>
      </c>
      <c r="R240" s="234">
        <f>VLOOKUP(35641,U:AC,9,0)</f>
        <v>13</v>
      </c>
      <c r="S240" s="234">
        <f>VLOOKUP(3564,季財報!A:N,8,0)</f>
        <v>3</v>
      </c>
      <c r="T240" s="234">
        <v>10502</v>
      </c>
      <c r="U240" s="234">
        <v>55343</v>
      </c>
      <c r="V240" s="234" t="s">
        <v>3027</v>
      </c>
      <c r="W240" s="234" t="s">
        <v>3028</v>
      </c>
      <c r="X240" s="234">
        <v>6992</v>
      </c>
      <c r="Y240" s="234">
        <v>6992</v>
      </c>
      <c r="Z240" s="234">
        <v>0</v>
      </c>
      <c r="AA240" s="234">
        <v>0</v>
      </c>
      <c r="AB240" s="234">
        <v>8000</v>
      </c>
      <c r="AC240" s="234">
        <v>37</v>
      </c>
      <c r="AD240" s="234">
        <v>0</v>
      </c>
    </row>
    <row r="241" spans="1:30" hidden="1">
      <c r="A241" s="244" t="s">
        <v>2174</v>
      </c>
      <c r="B241" s="244" t="s">
        <v>1997</v>
      </c>
      <c r="C241" s="244">
        <v>26363</v>
      </c>
      <c r="D241" s="245">
        <v>42164.000006736111</v>
      </c>
      <c r="E241" s="245">
        <v>43260.000006736111</v>
      </c>
      <c r="F241" s="246">
        <v>300000000</v>
      </c>
      <c r="G241" s="246">
        <v>300000000</v>
      </c>
      <c r="H241" s="243">
        <v>1</v>
      </c>
      <c r="I241" s="234">
        <v>823</v>
      </c>
      <c r="J241" s="234">
        <v>108</v>
      </c>
      <c r="K241" s="234">
        <v>29.7</v>
      </c>
      <c r="L241" s="234">
        <f>VLOOKUP(2636,收盤價!A:C,3,0)</f>
        <v>29.25</v>
      </c>
      <c r="M241" s="234">
        <v>3367</v>
      </c>
      <c r="N241" s="234">
        <v>100</v>
      </c>
      <c r="O241" s="235">
        <v>7.4099999999999999E-2</v>
      </c>
      <c r="P241" s="235">
        <v>-3.3999999999999998E-3</v>
      </c>
      <c r="Q241" s="235">
        <v>-0.29700029700029701</v>
      </c>
      <c r="R241" s="234">
        <f>VLOOKUP(26363,U:AC,9,0)</f>
        <v>43</v>
      </c>
      <c r="S241" s="234">
        <f>VLOOKUP(2636,季財報!A:N,8,0)</f>
        <v>2</v>
      </c>
      <c r="T241" s="234">
        <v>10502</v>
      </c>
      <c r="U241" s="234">
        <v>56084</v>
      </c>
      <c r="V241" s="234" t="s">
        <v>3029</v>
      </c>
      <c r="W241" s="234" t="s">
        <v>3030</v>
      </c>
      <c r="X241" s="234">
        <v>4000</v>
      </c>
      <c r="Y241" s="234">
        <v>4000</v>
      </c>
      <c r="Z241" s="234">
        <v>0</v>
      </c>
      <c r="AA241" s="234">
        <v>0</v>
      </c>
      <c r="AB241" s="234">
        <v>4000</v>
      </c>
      <c r="AC241" s="234">
        <v>42</v>
      </c>
      <c r="AD241" s="234">
        <v>0</v>
      </c>
    </row>
    <row r="242" spans="1:30" hidden="1">
      <c r="A242" s="244" t="s">
        <v>2303</v>
      </c>
      <c r="B242" s="244" t="s">
        <v>371</v>
      </c>
      <c r="C242" s="244">
        <v>47143</v>
      </c>
      <c r="D242" s="245">
        <v>41978.000006736111</v>
      </c>
      <c r="E242" s="245">
        <v>43074.000006736111</v>
      </c>
      <c r="F242" s="246">
        <v>150000000</v>
      </c>
      <c r="G242" s="246">
        <v>134600000</v>
      </c>
      <c r="H242" s="243">
        <v>0.9</v>
      </c>
      <c r="I242" s="234">
        <v>637</v>
      </c>
      <c r="J242" s="234">
        <v>104.95</v>
      </c>
      <c r="K242" s="234">
        <v>10.5</v>
      </c>
      <c r="L242" s="234">
        <f>VLOOKUP(4714,收盤價!A:C,3,0)</f>
        <v>8.65</v>
      </c>
      <c r="M242" s="234">
        <v>9524</v>
      </c>
      <c r="N242" s="234">
        <v>100</v>
      </c>
      <c r="O242" s="235">
        <v>4.7199999999999999E-2</v>
      </c>
      <c r="P242" s="235">
        <v>-0.22520000000000001</v>
      </c>
      <c r="Q242" s="235">
        <v>-0.10499790004199916</v>
      </c>
      <c r="R242" s="234">
        <f>VLOOKUP(47143,U:AC,9,0)</f>
        <v>10</v>
      </c>
      <c r="S242" s="234">
        <f>VLOOKUP(4714,季財報!A:N,8,0)</f>
        <v>2</v>
      </c>
      <c r="T242" s="234">
        <v>10502</v>
      </c>
      <c r="U242" s="234">
        <v>56085</v>
      </c>
      <c r="V242" s="234" t="s">
        <v>3031</v>
      </c>
      <c r="W242" s="234" t="s">
        <v>3030</v>
      </c>
      <c r="X242" s="234">
        <v>2492</v>
      </c>
      <c r="Y242" s="234">
        <v>2492</v>
      </c>
      <c r="Z242" s="234">
        <v>0</v>
      </c>
      <c r="AA242" s="234">
        <v>0</v>
      </c>
      <c r="AB242" s="234">
        <v>2500</v>
      </c>
      <c r="AC242" s="234">
        <v>169</v>
      </c>
      <c r="AD242" s="234">
        <v>0</v>
      </c>
    </row>
    <row r="243" spans="1:30" hidden="1">
      <c r="A243" s="244" t="s">
        <v>2076</v>
      </c>
      <c r="B243" s="244" t="s">
        <v>2077</v>
      </c>
      <c r="C243" s="244">
        <v>15892</v>
      </c>
      <c r="D243" s="245">
        <v>42234.000006736111</v>
      </c>
      <c r="E243" s="245">
        <v>44061.000006736111</v>
      </c>
      <c r="F243" s="246">
        <v>2500000000</v>
      </c>
      <c r="G243" s="246">
        <v>2500000000</v>
      </c>
      <c r="H243" s="243">
        <v>1</v>
      </c>
      <c r="I243" s="234">
        <v>1624</v>
      </c>
      <c r="J243" s="234">
        <v>109.85</v>
      </c>
      <c r="K243" s="234">
        <v>216.5</v>
      </c>
      <c r="L243" s="234">
        <f>VLOOKUP(1589,收盤價!A:C,3,0)</f>
        <v>229.5</v>
      </c>
      <c r="M243" s="234">
        <v>462</v>
      </c>
      <c r="N243" s="234">
        <v>109.26300000000001</v>
      </c>
      <c r="O243" s="235">
        <v>5.3E-3</v>
      </c>
      <c r="P243" s="235">
        <v>8.4599999999999995E-2</v>
      </c>
      <c r="Q243" s="235">
        <v>-2.1645021645021645</v>
      </c>
      <c r="R243" s="234">
        <f>VLOOKUP(15892,U:AC,9,0)</f>
        <v>145</v>
      </c>
      <c r="S243" s="234">
        <f>VLOOKUP(1589,季財報!A:N,8,0)</f>
        <v>4</v>
      </c>
      <c r="T243" s="234">
        <v>10502</v>
      </c>
      <c r="U243" s="234">
        <v>59054</v>
      </c>
      <c r="V243" s="234" t="s">
        <v>3032</v>
      </c>
      <c r="W243" s="234" t="s">
        <v>3033</v>
      </c>
      <c r="X243" s="234">
        <v>7256</v>
      </c>
      <c r="Y243" s="234">
        <v>7256</v>
      </c>
      <c r="Z243" s="234">
        <v>0</v>
      </c>
      <c r="AA243" s="234">
        <v>0</v>
      </c>
      <c r="AB243" s="234">
        <v>10000</v>
      </c>
      <c r="AC243" s="234">
        <v>16</v>
      </c>
      <c r="AD243" s="234">
        <v>0</v>
      </c>
    </row>
    <row r="244" spans="1:30">
      <c r="A244" s="244" t="s">
        <v>2139</v>
      </c>
      <c r="B244" s="244" t="s">
        <v>2140</v>
      </c>
      <c r="C244" s="244">
        <v>24614</v>
      </c>
      <c r="D244" s="245">
        <v>41929.000006736111</v>
      </c>
      <c r="E244" s="245">
        <v>43025.000006736111</v>
      </c>
      <c r="F244" s="246">
        <v>300000000</v>
      </c>
      <c r="G244" s="246">
        <v>300000000</v>
      </c>
      <c r="H244" s="243">
        <v>1</v>
      </c>
      <c r="I244" s="234">
        <v>588</v>
      </c>
      <c r="J244" s="234">
        <v>108.7</v>
      </c>
      <c r="K244" s="234">
        <v>16.2</v>
      </c>
      <c r="L244" s="234">
        <f>VLOOKUP(2461,收盤價!A:C,3,0)</f>
        <v>15.05</v>
      </c>
      <c r="M244" s="234">
        <v>6173</v>
      </c>
      <c r="N244" s="234">
        <v>100</v>
      </c>
      <c r="O244" s="235">
        <v>0.08</v>
      </c>
      <c r="P244" s="235">
        <v>-0.1134</v>
      </c>
      <c r="Q244" s="235">
        <v>-0.16199578810950915</v>
      </c>
      <c r="R244" s="234">
        <f>VLOOKUP(24614,U:AC,9,0)</f>
        <v>11</v>
      </c>
      <c r="S244" s="234">
        <f>VLOOKUP(2461,季財報!A:N,8,0)</f>
        <v>3</v>
      </c>
      <c r="T244" s="234">
        <v>10502</v>
      </c>
      <c r="U244" s="234">
        <v>61053</v>
      </c>
      <c r="V244" s="234" t="s">
        <v>3034</v>
      </c>
      <c r="W244" s="234" t="s">
        <v>3035</v>
      </c>
      <c r="X244" s="234">
        <v>4298</v>
      </c>
      <c r="Y244" s="234">
        <v>4298</v>
      </c>
      <c r="Z244" s="234">
        <v>0</v>
      </c>
      <c r="AA244" s="234">
        <v>0</v>
      </c>
      <c r="AB244" s="234">
        <v>6000</v>
      </c>
      <c r="AC244" s="234">
        <v>32</v>
      </c>
      <c r="AD244" s="234">
        <v>0</v>
      </c>
    </row>
    <row r="245" spans="1:30">
      <c r="A245" s="244" t="s">
        <v>2143</v>
      </c>
      <c r="B245" s="244" t="s">
        <v>2144</v>
      </c>
      <c r="C245" s="244">
        <v>24662</v>
      </c>
      <c r="D245" s="245">
        <v>42321.000006736111</v>
      </c>
      <c r="E245" s="245">
        <v>43417.000006736111</v>
      </c>
      <c r="F245" s="246">
        <v>200000000</v>
      </c>
      <c r="G245" s="246">
        <v>200000000</v>
      </c>
      <c r="H245" s="243">
        <v>1</v>
      </c>
      <c r="I245" s="234">
        <v>980</v>
      </c>
      <c r="J245" s="234">
        <v>106</v>
      </c>
      <c r="K245" s="234">
        <v>37.200000000000003</v>
      </c>
      <c r="L245" s="234">
        <f>VLOOKUP(2466,收盤價!A:C,3,0)</f>
        <v>34.35</v>
      </c>
      <c r="M245" s="234">
        <v>2688</v>
      </c>
      <c r="N245" s="234">
        <v>100</v>
      </c>
      <c r="O245" s="235">
        <v>5.6599999999999998E-2</v>
      </c>
      <c r="P245" s="235">
        <v>-8.6099999999999996E-2</v>
      </c>
      <c r="Q245" s="235">
        <v>-0.37202380952380953</v>
      </c>
      <c r="R245" s="234">
        <f>VLOOKUP(24662,U:AC,9,0)</f>
        <v>11</v>
      </c>
      <c r="S245" s="234">
        <f>VLOOKUP(2466,季財報!A:N,8,0)</f>
        <v>3</v>
      </c>
      <c r="T245" s="234">
        <v>10502</v>
      </c>
      <c r="U245" s="234">
        <v>61071</v>
      </c>
      <c r="V245" s="234" t="s">
        <v>3036</v>
      </c>
      <c r="W245" s="234" t="s">
        <v>3037</v>
      </c>
      <c r="X245" s="234">
        <v>4000</v>
      </c>
      <c r="Y245" s="234">
        <v>4000</v>
      </c>
      <c r="Z245" s="234">
        <v>0</v>
      </c>
      <c r="AA245" s="234">
        <v>0</v>
      </c>
      <c r="AB245" s="234">
        <v>4000</v>
      </c>
      <c r="AC245" s="234">
        <v>26</v>
      </c>
      <c r="AD245" s="234">
        <v>0</v>
      </c>
    </row>
    <row r="246" spans="1:30" hidden="1">
      <c r="A246" s="244" t="s">
        <v>2163</v>
      </c>
      <c r="B246" s="244" t="s">
        <v>1994</v>
      </c>
      <c r="C246" s="244">
        <v>25962</v>
      </c>
      <c r="D246" s="245">
        <v>41807.000006736111</v>
      </c>
      <c r="E246" s="245">
        <v>42903.000006736111</v>
      </c>
      <c r="F246" s="246">
        <v>300000000</v>
      </c>
      <c r="G246" s="246">
        <v>300000000</v>
      </c>
      <c r="H246" s="243">
        <v>1</v>
      </c>
      <c r="I246" s="234">
        <v>466</v>
      </c>
      <c r="J246" s="234">
        <v>106</v>
      </c>
      <c r="K246" s="234">
        <v>16.190000000000001</v>
      </c>
      <c r="L246" s="234">
        <f>VLOOKUP(2596,收盤價!A:C,3,0)</f>
        <v>13.5</v>
      </c>
      <c r="M246" s="234">
        <v>6177</v>
      </c>
      <c r="N246" s="234">
        <v>100</v>
      </c>
      <c r="O246" s="235">
        <v>5.6599999999999998E-2</v>
      </c>
      <c r="P246" s="235">
        <v>-0.23119999999999999</v>
      </c>
      <c r="Q246" s="235">
        <v>-0.16189088554314393</v>
      </c>
      <c r="R246" s="234">
        <f>VLOOKUP(25962,U:AC,9,0)</f>
        <v>15</v>
      </c>
      <c r="S246" s="234" t="e">
        <f>VLOOKUP(2596,季財報!A:N,8,0)</f>
        <v>#N/A</v>
      </c>
      <c r="T246" s="234">
        <v>10502</v>
      </c>
      <c r="U246" s="234">
        <v>61153</v>
      </c>
      <c r="V246" s="234" t="s">
        <v>3038</v>
      </c>
      <c r="W246" s="234" t="s">
        <v>3039</v>
      </c>
      <c r="X246" s="234">
        <v>2523</v>
      </c>
      <c r="Y246" s="234">
        <v>2523</v>
      </c>
      <c r="Z246" s="234">
        <v>0</v>
      </c>
      <c r="AA246" s="234">
        <v>0</v>
      </c>
      <c r="AB246" s="234">
        <v>8000</v>
      </c>
      <c r="AC246" s="234">
        <v>32</v>
      </c>
      <c r="AD246" s="234">
        <v>0</v>
      </c>
    </row>
    <row r="247" spans="1:30" hidden="1">
      <c r="A247" s="244" t="s">
        <v>2361</v>
      </c>
      <c r="B247" s="244" t="s">
        <v>1964</v>
      </c>
      <c r="C247" s="244">
        <v>61341</v>
      </c>
      <c r="D247" s="245">
        <v>41687.000006736111</v>
      </c>
      <c r="E247" s="245">
        <v>42783.000006736111</v>
      </c>
      <c r="F247" s="246">
        <v>100000000</v>
      </c>
      <c r="G247" s="246">
        <v>100000000</v>
      </c>
      <c r="H247" s="243">
        <v>1</v>
      </c>
      <c r="I247" s="234">
        <v>346</v>
      </c>
      <c r="J247" s="234">
        <v>107</v>
      </c>
      <c r="K247" s="234">
        <v>10.199999999999999</v>
      </c>
      <c r="L247" s="234">
        <f>VLOOKUP(6134,收盤價!A:C,3,0)</f>
        <v>6.9</v>
      </c>
      <c r="M247" s="234">
        <v>9804</v>
      </c>
      <c r="N247" s="234">
        <v>100</v>
      </c>
      <c r="O247" s="235">
        <v>6.54E-2</v>
      </c>
      <c r="P247" s="235">
        <v>-0.4783</v>
      </c>
      <c r="Q247" s="235">
        <v>-0.10199918400652795</v>
      </c>
      <c r="R247" s="234">
        <f>VLOOKUP(61341,U:AC,9,0)</f>
        <v>14</v>
      </c>
      <c r="S247" s="234">
        <f>VLOOKUP(6134,季財報!A:N,8,0)</f>
        <v>2</v>
      </c>
      <c r="T247" s="234">
        <v>10502</v>
      </c>
      <c r="U247" s="234">
        <v>61274</v>
      </c>
      <c r="V247" s="234" t="s">
        <v>3040</v>
      </c>
      <c r="W247" s="234" t="s">
        <v>3041</v>
      </c>
      <c r="X247" s="234">
        <v>4000</v>
      </c>
      <c r="Y247" s="234">
        <v>4000</v>
      </c>
      <c r="Z247" s="234">
        <v>0</v>
      </c>
      <c r="AA247" s="234">
        <v>0</v>
      </c>
      <c r="AB247" s="234">
        <v>4000</v>
      </c>
      <c r="AC247" s="234">
        <v>22</v>
      </c>
      <c r="AD247" s="234">
        <v>0</v>
      </c>
    </row>
    <row r="248" spans="1:30" hidden="1">
      <c r="A248" s="244" t="s">
        <v>2439</v>
      </c>
      <c r="B248" s="244" t="s">
        <v>2440</v>
      </c>
      <c r="C248" s="244">
        <v>99342</v>
      </c>
      <c r="D248" s="245">
        <v>40836.000006736111</v>
      </c>
      <c r="E248" s="245">
        <v>43028.000006736111</v>
      </c>
      <c r="F248" s="246">
        <v>1650000000</v>
      </c>
      <c r="G248" s="246">
        <v>202800000</v>
      </c>
      <c r="H248" s="243">
        <v>0.12</v>
      </c>
      <c r="I248" s="234">
        <v>591</v>
      </c>
      <c r="J248" s="234">
        <v>107.8</v>
      </c>
      <c r="K248" s="234">
        <v>17.100000000000001</v>
      </c>
      <c r="L248" s="234">
        <f>VLOOKUP(9934,收盤價!A:C,3,0)</f>
        <v>15.65</v>
      </c>
      <c r="M248" s="234">
        <v>5848</v>
      </c>
      <c r="N248" s="234">
        <v>100</v>
      </c>
      <c r="O248" s="235">
        <v>7.2400000000000006E-2</v>
      </c>
      <c r="P248" s="235">
        <v>-8.9200000000000002E-2</v>
      </c>
      <c r="Q248" s="235">
        <v>-0.1709986320109439</v>
      </c>
      <c r="R248" s="234">
        <f>VLOOKUP(99342,U:AC,9,0)</f>
        <v>30</v>
      </c>
      <c r="S248" s="234">
        <f>VLOOKUP(9934,季財報!A:N,8,0)</f>
        <v>3</v>
      </c>
      <c r="T248" s="234">
        <v>10502</v>
      </c>
      <c r="U248" s="234">
        <v>61312</v>
      </c>
      <c r="V248" s="234" t="s">
        <v>3042</v>
      </c>
      <c r="W248" s="234" t="s">
        <v>3043</v>
      </c>
      <c r="X248" s="234">
        <v>1097</v>
      </c>
      <c r="Y248" s="234">
        <v>1097</v>
      </c>
      <c r="Z248" s="234">
        <v>0</v>
      </c>
      <c r="AA248" s="234">
        <v>0</v>
      </c>
      <c r="AB248" s="234">
        <v>2000</v>
      </c>
      <c r="AC248" s="234">
        <v>5</v>
      </c>
      <c r="AD248" s="234">
        <v>0</v>
      </c>
    </row>
    <row r="249" spans="1:30" hidden="1">
      <c r="A249" s="244" t="s">
        <v>2327</v>
      </c>
      <c r="B249" s="244" t="s">
        <v>1995</v>
      </c>
      <c r="C249" s="244">
        <v>52136</v>
      </c>
      <c r="D249" s="245">
        <v>42328.000006736111</v>
      </c>
      <c r="E249" s="245">
        <v>43424.000006736111</v>
      </c>
      <c r="F249" s="246">
        <v>500000000</v>
      </c>
      <c r="G249" s="246">
        <v>500000000</v>
      </c>
      <c r="H249" s="243">
        <v>1</v>
      </c>
      <c r="I249" s="234">
        <v>987</v>
      </c>
      <c r="J249" s="234">
        <v>107.5</v>
      </c>
      <c r="K249" s="234">
        <v>14.7</v>
      </c>
      <c r="L249" s="234">
        <f>VLOOKUP(5213,收盤價!A:C,3,0)</f>
        <v>14.85</v>
      </c>
      <c r="M249" s="234">
        <v>6803</v>
      </c>
      <c r="N249" s="234">
        <v>100</v>
      </c>
      <c r="O249" s="235">
        <v>6.9800000000000001E-2</v>
      </c>
      <c r="P249" s="235">
        <v>-1.38E-2</v>
      </c>
      <c r="Q249" s="235">
        <v>-0.14699397324709687</v>
      </c>
      <c r="R249" s="234">
        <f>VLOOKUP(52136,U:AC,9,0)</f>
        <v>22</v>
      </c>
      <c r="S249" s="234">
        <f>VLOOKUP(5213,季財報!A:N,8,0)</f>
        <v>1</v>
      </c>
      <c r="T249" s="234">
        <v>10502</v>
      </c>
      <c r="U249" s="234">
        <v>61341</v>
      </c>
      <c r="V249" s="234" t="s">
        <v>3044</v>
      </c>
      <c r="W249" s="234" t="s">
        <v>3045</v>
      </c>
      <c r="X249" s="234">
        <v>1000</v>
      </c>
      <c r="Y249" s="234">
        <v>1000</v>
      </c>
      <c r="Z249" s="234">
        <v>0</v>
      </c>
      <c r="AA249" s="234">
        <v>0</v>
      </c>
      <c r="AB249" s="234">
        <v>1000</v>
      </c>
      <c r="AC249" s="234">
        <v>14</v>
      </c>
      <c r="AD249" s="234">
        <v>0</v>
      </c>
    </row>
    <row r="250" spans="1:30">
      <c r="A250" s="244" t="s">
        <v>2330</v>
      </c>
      <c r="B250" s="244" t="s">
        <v>391</v>
      </c>
      <c r="C250" s="244">
        <v>52302</v>
      </c>
      <c r="D250" s="245">
        <v>42304.000006736111</v>
      </c>
      <c r="E250" s="245">
        <v>43400.000006736111</v>
      </c>
      <c r="F250" s="246">
        <v>200000000</v>
      </c>
      <c r="G250" s="246">
        <v>200000000</v>
      </c>
      <c r="H250" s="243">
        <v>1</v>
      </c>
      <c r="I250" s="234">
        <v>963</v>
      </c>
      <c r="J250" s="234">
        <v>106.35</v>
      </c>
      <c r="K250" s="234">
        <v>56</v>
      </c>
      <c r="L250" s="234">
        <f>VLOOKUP(5230,收盤價!A:C,3,0)</f>
        <v>47</v>
      </c>
      <c r="M250" s="234">
        <v>1786</v>
      </c>
      <c r="N250" s="234">
        <v>100</v>
      </c>
      <c r="O250" s="235">
        <v>5.9700000000000003E-2</v>
      </c>
      <c r="P250" s="235">
        <v>-0.21340000000000001</v>
      </c>
      <c r="Q250" s="235">
        <v>-0.55991041433370659</v>
      </c>
      <c r="R250" s="234">
        <f>VLOOKUP(52302,U:AC,9,0)</f>
        <v>16</v>
      </c>
      <c r="S250" s="234">
        <f>VLOOKUP(5230,季財報!A:N,8,0)</f>
        <v>3</v>
      </c>
      <c r="T250" s="234">
        <v>10502</v>
      </c>
      <c r="U250" s="234">
        <v>61393</v>
      </c>
      <c r="V250" s="234" t="s">
        <v>3046</v>
      </c>
      <c r="W250" s="234" t="s">
        <v>3047</v>
      </c>
      <c r="X250" s="234">
        <v>5720</v>
      </c>
      <c r="Y250" s="234">
        <v>7000</v>
      </c>
      <c r="Z250" s="234">
        <v>-1280</v>
      </c>
      <c r="AA250" s="234">
        <v>-18.29</v>
      </c>
      <c r="AB250" s="234">
        <v>7000</v>
      </c>
      <c r="AC250" s="234">
        <v>66</v>
      </c>
      <c r="AD250" s="234">
        <v>0</v>
      </c>
    </row>
    <row r="251" spans="1:30" hidden="1">
      <c r="A251" s="244" t="s">
        <v>2084</v>
      </c>
      <c r="B251" s="244" t="s">
        <v>2085</v>
      </c>
      <c r="C251" s="244">
        <v>17071</v>
      </c>
      <c r="D251" s="245">
        <v>42242.000006736111</v>
      </c>
      <c r="E251" s="245">
        <v>43338.000006736111</v>
      </c>
      <c r="F251" s="246">
        <v>1000000000</v>
      </c>
      <c r="G251" s="246">
        <v>988900000</v>
      </c>
      <c r="H251" s="243">
        <v>0.99</v>
      </c>
      <c r="I251" s="234">
        <v>901</v>
      </c>
      <c r="J251" s="234">
        <v>116.3</v>
      </c>
      <c r="K251" s="234">
        <v>170.5</v>
      </c>
      <c r="L251" s="234">
        <f>VLOOKUP(1707,收盤價!A:C,3,0)</f>
        <v>197</v>
      </c>
      <c r="M251" s="234">
        <v>587</v>
      </c>
      <c r="N251" s="234">
        <v>112.70399999999999</v>
      </c>
      <c r="O251" s="235">
        <v>3.09E-2</v>
      </c>
      <c r="P251" s="235">
        <v>0.112</v>
      </c>
      <c r="Q251" s="235">
        <v>-1.7035775127768313</v>
      </c>
      <c r="R251" s="234">
        <f>VLOOKUP(17071,U:AC,9,0)</f>
        <v>90</v>
      </c>
      <c r="S251" s="234">
        <f>VLOOKUP(1707,季財報!A:N,8,0)</f>
        <v>2</v>
      </c>
      <c r="T251" s="234">
        <v>10502</v>
      </c>
      <c r="U251" s="234">
        <v>61462</v>
      </c>
      <c r="V251" s="234" t="s">
        <v>3048</v>
      </c>
      <c r="W251" s="234" t="s">
        <v>3049</v>
      </c>
      <c r="X251" s="234">
        <v>732</v>
      </c>
      <c r="Y251" s="234">
        <v>732</v>
      </c>
      <c r="Z251" s="234">
        <v>0</v>
      </c>
      <c r="AA251" s="234">
        <v>0</v>
      </c>
      <c r="AB251" s="234">
        <v>6000</v>
      </c>
      <c r="AC251" s="234">
        <v>13</v>
      </c>
      <c r="AD251" s="234">
        <v>0</v>
      </c>
    </row>
    <row r="252" spans="1:30" hidden="1">
      <c r="A252" s="244" t="s">
        <v>2372</v>
      </c>
      <c r="B252" s="244" t="s">
        <v>2373</v>
      </c>
      <c r="C252" s="244">
        <v>61775</v>
      </c>
      <c r="D252" s="245">
        <v>42254.000006736111</v>
      </c>
      <c r="E252" s="245">
        <v>44081.000006736111</v>
      </c>
      <c r="F252" s="246">
        <v>500000000</v>
      </c>
      <c r="G252" s="246">
        <v>494400000</v>
      </c>
      <c r="H252" s="243">
        <v>0.99</v>
      </c>
      <c r="I252" s="234">
        <v>1644</v>
      </c>
      <c r="J252" s="234">
        <v>111</v>
      </c>
      <c r="K252" s="234">
        <v>18.170000000000002</v>
      </c>
      <c r="L252" s="234">
        <f>VLOOKUP(6177,收盤價!A:C,3,0)</f>
        <v>21.65</v>
      </c>
      <c r="M252" s="234">
        <v>5504</v>
      </c>
      <c r="N252" s="234">
        <v>105.952</v>
      </c>
      <c r="O252" s="235">
        <v>4.5499999999999999E-2</v>
      </c>
      <c r="P252" s="235">
        <v>5.6099999999999997E-2</v>
      </c>
      <c r="Q252" s="235">
        <v>-0.18168604651162792</v>
      </c>
      <c r="R252" s="234">
        <f>VLOOKUP(61775,U:AC,9,0)</f>
        <v>21</v>
      </c>
      <c r="S252" s="234">
        <f>VLOOKUP(6177,季財報!A:N,8,0)</f>
        <v>0</v>
      </c>
      <c r="T252" s="234">
        <v>10502</v>
      </c>
      <c r="U252" s="234">
        <v>61534</v>
      </c>
      <c r="V252" s="234" t="s">
        <v>3050</v>
      </c>
      <c r="W252" s="234" t="s">
        <v>3051</v>
      </c>
      <c r="X252" s="234">
        <v>15000</v>
      </c>
      <c r="Y252" s="234">
        <v>15000</v>
      </c>
      <c r="Z252" s="234">
        <v>0</v>
      </c>
      <c r="AA252" s="234">
        <v>0</v>
      </c>
      <c r="AB252" s="234">
        <v>15000</v>
      </c>
      <c r="AC252" s="234">
        <v>74</v>
      </c>
      <c r="AD252" s="234">
        <v>0</v>
      </c>
    </row>
    <row r="253" spans="1:30">
      <c r="A253" s="244" t="s">
        <v>2095</v>
      </c>
      <c r="B253" s="244" t="s">
        <v>2096</v>
      </c>
      <c r="C253" s="244">
        <v>18083</v>
      </c>
      <c r="D253" s="245">
        <v>41526.000006736111</v>
      </c>
      <c r="E253" s="245">
        <v>43352.000006736111</v>
      </c>
      <c r="F253" s="246">
        <v>1500000000</v>
      </c>
      <c r="G253" s="246">
        <v>1500000000</v>
      </c>
      <c r="H253" s="243">
        <v>1</v>
      </c>
      <c r="I253" s="234">
        <v>915</v>
      </c>
      <c r="J253" s="234">
        <v>106.2</v>
      </c>
      <c r="K253" s="234">
        <v>26.8</v>
      </c>
      <c r="L253" s="234">
        <f>VLOOKUP(1808,收盤價!A:C,3,0)</f>
        <v>28.8</v>
      </c>
      <c r="M253" s="234">
        <v>3731</v>
      </c>
      <c r="N253" s="234">
        <v>107.0797</v>
      </c>
      <c r="O253" s="235">
        <v>-8.3000000000000001E-3</v>
      </c>
      <c r="P253" s="235">
        <v>6.6199999999999995E-2</v>
      </c>
      <c r="Q253" s="235">
        <v>-0.2680246582685607</v>
      </c>
      <c r="R253" s="234">
        <f>VLOOKUP(18083,U:AC,9,0)</f>
        <v>15</v>
      </c>
      <c r="S253" s="234">
        <f>VLOOKUP(1808,季財報!A:N,8,0)</f>
        <v>6</v>
      </c>
      <c r="T253" s="234">
        <v>10502</v>
      </c>
      <c r="U253" s="234">
        <v>61684</v>
      </c>
      <c r="V253" s="234" t="s">
        <v>3052</v>
      </c>
      <c r="W253" s="234" t="s">
        <v>3053</v>
      </c>
      <c r="X253" s="234">
        <v>6000</v>
      </c>
      <c r="Y253" s="234">
        <v>6000</v>
      </c>
      <c r="Z253" s="234">
        <v>0</v>
      </c>
      <c r="AA253" s="234">
        <v>0</v>
      </c>
      <c r="AB253" s="234">
        <v>6000</v>
      </c>
      <c r="AC253" s="234">
        <v>18</v>
      </c>
      <c r="AD253" s="234">
        <v>0</v>
      </c>
    </row>
    <row r="254" spans="1:30" hidden="1">
      <c r="A254" s="244" t="s">
        <v>2356</v>
      </c>
      <c r="B254" s="244" t="s">
        <v>2357</v>
      </c>
      <c r="C254" s="244">
        <v>61153</v>
      </c>
      <c r="D254" s="245">
        <v>41082.000006736111</v>
      </c>
      <c r="E254" s="245">
        <v>42908.000006736111</v>
      </c>
      <c r="F254" s="246">
        <v>800000000</v>
      </c>
      <c r="G254" s="246">
        <v>252300000</v>
      </c>
      <c r="H254" s="243">
        <v>0.32</v>
      </c>
      <c r="I254" s="234">
        <v>471</v>
      </c>
      <c r="J254" s="234">
        <v>114.1</v>
      </c>
      <c r="K254" s="234">
        <v>31.25</v>
      </c>
      <c r="L254" s="234">
        <f>VLOOKUP(6115,收盤價!A:C,3,0)</f>
        <v>36.799999999999997</v>
      </c>
      <c r="M254" s="234">
        <v>3200</v>
      </c>
      <c r="N254" s="234">
        <v>111.35999999999999</v>
      </c>
      <c r="O254" s="235">
        <v>2.4E-2</v>
      </c>
      <c r="P254" s="235">
        <v>0.10199999999999999</v>
      </c>
      <c r="Q254" s="235">
        <v>-0.3125</v>
      </c>
      <c r="R254" s="234">
        <f>VLOOKUP(61153,U:AC,9,0)</f>
        <v>32</v>
      </c>
      <c r="S254" s="234">
        <f>VLOOKUP(6115,季財報!A:N,8,0)</f>
        <v>5</v>
      </c>
      <c r="T254" s="234">
        <v>10502</v>
      </c>
      <c r="U254" s="234">
        <v>61761</v>
      </c>
      <c r="V254" s="234" t="s">
        <v>3054</v>
      </c>
      <c r="W254" s="234" t="s">
        <v>3055</v>
      </c>
      <c r="X254" s="234">
        <v>30000</v>
      </c>
      <c r="Y254" s="234">
        <v>30000</v>
      </c>
      <c r="Z254" s="234">
        <v>0</v>
      </c>
      <c r="AA254" s="234">
        <v>0</v>
      </c>
      <c r="AB254" s="234">
        <v>30000</v>
      </c>
      <c r="AC254" s="234">
        <v>84</v>
      </c>
      <c r="AD254" s="234">
        <v>0</v>
      </c>
    </row>
    <row r="255" spans="1:30" hidden="1">
      <c r="A255" s="244" t="s">
        <v>2372</v>
      </c>
      <c r="B255" s="244" t="s">
        <v>2373</v>
      </c>
      <c r="C255" s="244">
        <v>61776</v>
      </c>
      <c r="D255" s="245">
        <v>42255.000006736111</v>
      </c>
      <c r="E255" s="245">
        <v>44082.000006736111</v>
      </c>
      <c r="F255" s="246">
        <v>500000000</v>
      </c>
      <c r="G255" s="246">
        <v>497900000</v>
      </c>
      <c r="H255" s="243">
        <v>1</v>
      </c>
      <c r="I255" s="234">
        <v>1645</v>
      </c>
      <c r="J255" s="234">
        <v>117.1</v>
      </c>
      <c r="K255" s="234">
        <v>18.27</v>
      </c>
      <c r="L255" s="234">
        <f>VLOOKUP(6177,收盤價!A:C,3,0)</f>
        <v>21.65</v>
      </c>
      <c r="M255" s="234">
        <v>5473</v>
      </c>
      <c r="N255" s="234">
        <v>105.35525</v>
      </c>
      <c r="O255" s="235">
        <v>0.1003</v>
      </c>
      <c r="P255" s="235">
        <v>5.0900000000000001E-2</v>
      </c>
      <c r="Q255" s="235">
        <v>-0.18271514708569339</v>
      </c>
      <c r="R255" s="234">
        <f>VLOOKUP(61776,U:AC,9,0)</f>
        <v>20</v>
      </c>
      <c r="S255" s="234">
        <f>VLOOKUP(6177,季財報!A:N,8,0)</f>
        <v>0</v>
      </c>
      <c r="T255" s="234">
        <v>10502</v>
      </c>
      <c r="U255" s="234">
        <v>61774</v>
      </c>
      <c r="V255" s="234" t="s">
        <v>3056</v>
      </c>
      <c r="W255" s="234" t="s">
        <v>3057</v>
      </c>
      <c r="X255" s="234">
        <v>2955</v>
      </c>
      <c r="Y255" s="234">
        <v>2955</v>
      </c>
      <c r="Z255" s="234">
        <v>0</v>
      </c>
      <c r="AA255" s="234">
        <v>0</v>
      </c>
      <c r="AB255" s="234">
        <v>5000</v>
      </c>
      <c r="AC255" s="234">
        <v>12</v>
      </c>
      <c r="AD255" s="234">
        <v>0</v>
      </c>
    </row>
    <row r="256" spans="1:30" hidden="1">
      <c r="A256" s="244" t="s">
        <v>2115</v>
      </c>
      <c r="B256" s="244" t="s">
        <v>2116</v>
      </c>
      <c r="C256" s="244">
        <v>23602</v>
      </c>
      <c r="D256" s="245">
        <v>41782.000006736111</v>
      </c>
      <c r="E256" s="245">
        <v>43608.000006736111</v>
      </c>
      <c r="F256" s="246">
        <v>2000000000</v>
      </c>
      <c r="G256" s="246">
        <v>1854100000</v>
      </c>
      <c r="H256" s="243">
        <v>0.93</v>
      </c>
      <c r="I256" s="234">
        <v>1171</v>
      </c>
      <c r="J256" s="234">
        <v>111</v>
      </c>
      <c r="K256" s="234">
        <v>69.3</v>
      </c>
      <c r="L256" s="234">
        <f>VLOOKUP(2360,收盤價!A:C,3,0)</f>
        <v>74.599999999999994</v>
      </c>
      <c r="M256" s="234">
        <v>1443</v>
      </c>
      <c r="N256" s="234">
        <v>107.5035</v>
      </c>
      <c r="O256" s="235">
        <v>3.15E-2</v>
      </c>
      <c r="P256" s="235">
        <v>6.9800000000000001E-2</v>
      </c>
      <c r="Q256" s="235">
        <v>-0.693000693000693</v>
      </c>
      <c r="R256" s="234">
        <f>VLOOKUP(23602,U:AC,9,0)</f>
        <v>61</v>
      </c>
      <c r="S256" s="234">
        <f>VLOOKUP(2360,季財報!A:N,8,0)</f>
        <v>1</v>
      </c>
      <c r="T256" s="234">
        <v>10502</v>
      </c>
      <c r="U256" s="234">
        <v>61775</v>
      </c>
      <c r="V256" s="234" t="s">
        <v>3058</v>
      </c>
      <c r="W256" s="234" t="s">
        <v>3059</v>
      </c>
      <c r="X256" s="234">
        <v>4944</v>
      </c>
      <c r="Y256" s="234">
        <v>4944</v>
      </c>
      <c r="Z256" s="234">
        <v>0</v>
      </c>
      <c r="AA256" s="234">
        <v>0</v>
      </c>
      <c r="AB256" s="234">
        <v>5000</v>
      </c>
      <c r="AC256" s="234">
        <v>21</v>
      </c>
      <c r="AD256" s="234">
        <v>0</v>
      </c>
    </row>
    <row r="257" spans="1:30" hidden="1">
      <c r="A257" s="244" t="s">
        <v>2393</v>
      </c>
      <c r="B257" s="244" t="s">
        <v>2394</v>
      </c>
      <c r="C257" s="244">
        <v>62852</v>
      </c>
      <c r="D257" s="245">
        <v>42374.000006736111</v>
      </c>
      <c r="E257" s="245">
        <v>43470.000006736111</v>
      </c>
      <c r="F257" s="246">
        <v>1500000000</v>
      </c>
      <c r="G257" s="246">
        <v>1500000000</v>
      </c>
      <c r="H257" s="243">
        <v>1</v>
      </c>
      <c r="I257" s="234">
        <v>1033</v>
      </c>
      <c r="J257" s="234">
        <v>109.5</v>
      </c>
      <c r="K257" s="234">
        <v>88</v>
      </c>
      <c r="L257" s="234">
        <f>VLOOKUP(6285,收盤價!A:C,3,0)</f>
        <v>83.1</v>
      </c>
      <c r="M257" s="234">
        <v>1136</v>
      </c>
      <c r="N257" s="234">
        <v>100</v>
      </c>
      <c r="O257" s="235">
        <v>8.6800000000000002E-2</v>
      </c>
      <c r="P257" s="235">
        <v>-2.4400000000000002E-2</v>
      </c>
      <c r="Q257" s="235">
        <v>-0.88028169014084501</v>
      </c>
      <c r="R257" s="234">
        <f>VLOOKUP(62852,U:AC,9,0)</f>
        <v>75</v>
      </c>
      <c r="S257" s="234">
        <f>VLOOKUP(6285,季財報!A:N,8,0)</f>
        <v>4</v>
      </c>
      <c r="T257" s="234">
        <v>10502</v>
      </c>
      <c r="U257" s="234">
        <v>61776</v>
      </c>
      <c r="V257" s="234" t="s">
        <v>3060</v>
      </c>
      <c r="W257" s="234" t="s">
        <v>3059</v>
      </c>
      <c r="X257" s="234">
        <v>4979</v>
      </c>
      <c r="Y257" s="234">
        <v>4979</v>
      </c>
      <c r="Z257" s="234">
        <v>0</v>
      </c>
      <c r="AA257" s="234">
        <v>0</v>
      </c>
      <c r="AB257" s="234">
        <v>5000</v>
      </c>
      <c r="AC257" s="234">
        <v>20</v>
      </c>
      <c r="AD257" s="234">
        <v>0</v>
      </c>
    </row>
    <row r="258" spans="1:30" hidden="1">
      <c r="A258" s="244" t="s">
        <v>2282</v>
      </c>
      <c r="B258" s="244" t="s">
        <v>1545</v>
      </c>
      <c r="C258" s="244">
        <v>41233</v>
      </c>
      <c r="D258" s="245">
        <v>42198.000006736111</v>
      </c>
      <c r="E258" s="245">
        <v>44025.000006736111</v>
      </c>
      <c r="F258" s="246">
        <v>3400000000</v>
      </c>
      <c r="G258" s="246">
        <v>2792400000</v>
      </c>
      <c r="H258" s="243">
        <v>0.82</v>
      </c>
      <c r="I258" s="234">
        <v>1588</v>
      </c>
      <c r="J258" s="234">
        <v>109.6</v>
      </c>
      <c r="K258" s="234">
        <v>64.400000000000006</v>
      </c>
      <c r="L258" s="234">
        <f>VLOOKUP(4123,收盤價!A:C,3,0)</f>
        <v>69</v>
      </c>
      <c r="M258" s="234">
        <v>1553</v>
      </c>
      <c r="N258" s="234">
        <v>106.22520000000002</v>
      </c>
      <c r="O258" s="235">
        <v>3.0800000000000001E-2</v>
      </c>
      <c r="P258" s="235">
        <v>5.8500000000000003E-2</v>
      </c>
      <c r="Q258" s="235">
        <v>-0.64391500321957507</v>
      </c>
      <c r="R258" s="234">
        <f>VLOOKUP(41233,U:AC,9,0)</f>
        <v>237</v>
      </c>
      <c r="S258" s="234">
        <f>VLOOKUP(4123,季財報!A:N,8,0)</f>
        <v>3</v>
      </c>
      <c r="T258" s="234">
        <v>10502</v>
      </c>
      <c r="U258" s="234">
        <v>61801</v>
      </c>
      <c r="V258" s="234" t="s">
        <v>3061</v>
      </c>
      <c r="W258" s="234" t="s">
        <v>3062</v>
      </c>
      <c r="X258" s="234">
        <v>7000</v>
      </c>
      <c r="Y258" s="234">
        <v>7000</v>
      </c>
      <c r="Z258" s="234">
        <v>0</v>
      </c>
      <c r="AA258" s="234">
        <v>0</v>
      </c>
      <c r="AB258" s="234">
        <v>7000</v>
      </c>
      <c r="AC258" s="234">
        <v>22</v>
      </c>
      <c r="AD258" s="234">
        <v>0</v>
      </c>
    </row>
    <row r="259" spans="1:30" hidden="1">
      <c r="A259" s="244" t="s">
        <v>2277</v>
      </c>
      <c r="B259" s="244" t="s">
        <v>1541</v>
      </c>
      <c r="C259" s="244">
        <v>41093</v>
      </c>
      <c r="D259" s="245">
        <v>42046.000006736111</v>
      </c>
      <c r="E259" s="245">
        <v>43872.000006736111</v>
      </c>
      <c r="F259" s="246">
        <v>250000000</v>
      </c>
      <c r="G259" s="246">
        <v>238600000</v>
      </c>
      <c r="H259" s="243">
        <v>0.95</v>
      </c>
      <c r="I259" s="234">
        <v>1435</v>
      </c>
      <c r="J259" s="234">
        <v>112.8</v>
      </c>
      <c r="K259" s="234">
        <v>22.3</v>
      </c>
      <c r="L259" s="234">
        <f>VLOOKUP(4109,收盤價!A:C,3,0)</f>
        <v>24</v>
      </c>
      <c r="M259" s="234">
        <v>4484</v>
      </c>
      <c r="N259" s="234">
        <v>107.16759999999999</v>
      </c>
      <c r="O259" s="235">
        <v>4.99E-2</v>
      </c>
      <c r="P259" s="235">
        <v>6.6900000000000001E-2</v>
      </c>
      <c r="Q259" s="235">
        <v>-0.22301516503122212</v>
      </c>
      <c r="R259" s="234">
        <f>VLOOKUP(41093,U:AC,9,0)</f>
        <v>44</v>
      </c>
      <c r="S259" s="234">
        <f>VLOOKUP(4109,季財報!A:N,8,0)</f>
        <v>2</v>
      </c>
      <c r="T259" s="234">
        <v>10502</v>
      </c>
      <c r="U259" s="234">
        <v>61825</v>
      </c>
      <c r="V259" s="234" t="s">
        <v>3063</v>
      </c>
      <c r="W259" s="234" t="s">
        <v>3064</v>
      </c>
      <c r="X259" s="234">
        <v>6000</v>
      </c>
      <c r="Y259" s="234">
        <v>6000</v>
      </c>
      <c r="Z259" s="234">
        <v>0</v>
      </c>
      <c r="AA259" s="234">
        <v>0</v>
      </c>
      <c r="AB259" s="234">
        <v>6000</v>
      </c>
      <c r="AC259" s="234">
        <v>28</v>
      </c>
      <c r="AD259" s="234">
        <v>0</v>
      </c>
    </row>
    <row r="260" spans="1:30" hidden="1">
      <c r="A260" s="244" t="s">
        <v>2433</v>
      </c>
      <c r="B260" s="244" t="s">
        <v>1971</v>
      </c>
      <c r="C260" s="244">
        <v>89364</v>
      </c>
      <c r="D260" s="245">
        <v>42025.000006736111</v>
      </c>
      <c r="E260" s="245">
        <v>43121.000006736111</v>
      </c>
      <c r="F260" s="246">
        <v>600000000</v>
      </c>
      <c r="G260" s="246">
        <v>600000000</v>
      </c>
      <c r="H260" s="243">
        <v>1</v>
      </c>
      <c r="I260" s="234">
        <v>684</v>
      </c>
      <c r="J260" s="234">
        <v>104.5</v>
      </c>
      <c r="K260" s="234">
        <v>49.9</v>
      </c>
      <c r="L260" s="234">
        <f>VLOOKUP(8936,收盤價!A:C,3,0)</f>
        <v>30.85</v>
      </c>
      <c r="M260" s="234">
        <v>2004</v>
      </c>
      <c r="N260" s="234">
        <v>100</v>
      </c>
      <c r="O260" s="235">
        <v>4.3099999999999999E-2</v>
      </c>
      <c r="P260" s="235">
        <v>-0.59419999999999995</v>
      </c>
      <c r="Q260" s="235">
        <v>-0.49900199600798401</v>
      </c>
      <c r="R260" s="234">
        <f>VLOOKUP(89364,U:AC,9,0)</f>
        <v>22</v>
      </c>
      <c r="S260" s="234">
        <f>VLOOKUP(8936,季財報!A:N,8,0)</f>
        <v>1</v>
      </c>
      <c r="T260" s="234">
        <v>10502</v>
      </c>
      <c r="U260" s="234">
        <v>61841</v>
      </c>
      <c r="V260" s="234" t="s">
        <v>3065</v>
      </c>
      <c r="W260" s="234" t="s">
        <v>3066</v>
      </c>
      <c r="X260" s="234">
        <v>11787</v>
      </c>
      <c r="Y260" s="234">
        <v>11787</v>
      </c>
      <c r="Z260" s="234">
        <v>0</v>
      </c>
      <c r="AA260" s="234">
        <v>0</v>
      </c>
      <c r="AB260" s="234">
        <v>12000</v>
      </c>
      <c r="AC260" s="234">
        <v>38</v>
      </c>
      <c r="AD260" s="234">
        <v>0</v>
      </c>
    </row>
    <row r="261" spans="1:30" hidden="1">
      <c r="A261" s="244" t="s">
        <v>2336</v>
      </c>
      <c r="B261" s="244" t="s">
        <v>2337</v>
      </c>
      <c r="C261" s="244">
        <v>52891</v>
      </c>
      <c r="D261" s="245">
        <v>42292.000006736111</v>
      </c>
      <c r="E261" s="245">
        <v>43388.000006736111</v>
      </c>
      <c r="F261" s="246">
        <v>500000000</v>
      </c>
      <c r="G261" s="246">
        <v>500000000</v>
      </c>
      <c r="H261" s="243">
        <v>1</v>
      </c>
      <c r="I261" s="234">
        <v>951</v>
      </c>
      <c r="J261" s="234">
        <v>118.3</v>
      </c>
      <c r="K261" s="234">
        <v>100.8</v>
      </c>
      <c r="L261" s="234">
        <f>VLOOKUP(5289,收盤價!A:C,3,0)</f>
        <v>115</v>
      </c>
      <c r="M261" s="234">
        <v>992</v>
      </c>
      <c r="N261" s="234">
        <v>105.648</v>
      </c>
      <c r="O261" s="235">
        <v>0.1069</v>
      </c>
      <c r="P261" s="235">
        <v>5.3499999999999999E-2</v>
      </c>
      <c r="Q261" s="235">
        <v>-1.0080645161290323</v>
      </c>
      <c r="R261" s="234">
        <f>VLOOKUP(52891,U:AC,9,0)</f>
        <v>53</v>
      </c>
      <c r="S261" s="234">
        <f>VLOOKUP(5289,季財報!A:N,8,0)</f>
        <v>4</v>
      </c>
      <c r="T261" s="234">
        <v>10502</v>
      </c>
      <c r="U261" s="234">
        <v>61842</v>
      </c>
      <c r="V261" s="234" t="s">
        <v>3067</v>
      </c>
      <c r="W261" s="234" t="s">
        <v>2661</v>
      </c>
      <c r="X261" s="234">
        <v>20000</v>
      </c>
      <c r="Y261" s="234">
        <v>20000</v>
      </c>
      <c r="Z261" s="234">
        <v>0</v>
      </c>
      <c r="AA261" s="234">
        <v>0</v>
      </c>
      <c r="AB261" s="234">
        <v>0</v>
      </c>
      <c r="AC261" s="234">
        <v>73</v>
      </c>
      <c r="AD261" s="234">
        <v>0</v>
      </c>
    </row>
    <row r="262" spans="1:30" hidden="1">
      <c r="A262" s="244" t="s">
        <v>2349</v>
      </c>
      <c r="B262" s="244" t="s">
        <v>2350</v>
      </c>
      <c r="C262" s="244">
        <v>55343</v>
      </c>
      <c r="D262" s="245">
        <v>40708.000006736111</v>
      </c>
      <c r="E262" s="245">
        <v>42535.000006736111</v>
      </c>
      <c r="F262" s="246">
        <v>800000000</v>
      </c>
      <c r="G262" s="246">
        <v>699200000</v>
      </c>
      <c r="H262" s="243">
        <v>0.87</v>
      </c>
      <c r="I262" s="234">
        <v>98</v>
      </c>
      <c r="J262" s="234">
        <v>110</v>
      </c>
      <c r="K262" s="234">
        <v>43.29</v>
      </c>
      <c r="L262" s="234">
        <f>VLOOKUP(5534,收盤價!A:C,3,0)</f>
        <v>47.9</v>
      </c>
      <c r="M262" s="234">
        <v>2310</v>
      </c>
      <c r="N262" s="234">
        <v>104.874</v>
      </c>
      <c r="O262" s="235">
        <v>4.6600000000000003E-2</v>
      </c>
      <c r="P262" s="235">
        <v>4.65E-2</v>
      </c>
      <c r="Q262" s="235">
        <v>-0.4329004329004329</v>
      </c>
      <c r="R262" s="234">
        <f>VLOOKUP(55343,U:AC,9,0)</f>
        <v>37</v>
      </c>
      <c r="S262" s="234">
        <f>VLOOKUP(5534,季財報!A:N,8,0)</f>
        <v>2</v>
      </c>
      <c r="T262" s="234">
        <v>10502</v>
      </c>
      <c r="U262" s="234">
        <v>61904</v>
      </c>
      <c r="V262" s="234" t="s">
        <v>3068</v>
      </c>
      <c r="W262" s="234" t="s">
        <v>3069</v>
      </c>
      <c r="X262" s="234">
        <v>2000</v>
      </c>
      <c r="Y262" s="234">
        <v>2000</v>
      </c>
      <c r="Z262" s="234">
        <v>0</v>
      </c>
      <c r="AA262" s="234">
        <v>0</v>
      </c>
      <c r="AB262" s="234">
        <v>2000</v>
      </c>
      <c r="AC262" s="234">
        <v>10</v>
      </c>
      <c r="AD262" s="234">
        <v>0</v>
      </c>
    </row>
    <row r="263" spans="1:30" hidden="1">
      <c r="A263" s="244" t="s">
        <v>2412</v>
      </c>
      <c r="B263" s="244" t="s">
        <v>2413</v>
      </c>
      <c r="C263" s="244">
        <v>81141</v>
      </c>
      <c r="D263" s="245">
        <v>41848.000006736111</v>
      </c>
      <c r="E263" s="245">
        <v>42944.000006736111</v>
      </c>
      <c r="F263" s="246">
        <v>850000000</v>
      </c>
      <c r="G263" s="246">
        <v>850000000</v>
      </c>
      <c r="H263" s="243">
        <v>1</v>
      </c>
      <c r="I263" s="234">
        <v>507</v>
      </c>
      <c r="J263" s="234">
        <v>107.45</v>
      </c>
      <c r="K263" s="234">
        <v>179.64</v>
      </c>
      <c r="L263" s="234">
        <f>VLOOKUP(8114,收盤價!A:C,3,0)</f>
        <v>158.5</v>
      </c>
      <c r="M263" s="234">
        <v>557</v>
      </c>
      <c r="N263" s="234">
        <v>100</v>
      </c>
      <c r="O263" s="235">
        <v>6.93E-2</v>
      </c>
      <c r="P263" s="235">
        <v>-0.13339999999999999</v>
      </c>
      <c r="Q263" s="235">
        <v>-1.7953321364452424</v>
      </c>
      <c r="R263" s="234">
        <f>VLOOKUP(81141,U:AC,9,0)</f>
        <v>51</v>
      </c>
      <c r="S263" s="234">
        <f>VLOOKUP(8114,季財報!A:N,8,0)</f>
        <v>4</v>
      </c>
      <c r="T263" s="234">
        <v>10502</v>
      </c>
      <c r="U263" s="234">
        <v>62191</v>
      </c>
      <c r="V263" s="234" t="s">
        <v>3070</v>
      </c>
      <c r="W263" s="234" t="s">
        <v>3071</v>
      </c>
      <c r="X263" s="234">
        <v>1315</v>
      </c>
      <c r="Y263" s="234">
        <v>1315</v>
      </c>
      <c r="Z263" s="234">
        <v>0</v>
      </c>
      <c r="AA263" s="234">
        <v>0</v>
      </c>
      <c r="AB263" s="234">
        <v>2000</v>
      </c>
      <c r="AC263" s="234">
        <v>8</v>
      </c>
      <c r="AD263" s="234">
        <v>0</v>
      </c>
    </row>
    <row r="264" spans="1:30" hidden="1">
      <c r="A264" s="244" t="s">
        <v>2258</v>
      </c>
      <c r="B264" s="244" t="s">
        <v>332</v>
      </c>
      <c r="C264" s="244">
        <v>36091</v>
      </c>
      <c r="D264" s="245">
        <v>41915.000006736111</v>
      </c>
      <c r="E264" s="245">
        <v>43011.000006736111</v>
      </c>
      <c r="F264" s="246">
        <v>150000000</v>
      </c>
      <c r="G264" s="246">
        <v>150000000</v>
      </c>
      <c r="H264" s="243">
        <v>1</v>
      </c>
      <c r="I264" s="234">
        <v>574</v>
      </c>
      <c r="J264" s="234">
        <v>107</v>
      </c>
      <c r="K264" s="234">
        <v>18.350000000000001</v>
      </c>
      <c r="L264" s="234">
        <f>VLOOKUP(3609,收盤價!A:C,3,0)</f>
        <v>12.2</v>
      </c>
      <c r="M264" s="234">
        <v>5450</v>
      </c>
      <c r="N264" s="234">
        <v>100</v>
      </c>
      <c r="O264" s="235">
        <v>6.54E-2</v>
      </c>
      <c r="P264" s="235">
        <v>-0.5292</v>
      </c>
      <c r="Q264" s="235">
        <v>-0.1834862385321101</v>
      </c>
      <c r="R264" s="234">
        <f>VLOOKUP(36091,U:AC,9,0)</f>
        <v>13</v>
      </c>
      <c r="S264" s="234">
        <f>VLOOKUP(3609,季財報!A:N,8,0)</f>
        <v>3</v>
      </c>
      <c r="T264" s="234">
        <v>10502</v>
      </c>
      <c r="U264" s="234">
        <v>62193</v>
      </c>
      <c r="V264" s="234" t="s">
        <v>3072</v>
      </c>
      <c r="W264" s="234" t="s">
        <v>3071</v>
      </c>
      <c r="X264" s="234">
        <v>3413</v>
      </c>
      <c r="Y264" s="234">
        <v>3413</v>
      </c>
      <c r="Z264" s="234">
        <v>0</v>
      </c>
      <c r="AA264" s="234">
        <v>0</v>
      </c>
      <c r="AB264" s="234">
        <v>4000</v>
      </c>
      <c r="AC264" s="234">
        <v>151</v>
      </c>
      <c r="AD264" s="234">
        <v>0</v>
      </c>
    </row>
    <row r="265" spans="1:30" hidden="1">
      <c r="A265" s="244" t="s">
        <v>2355</v>
      </c>
      <c r="B265" s="244" t="s">
        <v>1986</v>
      </c>
      <c r="C265" s="244">
        <v>61071</v>
      </c>
      <c r="D265" s="245">
        <v>42136.000006736111</v>
      </c>
      <c r="E265" s="245">
        <v>43232.000006736111</v>
      </c>
      <c r="F265" s="246">
        <v>400000000</v>
      </c>
      <c r="G265" s="246">
        <v>400000000</v>
      </c>
      <c r="H265" s="243">
        <v>1</v>
      </c>
      <c r="I265" s="234">
        <v>795</v>
      </c>
      <c r="J265" s="234">
        <v>127.9</v>
      </c>
      <c r="K265" s="234">
        <v>74.58</v>
      </c>
      <c r="L265" s="234">
        <f>VLOOKUP(6107,收盤價!A:C,3,0)</f>
        <v>93</v>
      </c>
      <c r="M265" s="234">
        <v>1341</v>
      </c>
      <c r="N265" s="234">
        <v>124.9812</v>
      </c>
      <c r="O265" s="235">
        <v>2.2800000000000001E-2</v>
      </c>
      <c r="P265" s="235">
        <v>0.19980000000000001</v>
      </c>
      <c r="Q265" s="235">
        <v>-0.74571215510812827</v>
      </c>
      <c r="R265" s="234">
        <f>VLOOKUP(61071,U:AC,9,0)</f>
        <v>26</v>
      </c>
      <c r="S265" s="234">
        <f>VLOOKUP(6107,季財報!A:N,8,0)</f>
        <v>1</v>
      </c>
      <c r="T265" s="234">
        <v>10502</v>
      </c>
      <c r="U265" s="234">
        <v>62206</v>
      </c>
      <c r="V265" s="234" t="s">
        <v>3073</v>
      </c>
      <c r="W265" s="234" t="s">
        <v>3074</v>
      </c>
      <c r="X265" s="234">
        <v>137</v>
      </c>
      <c r="Y265" s="234">
        <v>151</v>
      </c>
      <c r="Z265" s="234">
        <v>-14</v>
      </c>
      <c r="AA265" s="234">
        <v>-9.27</v>
      </c>
      <c r="AB265" s="234">
        <v>1000</v>
      </c>
      <c r="AC265" s="234">
        <v>7</v>
      </c>
      <c r="AD265" s="234">
        <v>0</v>
      </c>
    </row>
    <row r="266" spans="1:30" hidden="1">
      <c r="A266" s="244" t="s">
        <v>2147</v>
      </c>
      <c r="B266" s="244" t="s">
        <v>2148</v>
      </c>
      <c r="C266" s="244">
        <v>24816</v>
      </c>
      <c r="D266" s="245">
        <v>41436.000006736111</v>
      </c>
      <c r="E266" s="245">
        <v>43262.000006736111</v>
      </c>
      <c r="F266" s="246">
        <v>350000000</v>
      </c>
      <c r="G266" s="246">
        <v>196900000</v>
      </c>
      <c r="H266" s="243">
        <v>0.56000000000000005</v>
      </c>
      <c r="I266" s="234">
        <v>825</v>
      </c>
      <c r="J266" s="234">
        <v>138.55000000000001</v>
      </c>
      <c r="K266" s="234">
        <v>12.37</v>
      </c>
      <c r="L266" s="234">
        <f>VLOOKUP(2481,收盤價!A:C,3,0)</f>
        <v>17.25</v>
      </c>
      <c r="M266" s="234">
        <v>8084</v>
      </c>
      <c r="N266" s="234">
        <v>117.218</v>
      </c>
      <c r="O266" s="235">
        <v>0.154</v>
      </c>
      <c r="P266" s="235">
        <v>0.1469</v>
      </c>
      <c r="Q266" s="235">
        <v>-0.12370113805047006</v>
      </c>
      <c r="R266" s="234">
        <f>VLOOKUP(24816,U:AC,9,0)</f>
        <v>26</v>
      </c>
      <c r="S266" s="234">
        <f>VLOOKUP(2481,季財報!A:N,8,0)</f>
        <v>2</v>
      </c>
      <c r="T266" s="234">
        <v>10502</v>
      </c>
      <c r="U266" s="234">
        <v>62207</v>
      </c>
      <c r="V266" s="234" t="s">
        <v>3075</v>
      </c>
      <c r="W266" s="234" t="s">
        <v>3074</v>
      </c>
      <c r="X266" s="234">
        <v>88</v>
      </c>
      <c r="Y266" s="234">
        <v>88</v>
      </c>
      <c r="Z266" s="234">
        <v>0</v>
      </c>
      <c r="AA266" s="234">
        <v>0</v>
      </c>
      <c r="AB266" s="234">
        <v>2000</v>
      </c>
      <c r="AC266" s="234">
        <v>7</v>
      </c>
      <c r="AD266" s="234">
        <v>0</v>
      </c>
    </row>
    <row r="267" spans="1:30" hidden="1">
      <c r="A267" s="244" t="s">
        <v>2254</v>
      </c>
      <c r="B267" s="244" t="s">
        <v>331</v>
      </c>
      <c r="C267" s="244">
        <v>35941</v>
      </c>
      <c r="D267" s="245">
        <v>41954.000006736111</v>
      </c>
      <c r="E267" s="245">
        <v>43780.000006736111</v>
      </c>
      <c r="F267" s="246">
        <v>300000000</v>
      </c>
      <c r="G267" s="246">
        <v>296100000</v>
      </c>
      <c r="H267" s="243">
        <v>0.99</v>
      </c>
      <c r="I267" s="234">
        <v>1343</v>
      </c>
      <c r="J267" s="234">
        <v>100.5</v>
      </c>
      <c r="K267" s="234">
        <v>48.26</v>
      </c>
      <c r="L267" s="234">
        <f>VLOOKUP(3594,收盤價!A:C,3,0)</f>
        <v>30.25</v>
      </c>
      <c r="M267" s="234">
        <v>2072</v>
      </c>
      <c r="N267" s="234">
        <v>100</v>
      </c>
      <c r="O267" s="235">
        <v>5.0000000000000001E-3</v>
      </c>
      <c r="P267" s="235">
        <v>-0.60870000000000002</v>
      </c>
      <c r="Q267" s="235">
        <v>-0.4826254826254826</v>
      </c>
      <c r="R267" s="234">
        <f>VLOOKUP(35941,U:AC,9,0)</f>
        <v>36</v>
      </c>
      <c r="S267" s="234">
        <f>VLOOKUP(3594,季財報!A:N,8,0)</f>
        <v>0</v>
      </c>
      <c r="T267" s="234">
        <v>10502</v>
      </c>
      <c r="U267" s="234">
        <v>62233</v>
      </c>
      <c r="V267" s="234" t="s">
        <v>3076</v>
      </c>
      <c r="W267" s="234" t="s">
        <v>3077</v>
      </c>
      <c r="X267" s="234">
        <v>6007</v>
      </c>
      <c r="Y267" s="234">
        <v>6007</v>
      </c>
      <c r="Z267" s="234">
        <v>0</v>
      </c>
      <c r="AA267" s="234">
        <v>0</v>
      </c>
      <c r="AB267" s="234">
        <v>7000</v>
      </c>
      <c r="AC267" s="234">
        <v>26</v>
      </c>
      <c r="AD267" s="234">
        <v>0</v>
      </c>
    </row>
    <row r="268" spans="1:30" hidden="1">
      <c r="A268" s="244" t="s">
        <v>2324</v>
      </c>
      <c r="B268" s="244" t="s">
        <v>383</v>
      </c>
      <c r="C268" s="244">
        <v>49791</v>
      </c>
      <c r="D268" s="245">
        <v>42360.000006736111</v>
      </c>
      <c r="E268" s="245">
        <v>43456.000006736111</v>
      </c>
      <c r="F268" s="246">
        <v>800000000</v>
      </c>
      <c r="G268" s="246">
        <v>800000000</v>
      </c>
      <c r="H268" s="243">
        <v>1</v>
      </c>
      <c r="I268" s="234">
        <v>1019</v>
      </c>
      <c r="J268" s="234">
        <v>108.6</v>
      </c>
      <c r="K268" s="234">
        <v>79</v>
      </c>
      <c r="L268" s="234">
        <f>VLOOKUP(4979,收盤價!A:C,3,0)</f>
        <v>77.099999999999994</v>
      </c>
      <c r="M268" s="234">
        <v>1266</v>
      </c>
      <c r="N268" s="234">
        <v>101.28</v>
      </c>
      <c r="O268" s="235">
        <v>6.7400000000000002E-2</v>
      </c>
      <c r="P268" s="235">
        <v>1.2500000000000001E-2</v>
      </c>
      <c r="Q268" s="235">
        <v>-0.78988941548183267</v>
      </c>
      <c r="R268" s="234">
        <f>VLOOKUP(49791,U:AC,9,0)</f>
        <v>56</v>
      </c>
      <c r="S268" s="234">
        <f>VLOOKUP(4979,季財報!A:N,8,0)</f>
        <v>3</v>
      </c>
      <c r="T268" s="234">
        <v>10502</v>
      </c>
      <c r="U268" s="234">
        <v>62264</v>
      </c>
      <c r="V268" s="234" t="s">
        <v>3078</v>
      </c>
      <c r="W268" s="234" t="s">
        <v>3079</v>
      </c>
      <c r="X268" s="234">
        <v>2000</v>
      </c>
      <c r="Y268" s="234">
        <v>2000</v>
      </c>
      <c r="Z268" s="234">
        <v>0</v>
      </c>
      <c r="AA268" s="234">
        <v>0</v>
      </c>
      <c r="AB268" s="234">
        <v>2000</v>
      </c>
      <c r="AC268" s="234">
        <v>6</v>
      </c>
      <c r="AD268" s="234">
        <v>0</v>
      </c>
    </row>
    <row r="269" spans="1:30">
      <c r="A269" s="244" t="s">
        <v>2051</v>
      </c>
      <c r="B269" s="244" t="s">
        <v>1414</v>
      </c>
      <c r="C269" s="244">
        <v>12581</v>
      </c>
      <c r="D269" s="245">
        <v>42262.000006736111</v>
      </c>
      <c r="E269" s="245">
        <v>43358.000006736111</v>
      </c>
      <c r="F269" s="246">
        <v>250000000</v>
      </c>
      <c r="G269" s="246">
        <v>226500000</v>
      </c>
      <c r="H269" s="243">
        <v>0.91</v>
      </c>
      <c r="I269" s="234">
        <v>921</v>
      </c>
      <c r="J269" s="234">
        <v>119</v>
      </c>
      <c r="K269" s="234">
        <v>38.799999999999997</v>
      </c>
      <c r="L269" s="234">
        <f>VLOOKUP(1258,收盤價!A:C,3,0)</f>
        <v>46.55</v>
      </c>
      <c r="M269" s="234">
        <v>2577</v>
      </c>
      <c r="N269" s="234">
        <v>117.89775</v>
      </c>
      <c r="O269" s="235">
        <v>9.2999999999999992E-3</v>
      </c>
      <c r="P269" s="235">
        <v>0.15190000000000001</v>
      </c>
      <c r="Q269" s="235">
        <v>-0.38804811796662786</v>
      </c>
      <c r="R269" s="234">
        <f>VLOOKUP(12581,U:AC,9,0)</f>
        <v>31</v>
      </c>
      <c r="S269" s="234">
        <f>VLOOKUP(1258,季財報!A:N,8,0)</f>
        <v>6</v>
      </c>
      <c r="T269" s="234">
        <v>10502</v>
      </c>
      <c r="U269" s="234">
        <v>62383</v>
      </c>
      <c r="V269" s="234" t="s">
        <v>3080</v>
      </c>
      <c r="W269" s="234" t="s">
        <v>3081</v>
      </c>
      <c r="X269" s="234">
        <v>1613</v>
      </c>
      <c r="Y269" s="234">
        <v>1664</v>
      </c>
      <c r="Z269" s="234">
        <v>-51</v>
      </c>
      <c r="AA269" s="234">
        <v>-3.06</v>
      </c>
      <c r="AB269" s="234">
        <v>2000</v>
      </c>
      <c r="AC269" s="234">
        <v>3</v>
      </c>
      <c r="AD269" s="234">
        <v>0</v>
      </c>
    </row>
    <row r="270" spans="1:30">
      <c r="A270" s="244" t="s">
        <v>2218</v>
      </c>
      <c r="B270" s="244" t="s">
        <v>287</v>
      </c>
      <c r="C270" s="244">
        <v>32341</v>
      </c>
      <c r="D270" s="245">
        <v>42320.000006736111</v>
      </c>
      <c r="E270" s="245">
        <v>43416.000006736111</v>
      </c>
      <c r="F270" s="246">
        <v>500000000</v>
      </c>
      <c r="G270" s="246">
        <v>500000000</v>
      </c>
      <c r="H270" s="243">
        <v>1</v>
      </c>
      <c r="I270" s="234">
        <v>979</v>
      </c>
      <c r="J270" s="234">
        <v>109.3</v>
      </c>
      <c r="K270" s="234">
        <v>109.3</v>
      </c>
      <c r="L270" s="234">
        <f>VLOOKUP(3234,收盤價!A:C,3,0)</f>
        <v>96.8</v>
      </c>
      <c r="M270" s="234">
        <v>915</v>
      </c>
      <c r="N270" s="234">
        <v>100</v>
      </c>
      <c r="O270" s="235">
        <v>8.5099999999999995E-2</v>
      </c>
      <c r="P270" s="235">
        <v>-0.13150000000000001</v>
      </c>
      <c r="Q270" s="235">
        <v>-1.0928961748633879</v>
      </c>
      <c r="R270" s="234">
        <f>VLOOKUP(32341,U:AC,9,0)</f>
        <v>14</v>
      </c>
      <c r="S270" s="234">
        <f>VLOOKUP(3234,季財報!A:N,8,0)</f>
        <v>6</v>
      </c>
      <c r="T270" s="234">
        <v>10502</v>
      </c>
      <c r="U270" s="234">
        <v>62384</v>
      </c>
      <c r="V270" s="234" t="s">
        <v>3082</v>
      </c>
      <c r="W270" s="234" t="s">
        <v>3081</v>
      </c>
      <c r="X270" s="234">
        <v>137</v>
      </c>
      <c r="Y270" s="234">
        <v>188</v>
      </c>
      <c r="Z270" s="234">
        <v>-51</v>
      </c>
      <c r="AA270" s="234">
        <v>-27.13</v>
      </c>
      <c r="AB270" s="234">
        <v>1000</v>
      </c>
      <c r="AC270" s="234">
        <v>5</v>
      </c>
      <c r="AD270" s="234">
        <v>0</v>
      </c>
    </row>
    <row r="271" spans="1:30">
      <c r="A271" s="244" t="s">
        <v>2286</v>
      </c>
      <c r="B271" s="244" t="s">
        <v>1976</v>
      </c>
      <c r="C271" s="244">
        <v>41382</v>
      </c>
      <c r="D271" s="245">
        <v>42033.000006736111</v>
      </c>
      <c r="E271" s="245">
        <v>43129.000006736111</v>
      </c>
      <c r="F271" s="246">
        <v>300000000</v>
      </c>
      <c r="G271" s="246">
        <v>300000000</v>
      </c>
      <c r="H271" s="243">
        <v>1</v>
      </c>
      <c r="I271" s="234">
        <v>692</v>
      </c>
      <c r="J271" s="234">
        <v>107.5</v>
      </c>
      <c r="K271" s="234">
        <v>69.959999999999994</v>
      </c>
      <c r="L271" s="234">
        <f>VLOOKUP(4138,收盤價!A:C,3,0)</f>
        <v>62.7</v>
      </c>
      <c r="M271" s="234">
        <v>1429</v>
      </c>
      <c r="N271" s="234">
        <v>100</v>
      </c>
      <c r="O271" s="235">
        <v>6.9800000000000001E-2</v>
      </c>
      <c r="P271" s="235">
        <v>-0.1087</v>
      </c>
      <c r="Q271" s="235">
        <v>-0.69979006298110558</v>
      </c>
      <c r="R271" s="234">
        <f>VLOOKUP(41382,U:AC,9,0)</f>
        <v>23</v>
      </c>
      <c r="S271" s="234">
        <f>VLOOKUP(4138,季財報!A:N,8,0)</f>
        <v>3</v>
      </c>
      <c r="T271" s="234">
        <v>10502</v>
      </c>
      <c r="U271" s="234">
        <v>62452</v>
      </c>
      <c r="V271" s="234" t="s">
        <v>3083</v>
      </c>
      <c r="W271" s="234" t="s">
        <v>3084</v>
      </c>
      <c r="X271" s="234">
        <v>2277</v>
      </c>
      <c r="Y271" s="234">
        <v>2277</v>
      </c>
      <c r="Z271" s="234">
        <v>0</v>
      </c>
      <c r="AA271" s="234">
        <v>0</v>
      </c>
      <c r="AB271" s="234">
        <v>4000</v>
      </c>
      <c r="AC271" s="234">
        <v>32</v>
      </c>
      <c r="AD271" s="234">
        <v>0</v>
      </c>
    </row>
    <row r="272" spans="1:30" hidden="1">
      <c r="A272" s="244" t="s">
        <v>2237</v>
      </c>
      <c r="B272" s="244" t="s">
        <v>2238</v>
      </c>
      <c r="C272" s="244">
        <v>35141</v>
      </c>
      <c r="D272" s="245">
        <v>41177.000006736111</v>
      </c>
      <c r="E272" s="245">
        <v>43003.000006736111</v>
      </c>
      <c r="F272" s="246">
        <v>620000000</v>
      </c>
      <c r="G272" s="246">
        <v>400000</v>
      </c>
      <c r="H272" s="243">
        <v>0</v>
      </c>
      <c r="I272" s="234">
        <v>566</v>
      </c>
      <c r="J272" s="234">
        <v>109</v>
      </c>
      <c r="K272" s="234">
        <v>29.06</v>
      </c>
      <c r="L272" s="234">
        <f>VLOOKUP(3514,收盤價!A:C,3,0)</f>
        <v>30</v>
      </c>
      <c r="M272" s="234">
        <v>3441</v>
      </c>
      <c r="N272" s="234">
        <v>109.4238</v>
      </c>
      <c r="O272" s="235">
        <v>-3.8999999999999998E-3</v>
      </c>
      <c r="P272" s="235">
        <v>8.6199999999999999E-2</v>
      </c>
      <c r="Q272" s="235">
        <v>-0.29061319383900031</v>
      </c>
      <c r="R272" s="234">
        <f>VLOOKUP(35141,U:AC,9,0)</f>
        <v>3</v>
      </c>
      <c r="S272" s="234">
        <f>VLOOKUP(3514,季財報!A:N,8,0)</f>
        <v>3</v>
      </c>
      <c r="T272" s="234">
        <v>10502</v>
      </c>
      <c r="U272" s="234">
        <v>62641</v>
      </c>
      <c r="V272" s="234" t="s">
        <v>3085</v>
      </c>
      <c r="W272" s="234" t="s">
        <v>3086</v>
      </c>
      <c r="X272" s="234">
        <v>5000</v>
      </c>
      <c r="Y272" s="234">
        <v>5000</v>
      </c>
      <c r="Z272" s="234">
        <v>0</v>
      </c>
      <c r="AA272" s="234">
        <v>0</v>
      </c>
      <c r="AB272" s="234">
        <v>5000</v>
      </c>
      <c r="AC272" s="234">
        <v>19</v>
      </c>
      <c r="AD272" s="234">
        <v>0</v>
      </c>
    </row>
    <row r="273" spans="1:30" hidden="1">
      <c r="A273" s="244" t="s">
        <v>2246</v>
      </c>
      <c r="B273" s="244" t="s">
        <v>2247</v>
      </c>
      <c r="C273" s="244">
        <v>35571</v>
      </c>
      <c r="D273" s="245">
        <v>41696.000006736111</v>
      </c>
      <c r="E273" s="245">
        <v>42792.000006736111</v>
      </c>
      <c r="F273" s="246">
        <v>150000000</v>
      </c>
      <c r="G273" s="246">
        <v>150000000</v>
      </c>
      <c r="H273" s="243">
        <v>1</v>
      </c>
      <c r="I273" s="234">
        <v>355</v>
      </c>
      <c r="J273" s="234">
        <v>107.75</v>
      </c>
      <c r="K273" s="234">
        <v>8.1999999999999993</v>
      </c>
      <c r="L273" s="234">
        <f>VLOOKUP(3557,收盤價!A:C,3,0)</f>
        <v>4.3</v>
      </c>
      <c r="M273" s="234">
        <v>12195</v>
      </c>
      <c r="N273" s="234">
        <v>100</v>
      </c>
      <c r="O273" s="235">
        <v>7.1900000000000006E-2</v>
      </c>
      <c r="P273" s="235">
        <v>-1.1354</v>
      </c>
      <c r="Q273" s="235">
        <v>-8.2000820008200082E-2</v>
      </c>
      <c r="R273" s="234">
        <f>VLOOKUP(35571,U:AC,9,0)</f>
        <v>11</v>
      </c>
      <c r="S273" s="234">
        <f>VLOOKUP(3557,季財報!A:N,8,0)</f>
        <v>2</v>
      </c>
      <c r="T273" s="234">
        <v>10502</v>
      </c>
      <c r="U273" s="234">
        <v>62693</v>
      </c>
      <c r="V273" s="234" t="s">
        <v>3087</v>
      </c>
      <c r="W273" s="234" t="s">
        <v>3088</v>
      </c>
      <c r="X273" s="234">
        <v>7633</v>
      </c>
      <c r="Y273" s="234">
        <v>7633</v>
      </c>
      <c r="Z273" s="234">
        <v>0</v>
      </c>
      <c r="AA273" s="234">
        <v>0</v>
      </c>
      <c r="AB273" s="234">
        <v>20000</v>
      </c>
      <c r="AC273" s="234">
        <v>29</v>
      </c>
      <c r="AD273" s="234">
        <v>0</v>
      </c>
    </row>
    <row r="274" spans="1:30" hidden="1">
      <c r="A274" s="244" t="s">
        <v>2052</v>
      </c>
      <c r="B274" s="244" t="s">
        <v>2053</v>
      </c>
      <c r="C274" s="244">
        <v>13162</v>
      </c>
      <c r="D274" s="245">
        <v>41996.000006736111</v>
      </c>
      <c r="E274" s="245">
        <v>43092.000006736111</v>
      </c>
      <c r="F274" s="246">
        <v>200000000</v>
      </c>
      <c r="G274" s="246">
        <v>200000000</v>
      </c>
      <c r="H274" s="243">
        <v>1</v>
      </c>
      <c r="I274" s="234">
        <v>655</v>
      </c>
      <c r="J274" s="234">
        <v>108</v>
      </c>
      <c r="K274" s="234">
        <v>11.6</v>
      </c>
      <c r="L274" s="234">
        <f>VLOOKUP(1316,收盤價!A:C,3,0)</f>
        <v>9.81</v>
      </c>
      <c r="M274" s="234">
        <v>8621</v>
      </c>
      <c r="N274" s="234">
        <v>100</v>
      </c>
      <c r="O274" s="235">
        <v>7.4099999999999999E-2</v>
      </c>
      <c r="P274" s="235">
        <v>-0.17649999999999999</v>
      </c>
      <c r="Q274" s="235">
        <v>-0.11599582415033059</v>
      </c>
      <c r="R274" s="234">
        <f>VLOOKUP(13162,U:AC,9,0)</f>
        <v>9</v>
      </c>
      <c r="S274" s="234">
        <f>VLOOKUP(1316,季財報!A:N,8,0)</f>
        <v>1</v>
      </c>
      <c r="T274" s="234">
        <v>10502</v>
      </c>
      <c r="U274" s="234">
        <v>62711</v>
      </c>
      <c r="V274" s="234" t="s">
        <v>3089</v>
      </c>
      <c r="W274" s="234" t="s">
        <v>3090</v>
      </c>
      <c r="X274" s="234">
        <v>20000</v>
      </c>
      <c r="Y274" s="234">
        <v>20000</v>
      </c>
      <c r="Z274" s="234">
        <v>0</v>
      </c>
      <c r="AA274" s="234">
        <v>0</v>
      </c>
      <c r="AB274" s="234">
        <v>20000</v>
      </c>
      <c r="AC274" s="234">
        <v>72</v>
      </c>
      <c r="AD274" s="234">
        <v>0</v>
      </c>
    </row>
    <row r="275" spans="1:30" hidden="1">
      <c r="A275" s="244" t="s">
        <v>2406</v>
      </c>
      <c r="B275" s="244" t="s">
        <v>1980</v>
      </c>
      <c r="C275" s="244">
        <v>80504</v>
      </c>
      <c r="D275" s="245">
        <v>42048.000006736111</v>
      </c>
      <c r="E275" s="245">
        <v>43874.000006736111</v>
      </c>
      <c r="F275" s="246">
        <v>150000000</v>
      </c>
      <c r="G275" s="246">
        <v>150000000</v>
      </c>
      <c r="H275" s="243">
        <v>1</v>
      </c>
      <c r="I275" s="234">
        <v>1437</v>
      </c>
      <c r="J275" s="234">
        <v>108</v>
      </c>
      <c r="K275" s="234">
        <v>52.13</v>
      </c>
      <c r="L275" s="234">
        <f>VLOOKUP(8050,收盤價!A:C,3,0)</f>
        <v>54.2</v>
      </c>
      <c r="M275" s="234">
        <v>1918</v>
      </c>
      <c r="N275" s="234">
        <v>103.572</v>
      </c>
      <c r="O275" s="235">
        <v>4.1000000000000002E-2</v>
      </c>
      <c r="P275" s="235">
        <v>3.4599999999999999E-2</v>
      </c>
      <c r="Q275" s="235">
        <v>-0.52137643378519294</v>
      </c>
      <c r="R275" s="234">
        <f>VLOOKUP(80504,U:AC,9,0)</f>
        <v>23</v>
      </c>
      <c r="S275" s="234">
        <f>VLOOKUP(8050,季財報!A:N,8,0)</f>
        <v>2</v>
      </c>
      <c r="T275" s="234">
        <v>10502</v>
      </c>
      <c r="U275" s="234">
        <v>62754</v>
      </c>
      <c r="V275" s="234" t="s">
        <v>3091</v>
      </c>
      <c r="W275" s="234" t="s">
        <v>3092</v>
      </c>
      <c r="X275" s="234">
        <v>1416</v>
      </c>
      <c r="Y275" s="234">
        <v>1416</v>
      </c>
      <c r="Z275" s="234">
        <v>0</v>
      </c>
      <c r="AA275" s="234">
        <v>0</v>
      </c>
      <c r="AB275" s="234">
        <v>2200</v>
      </c>
      <c r="AC275" s="234">
        <v>16</v>
      </c>
      <c r="AD275" s="234">
        <v>0</v>
      </c>
    </row>
    <row r="276" spans="1:30" hidden="1">
      <c r="A276" s="244" t="s">
        <v>2404</v>
      </c>
      <c r="B276" s="244" t="s">
        <v>481</v>
      </c>
      <c r="C276" s="244">
        <v>80381</v>
      </c>
      <c r="D276" s="245">
        <v>41898.000006736111</v>
      </c>
      <c r="E276" s="245">
        <v>42994.000006736111</v>
      </c>
      <c r="F276" s="246">
        <v>400000000</v>
      </c>
      <c r="G276" s="246">
        <v>400000000</v>
      </c>
      <c r="H276" s="243">
        <v>1</v>
      </c>
      <c r="I276" s="234">
        <v>557</v>
      </c>
      <c r="J276" s="234">
        <v>111</v>
      </c>
      <c r="K276" s="234">
        <v>60.6</v>
      </c>
      <c r="L276" s="234">
        <f>VLOOKUP(8038,收盤價!A:C,3,0)</f>
        <v>61.3</v>
      </c>
      <c r="M276" s="234">
        <v>1650</v>
      </c>
      <c r="N276" s="234">
        <v>100</v>
      </c>
      <c r="O276" s="235">
        <v>9.9099999999999994E-2</v>
      </c>
      <c r="P276" s="235">
        <v>-3.95E-2</v>
      </c>
      <c r="Q276" s="235">
        <v>-0.60606060606060597</v>
      </c>
      <c r="R276" s="234">
        <f>VLOOKUP(80381,U:AC,9,0)</f>
        <v>20</v>
      </c>
      <c r="S276" s="234">
        <f>VLOOKUP(8038,季財報!A:N,8,0)</f>
        <v>1</v>
      </c>
      <c r="T276" s="234">
        <v>10502</v>
      </c>
      <c r="U276" s="234">
        <v>62842</v>
      </c>
      <c r="V276" s="234" t="s">
        <v>3093</v>
      </c>
      <c r="W276" s="234" t="s">
        <v>3094</v>
      </c>
      <c r="X276" s="234">
        <v>2025</v>
      </c>
      <c r="Y276" s="234">
        <v>2025</v>
      </c>
      <c r="Z276" s="234">
        <v>0</v>
      </c>
      <c r="AA276" s="234">
        <v>0</v>
      </c>
      <c r="AB276" s="234">
        <v>3000</v>
      </c>
      <c r="AC276" s="234">
        <v>6</v>
      </c>
      <c r="AD276" s="234">
        <v>0</v>
      </c>
    </row>
    <row r="277" spans="1:30" hidden="1">
      <c r="A277" s="244" t="s">
        <v>2222</v>
      </c>
      <c r="B277" s="244" t="s">
        <v>1990</v>
      </c>
      <c r="C277" s="244">
        <v>32893</v>
      </c>
      <c r="D277" s="245">
        <v>42360.000006736111</v>
      </c>
      <c r="E277" s="245">
        <v>43456.000006736111</v>
      </c>
      <c r="F277" s="246">
        <v>300000000</v>
      </c>
      <c r="G277" s="246">
        <v>300000000</v>
      </c>
      <c r="H277" s="243">
        <v>1</v>
      </c>
      <c r="I277" s="234">
        <v>1019</v>
      </c>
      <c r="J277" s="234">
        <v>121</v>
      </c>
      <c r="K277" s="234">
        <v>93.3</v>
      </c>
      <c r="L277" s="234">
        <f>VLOOKUP(3289,收盤價!A:C,3,0)</f>
        <v>111.5</v>
      </c>
      <c r="M277" s="234">
        <v>1072</v>
      </c>
      <c r="N277" s="234">
        <v>123.28</v>
      </c>
      <c r="O277" s="235">
        <v>-1.8800000000000001E-2</v>
      </c>
      <c r="P277" s="235">
        <v>0.18870000000000001</v>
      </c>
      <c r="Q277" s="235">
        <v>-0.93283582089552231</v>
      </c>
      <c r="R277" s="234">
        <f>VLOOKUP(32893,U:AC,9,0)</f>
        <v>45</v>
      </c>
      <c r="S277" s="234">
        <f>VLOOKUP(3289,季財報!A:N,8,0)</f>
        <v>4</v>
      </c>
      <c r="T277" s="234">
        <v>10502</v>
      </c>
      <c r="U277" s="234">
        <v>62852</v>
      </c>
      <c r="V277" s="234" t="s">
        <v>3095</v>
      </c>
      <c r="W277" s="234" t="s">
        <v>2661</v>
      </c>
      <c r="X277" s="234">
        <v>15000</v>
      </c>
      <c r="Y277" s="234">
        <v>15000</v>
      </c>
      <c r="Z277" s="234">
        <v>0</v>
      </c>
      <c r="AA277" s="234">
        <v>0</v>
      </c>
      <c r="AB277" s="234">
        <v>0</v>
      </c>
      <c r="AC277" s="234">
        <v>75</v>
      </c>
      <c r="AD277" s="234">
        <v>0</v>
      </c>
    </row>
    <row r="278" spans="1:30" hidden="1">
      <c r="A278" s="244" t="s">
        <v>2405</v>
      </c>
      <c r="B278" s="244" t="s">
        <v>1757</v>
      </c>
      <c r="C278" s="244">
        <v>80424</v>
      </c>
      <c r="D278" s="245">
        <v>42185.000006736111</v>
      </c>
      <c r="E278" s="245">
        <v>43281.000006736111</v>
      </c>
      <c r="F278" s="246">
        <v>500000000</v>
      </c>
      <c r="G278" s="246">
        <v>500000000</v>
      </c>
      <c r="H278" s="243">
        <v>1</v>
      </c>
      <c r="I278" s="234">
        <v>844</v>
      </c>
      <c r="J278" s="234">
        <v>111.8</v>
      </c>
      <c r="K278" s="234">
        <v>40.9</v>
      </c>
      <c r="L278" s="234">
        <f>VLOOKUP(8042,收盤價!A:C,3,0)</f>
        <v>42.1</v>
      </c>
      <c r="M278" s="234">
        <v>2445</v>
      </c>
      <c r="N278" s="234">
        <v>102.9345</v>
      </c>
      <c r="O278" s="235">
        <v>7.9299999999999995E-2</v>
      </c>
      <c r="P278" s="235">
        <v>2.8500000000000001E-2</v>
      </c>
      <c r="Q278" s="235">
        <v>-0.40899795501022496</v>
      </c>
      <c r="R278" s="234">
        <f>VLOOKUP(80424,U:AC,9,0)</f>
        <v>24</v>
      </c>
      <c r="S278" s="234">
        <f>VLOOKUP(8042,季財報!A:N,8,0)</f>
        <v>2</v>
      </c>
      <c r="T278" s="234">
        <v>10502</v>
      </c>
      <c r="U278" s="234">
        <v>62874</v>
      </c>
      <c r="V278" s="234" t="s">
        <v>3096</v>
      </c>
      <c r="W278" s="234" t="s">
        <v>3097</v>
      </c>
      <c r="X278" s="234">
        <v>2500</v>
      </c>
      <c r="Y278" s="234">
        <v>2500</v>
      </c>
      <c r="Z278" s="234">
        <v>0</v>
      </c>
      <c r="AA278" s="234">
        <v>0</v>
      </c>
      <c r="AB278" s="234">
        <v>2500</v>
      </c>
      <c r="AC278" s="234">
        <v>8</v>
      </c>
      <c r="AD278" s="234">
        <v>0</v>
      </c>
    </row>
    <row r="279" spans="1:30">
      <c r="A279" s="244" t="s">
        <v>2283</v>
      </c>
      <c r="B279" s="244" t="s">
        <v>349</v>
      </c>
      <c r="C279" s="244">
        <v>41301</v>
      </c>
      <c r="D279" s="245">
        <v>41999.000006736111</v>
      </c>
      <c r="E279" s="245">
        <v>43095.000006736111</v>
      </c>
      <c r="F279" s="246">
        <v>250000000</v>
      </c>
      <c r="G279" s="246">
        <v>250000000</v>
      </c>
      <c r="H279" s="243">
        <v>1</v>
      </c>
      <c r="I279" s="234">
        <v>658</v>
      </c>
      <c r="J279" s="234">
        <v>100</v>
      </c>
      <c r="K279" s="234">
        <v>69.599999999999994</v>
      </c>
      <c r="L279" s="234">
        <f>VLOOKUP(4130,收盤價!A:C,3,0)</f>
        <v>57.8</v>
      </c>
      <c r="M279" s="234">
        <v>1437</v>
      </c>
      <c r="N279" s="234">
        <v>100</v>
      </c>
      <c r="O279" s="235">
        <v>0</v>
      </c>
      <c r="P279" s="235">
        <v>-0.20419999999999999</v>
      </c>
      <c r="Q279" s="235">
        <v>-0.69589422407794022</v>
      </c>
      <c r="R279" s="234">
        <f>VLOOKUP(41301,U:AC,9,0)</f>
        <v>40</v>
      </c>
      <c r="S279" s="234">
        <f>VLOOKUP(4130,季財報!A:N,8,0)</f>
        <v>3</v>
      </c>
      <c r="T279" s="234">
        <v>10502</v>
      </c>
      <c r="U279" s="234">
        <v>62905</v>
      </c>
      <c r="V279" s="234" t="s">
        <v>3098</v>
      </c>
      <c r="W279" s="234" t="s">
        <v>3099</v>
      </c>
      <c r="X279" s="234">
        <v>209</v>
      </c>
      <c r="Y279" s="234">
        <v>212</v>
      </c>
      <c r="Z279" s="234">
        <v>-3</v>
      </c>
      <c r="AA279" s="234">
        <v>-1.42</v>
      </c>
      <c r="AB279" s="234">
        <v>2000</v>
      </c>
      <c r="AC279" s="234">
        <v>1</v>
      </c>
      <c r="AD279" s="234">
        <v>0</v>
      </c>
    </row>
    <row r="280" spans="1:30" hidden="1">
      <c r="A280" s="244" t="s">
        <v>2059</v>
      </c>
      <c r="B280" s="244" t="s">
        <v>2060</v>
      </c>
      <c r="C280" s="244">
        <v>14642</v>
      </c>
      <c r="D280" s="245">
        <v>42145.000006736111</v>
      </c>
      <c r="E280" s="245">
        <v>43241.000006736111</v>
      </c>
      <c r="F280" s="246">
        <v>250000000</v>
      </c>
      <c r="G280" s="246">
        <v>29100000</v>
      </c>
      <c r="H280" s="243">
        <v>0.12</v>
      </c>
      <c r="I280" s="234">
        <v>804</v>
      </c>
      <c r="J280" s="234">
        <v>170</v>
      </c>
      <c r="K280" s="234">
        <v>22.12</v>
      </c>
      <c r="L280" s="234">
        <f>VLOOKUP(1464,收盤價!A:C,3,0)</f>
        <v>37.549999999999997</v>
      </c>
      <c r="M280" s="234">
        <v>4521</v>
      </c>
      <c r="N280" s="234">
        <v>170.44170000000003</v>
      </c>
      <c r="O280" s="235">
        <v>-2.5999999999999999E-3</v>
      </c>
      <c r="P280" s="235">
        <v>0.4133</v>
      </c>
      <c r="Q280" s="235">
        <v>-0.22119000221190002</v>
      </c>
      <c r="R280" s="234">
        <f>VLOOKUP(14642,U:AC,9,0)</f>
        <v>15</v>
      </c>
      <c r="S280" s="234">
        <f>VLOOKUP(1464,季財報!A:N,8,0)</f>
        <v>1</v>
      </c>
      <c r="T280" s="234">
        <v>10502</v>
      </c>
      <c r="U280" s="234">
        <v>64141</v>
      </c>
      <c r="V280" s="234" t="s">
        <v>3100</v>
      </c>
      <c r="W280" s="234" t="s">
        <v>3101</v>
      </c>
      <c r="X280" s="234">
        <v>3488</v>
      </c>
      <c r="Y280" s="234">
        <v>4943</v>
      </c>
      <c r="Z280" s="234">
        <v>-1455</v>
      </c>
      <c r="AA280" s="234">
        <v>-29.44</v>
      </c>
      <c r="AB280" s="234">
        <v>8000</v>
      </c>
      <c r="AC280" s="234">
        <v>76</v>
      </c>
      <c r="AD280" s="234">
        <v>0</v>
      </c>
    </row>
    <row r="281" spans="1:30" hidden="1">
      <c r="A281" s="244" t="s">
        <v>2251</v>
      </c>
      <c r="B281" s="244" t="s">
        <v>1967</v>
      </c>
      <c r="C281" s="244">
        <v>35801</v>
      </c>
      <c r="D281" s="245">
        <v>42164.000006736111</v>
      </c>
      <c r="E281" s="245">
        <v>43260.000006736111</v>
      </c>
      <c r="F281" s="246">
        <v>100000000</v>
      </c>
      <c r="G281" s="246">
        <v>100000000</v>
      </c>
      <c r="H281" s="243">
        <v>1</v>
      </c>
      <c r="I281" s="234">
        <v>823</v>
      </c>
      <c r="J281" s="234">
        <v>128</v>
      </c>
      <c r="K281" s="234">
        <v>10</v>
      </c>
      <c r="L281" s="234">
        <f>VLOOKUP(3580,收盤價!A:C,3,0)</f>
        <v>13.1</v>
      </c>
      <c r="M281" s="234">
        <v>10000</v>
      </c>
      <c r="N281" s="234">
        <v>125</v>
      </c>
      <c r="O281" s="235">
        <v>2.3400000000000001E-2</v>
      </c>
      <c r="P281" s="235">
        <v>0.2</v>
      </c>
      <c r="Q281" s="235">
        <v>-0.1</v>
      </c>
      <c r="R281" s="234">
        <f>VLOOKUP(35801,U:AC,9,0)</f>
        <v>8</v>
      </c>
      <c r="S281" s="234">
        <f>VLOOKUP(3580,季財報!A:N,8,0)</f>
        <v>1</v>
      </c>
      <c r="T281" s="234">
        <v>10502</v>
      </c>
      <c r="U281" s="234">
        <v>65094</v>
      </c>
      <c r="V281" s="234" t="s">
        <v>3102</v>
      </c>
      <c r="W281" s="234" t="s">
        <v>3103</v>
      </c>
      <c r="X281" s="234">
        <v>3000</v>
      </c>
      <c r="Y281" s="234">
        <v>3000</v>
      </c>
      <c r="Z281" s="234">
        <v>0</v>
      </c>
      <c r="AA281" s="234">
        <v>0</v>
      </c>
      <c r="AB281" s="234">
        <v>3000</v>
      </c>
      <c r="AC281" s="234">
        <v>28</v>
      </c>
      <c r="AD281" s="234">
        <v>0</v>
      </c>
    </row>
    <row r="282" spans="1:30" hidden="1">
      <c r="A282" s="244" t="s">
        <v>2183</v>
      </c>
      <c r="B282" s="244" t="s">
        <v>265</v>
      </c>
      <c r="C282" s="244">
        <v>27341</v>
      </c>
      <c r="D282" s="245">
        <v>42150.000006736111</v>
      </c>
      <c r="E282" s="245">
        <v>43246.000006736111</v>
      </c>
      <c r="F282" s="246">
        <v>300000000</v>
      </c>
      <c r="G282" s="246">
        <v>300000000</v>
      </c>
      <c r="H282" s="243">
        <v>1</v>
      </c>
      <c r="I282" s="234">
        <v>809</v>
      </c>
      <c r="J282" s="234">
        <v>109</v>
      </c>
      <c r="K282" s="234">
        <v>36.200000000000003</v>
      </c>
      <c r="L282" s="234">
        <f>VLOOKUP(2734,收盤價!A:C,3,0)</f>
        <v>21.3</v>
      </c>
      <c r="M282" s="234">
        <v>2762</v>
      </c>
      <c r="N282" s="234">
        <v>100</v>
      </c>
      <c r="O282" s="235">
        <v>8.2600000000000007E-2</v>
      </c>
      <c r="P282" s="235">
        <v>-0.66059999999999997</v>
      </c>
      <c r="Q282" s="235">
        <v>-0.3620564808110065</v>
      </c>
      <c r="R282" s="234">
        <f>VLOOKUP(27341,U:AC,9,0)</f>
        <v>8</v>
      </c>
      <c r="S282" s="234">
        <f>VLOOKUP(2734,季財報!A:N,8,0)</f>
        <v>3</v>
      </c>
      <c r="T282" s="234">
        <v>10502</v>
      </c>
      <c r="U282" s="234">
        <v>66032</v>
      </c>
      <c r="V282" s="234" t="s">
        <v>3104</v>
      </c>
      <c r="W282" s="234" t="s">
        <v>3105</v>
      </c>
      <c r="X282" s="234">
        <v>3000</v>
      </c>
      <c r="Y282" s="234">
        <v>3000</v>
      </c>
      <c r="Z282" s="234">
        <v>0</v>
      </c>
      <c r="AA282" s="234">
        <v>0</v>
      </c>
      <c r="AB282" s="234">
        <v>3000</v>
      </c>
      <c r="AC282" s="234">
        <v>23</v>
      </c>
      <c r="AD282" s="234">
        <v>0</v>
      </c>
    </row>
    <row r="283" spans="1:30" hidden="1">
      <c r="A283" s="244" t="s">
        <v>2385</v>
      </c>
      <c r="B283" s="244" t="s">
        <v>1954</v>
      </c>
      <c r="C283" s="244">
        <v>62452</v>
      </c>
      <c r="D283" s="245">
        <v>41568.000006736111</v>
      </c>
      <c r="E283" s="245">
        <v>42664.000006736111</v>
      </c>
      <c r="F283" s="246">
        <v>400000000</v>
      </c>
      <c r="G283" s="246">
        <v>227700000</v>
      </c>
      <c r="H283" s="243">
        <v>0.56999999999999995</v>
      </c>
      <c r="I283" s="234">
        <v>227</v>
      </c>
      <c r="J283" s="234">
        <v>110</v>
      </c>
      <c r="K283" s="234">
        <v>39.799999999999997</v>
      </c>
      <c r="L283" s="234">
        <f>VLOOKUP(6245,收盤價!A:C,3,0)</f>
        <v>41.35</v>
      </c>
      <c r="M283" s="234">
        <v>2513</v>
      </c>
      <c r="N283" s="234">
        <v>102.65605000000001</v>
      </c>
      <c r="O283" s="235">
        <v>6.6799999999999998E-2</v>
      </c>
      <c r="P283" s="235">
        <v>2.5700000000000001E-2</v>
      </c>
      <c r="Q283" s="235">
        <v>-0.39793076004775169</v>
      </c>
      <c r="R283" s="234">
        <f>VLOOKUP(62452,U:AC,9,0)</f>
        <v>32</v>
      </c>
      <c r="S283" s="234">
        <f>VLOOKUP(6245,季財報!A:N,8,0)</f>
        <v>2</v>
      </c>
      <c r="T283" s="234">
        <v>10502</v>
      </c>
      <c r="U283" s="234">
        <v>67021</v>
      </c>
      <c r="V283" s="234" t="s">
        <v>3106</v>
      </c>
      <c r="W283" s="234" t="s">
        <v>3107</v>
      </c>
      <c r="X283" s="234">
        <v>1804</v>
      </c>
      <c r="Y283" s="234">
        <v>1804</v>
      </c>
      <c r="Z283" s="234">
        <v>0</v>
      </c>
      <c r="AA283" s="234">
        <v>0</v>
      </c>
      <c r="AB283" s="234">
        <v>10000</v>
      </c>
      <c r="AC283" s="234">
        <v>76</v>
      </c>
      <c r="AD283" s="234">
        <v>0</v>
      </c>
    </row>
    <row r="284" spans="1:30" hidden="1">
      <c r="A284" s="244" t="s">
        <v>2057</v>
      </c>
      <c r="B284" s="244" t="s">
        <v>2058</v>
      </c>
      <c r="C284" s="244">
        <v>14423</v>
      </c>
      <c r="D284" s="245">
        <v>42339.000006736111</v>
      </c>
      <c r="E284" s="245">
        <v>44166.000006736111</v>
      </c>
      <c r="F284" s="246">
        <v>800000000</v>
      </c>
      <c r="G284" s="246">
        <v>800000000</v>
      </c>
      <c r="H284" s="243">
        <v>1</v>
      </c>
      <c r="I284" s="234">
        <v>1729</v>
      </c>
      <c r="J284" s="234">
        <v>110</v>
      </c>
      <c r="K284" s="234">
        <v>17.899999999999999</v>
      </c>
      <c r="L284" s="234">
        <f>VLOOKUP(1442,收盤價!A:C,3,0)</f>
        <v>18.7</v>
      </c>
      <c r="M284" s="234">
        <v>5587</v>
      </c>
      <c r="N284" s="234">
        <v>100</v>
      </c>
      <c r="O284" s="235">
        <v>9.0899999999999995E-2</v>
      </c>
      <c r="P284" s="235">
        <v>-4.3700000000000003E-2</v>
      </c>
      <c r="Q284" s="235">
        <v>-0.17898693395382137</v>
      </c>
      <c r="R284" s="234">
        <f>VLOOKUP(14423,U:AC,9,0)</f>
        <v>13</v>
      </c>
      <c r="S284" s="234">
        <f>VLOOKUP(1442,季財報!A:N,8,0)</f>
        <v>0</v>
      </c>
      <c r="T284" s="234">
        <v>10502</v>
      </c>
      <c r="U284" s="234">
        <v>80271</v>
      </c>
      <c r="V284" s="234" t="s">
        <v>3108</v>
      </c>
      <c r="W284" s="234" t="s">
        <v>3109</v>
      </c>
      <c r="X284" s="234">
        <v>3000</v>
      </c>
      <c r="Y284" s="234">
        <v>3000</v>
      </c>
      <c r="Z284" s="234">
        <v>0</v>
      </c>
      <c r="AA284" s="234">
        <v>0</v>
      </c>
      <c r="AB284" s="234">
        <v>3000</v>
      </c>
      <c r="AC284" s="234">
        <v>13</v>
      </c>
      <c r="AD284" s="234">
        <v>0</v>
      </c>
    </row>
    <row r="285" spans="1:30" hidden="1">
      <c r="A285" s="244" t="s">
        <v>2391</v>
      </c>
      <c r="B285" s="244" t="s">
        <v>1993</v>
      </c>
      <c r="C285" s="244">
        <v>62754</v>
      </c>
      <c r="D285" s="245">
        <v>41473.000006736111</v>
      </c>
      <c r="E285" s="245">
        <v>42569.000006736111</v>
      </c>
      <c r="F285" s="246">
        <v>220000000</v>
      </c>
      <c r="G285" s="246">
        <v>141600000</v>
      </c>
      <c r="H285" s="243">
        <v>0.64</v>
      </c>
      <c r="I285" s="234">
        <v>132</v>
      </c>
      <c r="J285" s="234">
        <v>107</v>
      </c>
      <c r="K285" s="234">
        <v>13.5</v>
      </c>
      <c r="L285" s="234">
        <f>VLOOKUP(6275,收盤價!A:C,3,0)</f>
        <v>11.8</v>
      </c>
      <c r="M285" s="234">
        <v>7407</v>
      </c>
      <c r="N285" s="234">
        <v>100</v>
      </c>
      <c r="O285" s="235">
        <v>6.54E-2</v>
      </c>
      <c r="P285" s="235">
        <v>-0.1739</v>
      </c>
      <c r="Q285" s="235">
        <v>-0.13500742540839747</v>
      </c>
      <c r="R285" s="234">
        <f>VLOOKUP(62754,U:AC,9,0)</f>
        <v>16</v>
      </c>
      <c r="S285" s="234">
        <f>VLOOKUP(6275,季財報!A:N,8,0)</f>
        <v>1</v>
      </c>
      <c r="T285" s="234">
        <v>10502</v>
      </c>
      <c r="U285" s="234">
        <v>80381</v>
      </c>
      <c r="V285" s="234" t="s">
        <v>3110</v>
      </c>
      <c r="W285" s="234" t="s">
        <v>3111</v>
      </c>
      <c r="X285" s="234">
        <v>4000</v>
      </c>
      <c r="Y285" s="234">
        <v>4000</v>
      </c>
      <c r="Z285" s="234">
        <v>0</v>
      </c>
      <c r="AA285" s="234">
        <v>0</v>
      </c>
      <c r="AB285" s="234">
        <v>4000</v>
      </c>
      <c r="AC285" s="234">
        <v>20</v>
      </c>
      <c r="AD285" s="234">
        <v>0</v>
      </c>
    </row>
    <row r="286" spans="1:30" hidden="1">
      <c r="A286" s="244" t="s">
        <v>2437</v>
      </c>
      <c r="B286" s="244" t="s">
        <v>2438</v>
      </c>
      <c r="C286" s="244">
        <v>98021</v>
      </c>
      <c r="D286" s="245">
        <v>41572.000006736111</v>
      </c>
      <c r="E286" s="245">
        <v>42668.000006736111</v>
      </c>
      <c r="F286" s="246">
        <v>100000000</v>
      </c>
      <c r="G286" s="246">
        <v>21900000</v>
      </c>
      <c r="H286" s="243">
        <v>0.22</v>
      </c>
      <c r="I286" s="234">
        <v>231</v>
      </c>
      <c r="J286" s="234">
        <v>170</v>
      </c>
      <c r="K286" s="234">
        <v>33.200000000000003</v>
      </c>
      <c r="L286" s="234">
        <f>VLOOKUP(9802,收盤價!A:C,3,0)</f>
        <v>53</v>
      </c>
      <c r="M286" s="234">
        <v>3012</v>
      </c>
      <c r="N286" s="234">
        <v>156.624</v>
      </c>
      <c r="O286" s="235">
        <v>7.8700000000000006E-2</v>
      </c>
      <c r="P286" s="235">
        <v>0.36149999999999999</v>
      </c>
      <c r="Q286" s="235">
        <v>-0.3320053120849934</v>
      </c>
      <c r="R286" s="234">
        <f>VLOOKUP(98021,U:AC,9,0)</f>
        <v>5</v>
      </c>
      <c r="S286" s="234">
        <f>VLOOKUP(9802,季財報!A:N,8,0)</f>
        <v>2</v>
      </c>
      <c r="T286" s="234">
        <v>10502</v>
      </c>
      <c r="U286" s="234">
        <v>80423</v>
      </c>
      <c r="V286" s="234" t="s">
        <v>3112</v>
      </c>
      <c r="W286" s="234" t="s">
        <v>3113</v>
      </c>
      <c r="X286" s="234">
        <v>225</v>
      </c>
      <c r="Y286" s="234">
        <v>225</v>
      </c>
      <c r="Z286" s="234">
        <v>0</v>
      </c>
      <c r="AA286" s="234">
        <v>0</v>
      </c>
      <c r="AB286" s="234">
        <v>2500</v>
      </c>
      <c r="AC286" s="234">
        <v>17</v>
      </c>
      <c r="AD286" s="234">
        <v>0</v>
      </c>
    </row>
    <row r="287" spans="1:30">
      <c r="A287" s="244" t="s">
        <v>2399</v>
      </c>
      <c r="B287" s="244" t="s">
        <v>477</v>
      </c>
      <c r="C287" s="244">
        <v>65094</v>
      </c>
      <c r="D287" s="245">
        <v>41942.000006736111</v>
      </c>
      <c r="E287" s="245">
        <v>43038.000006736111</v>
      </c>
      <c r="F287" s="246">
        <v>300000000</v>
      </c>
      <c r="G287" s="246">
        <v>300000000</v>
      </c>
      <c r="H287" s="243">
        <v>1</v>
      </c>
      <c r="I287" s="234">
        <v>601</v>
      </c>
      <c r="J287" s="234">
        <v>110</v>
      </c>
      <c r="K287" s="234">
        <v>19.899999999999999</v>
      </c>
      <c r="L287" s="234">
        <f>VLOOKUP(6509,收盤價!A:C,3,0)</f>
        <v>20.2</v>
      </c>
      <c r="M287" s="234">
        <v>5025</v>
      </c>
      <c r="N287" s="234">
        <v>101.75624999999999</v>
      </c>
      <c r="O287" s="235">
        <v>7.4899999999999994E-2</v>
      </c>
      <c r="P287" s="235">
        <v>1.7299999999999999E-2</v>
      </c>
      <c r="Q287" s="235">
        <v>-0.19900497512437812</v>
      </c>
      <c r="R287" s="234">
        <f>VLOOKUP(65094,U:AC,9,0)</f>
        <v>28</v>
      </c>
      <c r="S287" s="234">
        <f>VLOOKUP(6509,季財報!A:N,8,0)</f>
        <v>3</v>
      </c>
      <c r="T287" s="234">
        <v>10502</v>
      </c>
      <c r="U287" s="234">
        <v>80424</v>
      </c>
      <c r="V287" s="234" t="s">
        <v>3114</v>
      </c>
      <c r="W287" s="234" t="s">
        <v>3113</v>
      </c>
      <c r="X287" s="234">
        <v>5000</v>
      </c>
      <c r="Y287" s="234">
        <v>5000</v>
      </c>
      <c r="Z287" s="234">
        <v>0</v>
      </c>
      <c r="AA287" s="234">
        <v>0</v>
      </c>
      <c r="AB287" s="234">
        <v>5000</v>
      </c>
      <c r="AC287" s="234">
        <v>24</v>
      </c>
      <c r="AD287" s="234">
        <v>0</v>
      </c>
    </row>
    <row r="288" spans="1:30" hidden="1">
      <c r="A288" s="244" t="s">
        <v>2292</v>
      </c>
      <c r="B288" s="244" t="s">
        <v>2293</v>
      </c>
      <c r="C288" s="244">
        <v>41642</v>
      </c>
      <c r="D288" s="245">
        <v>42318.000006736111</v>
      </c>
      <c r="E288" s="245">
        <v>43414.000006736111</v>
      </c>
      <c r="F288" s="246">
        <v>1000000000</v>
      </c>
      <c r="G288" s="246">
        <v>1000000000</v>
      </c>
      <c r="H288" s="243">
        <v>1</v>
      </c>
      <c r="I288" s="234">
        <v>977</v>
      </c>
      <c r="J288" s="234">
        <v>109.5</v>
      </c>
      <c r="K288" s="234">
        <v>58.4</v>
      </c>
      <c r="L288" s="234">
        <f>VLOOKUP(4164,收盤價!A:C,3,0)</f>
        <v>57.6</v>
      </c>
      <c r="M288" s="234">
        <v>1712</v>
      </c>
      <c r="N288" s="234">
        <v>100</v>
      </c>
      <c r="O288" s="235">
        <v>8.6800000000000002E-2</v>
      </c>
      <c r="P288" s="235">
        <v>-1.04E-2</v>
      </c>
      <c r="Q288" s="235">
        <v>-0.58411214953271029</v>
      </c>
      <c r="R288" s="234">
        <f>VLOOKUP(41642,U:AC,9,0)</f>
        <v>25</v>
      </c>
      <c r="S288" s="234">
        <f>VLOOKUP(4164,季財報!A:N,8,0)</f>
        <v>2</v>
      </c>
      <c r="T288" s="234">
        <v>10502</v>
      </c>
      <c r="U288" s="234">
        <v>80504</v>
      </c>
      <c r="V288" s="234" t="s">
        <v>3115</v>
      </c>
      <c r="W288" s="234" t="s">
        <v>3116</v>
      </c>
      <c r="X288" s="234">
        <v>1500</v>
      </c>
      <c r="Y288" s="234">
        <v>1500</v>
      </c>
      <c r="Z288" s="234">
        <v>0</v>
      </c>
      <c r="AA288" s="234">
        <v>0</v>
      </c>
      <c r="AB288" s="234">
        <v>1500</v>
      </c>
      <c r="AC288" s="234">
        <v>23</v>
      </c>
      <c r="AD288" s="234">
        <v>0</v>
      </c>
    </row>
    <row r="289" spans="1:30" hidden="1">
      <c r="A289" s="244" t="s">
        <v>2168</v>
      </c>
      <c r="B289" s="244" t="s">
        <v>2169</v>
      </c>
      <c r="C289" s="244">
        <v>26105</v>
      </c>
      <c r="D289" s="245">
        <v>41634.000006736111</v>
      </c>
      <c r="E289" s="245">
        <v>43460.000006736111</v>
      </c>
      <c r="F289" s="246">
        <v>6000000000</v>
      </c>
      <c r="G289" s="246">
        <v>2684300000</v>
      </c>
      <c r="H289" s="243">
        <v>0.45</v>
      </c>
      <c r="I289" s="234">
        <v>1023</v>
      </c>
      <c r="J289" s="234">
        <v>108.6</v>
      </c>
      <c r="K289" s="234">
        <v>12.24</v>
      </c>
      <c r="L289" s="234">
        <f>VLOOKUP(2610,收盤價!A:C,3,0)</f>
        <v>11.65</v>
      </c>
      <c r="M289" s="234">
        <v>8170</v>
      </c>
      <c r="N289" s="234">
        <v>100</v>
      </c>
      <c r="O289" s="235">
        <v>7.9200000000000007E-2</v>
      </c>
      <c r="P289" s="235">
        <v>-5.0599999999999999E-2</v>
      </c>
      <c r="Q289" s="235">
        <v>-0.12239902080783355</v>
      </c>
      <c r="R289" s="234">
        <f>VLOOKUP(26105,U:AC,9,0)</f>
        <v>69</v>
      </c>
      <c r="S289" s="234">
        <f>VLOOKUP(2610,季財報!A:N,8,0)</f>
        <v>4</v>
      </c>
      <c r="T289" s="234">
        <v>10502</v>
      </c>
      <c r="U289" s="234">
        <v>80745</v>
      </c>
      <c r="V289" s="234" t="s">
        <v>3117</v>
      </c>
      <c r="W289" s="234" t="s">
        <v>3118</v>
      </c>
      <c r="X289" s="234">
        <v>4336</v>
      </c>
      <c r="Y289" s="234">
        <v>4368</v>
      </c>
      <c r="Z289" s="234">
        <v>-32</v>
      </c>
      <c r="AA289" s="234">
        <v>-0.73</v>
      </c>
      <c r="AB289" s="234">
        <v>4500</v>
      </c>
      <c r="AC289" s="234">
        <v>17</v>
      </c>
      <c r="AD289" s="234">
        <v>0</v>
      </c>
    </row>
    <row r="290" spans="1:30" hidden="1">
      <c r="A290" s="244" t="s">
        <v>2260</v>
      </c>
      <c r="B290" s="244" t="s">
        <v>336</v>
      </c>
      <c r="C290" s="244">
        <v>36251</v>
      </c>
      <c r="D290" s="245">
        <v>42045.000006736111</v>
      </c>
      <c r="E290" s="245">
        <v>43141.000006736111</v>
      </c>
      <c r="F290" s="246">
        <v>200000000</v>
      </c>
      <c r="G290" s="246">
        <v>200000000</v>
      </c>
      <c r="H290" s="243">
        <v>1</v>
      </c>
      <c r="I290" s="234">
        <v>704</v>
      </c>
      <c r="J290" s="234">
        <v>109.8</v>
      </c>
      <c r="K290" s="234">
        <v>11.1</v>
      </c>
      <c r="L290" s="234">
        <f>VLOOKUP(3625,收盤價!A:C,3,0)</f>
        <v>9.0500000000000007</v>
      </c>
      <c r="M290" s="234">
        <v>9009</v>
      </c>
      <c r="N290" s="234">
        <v>100</v>
      </c>
      <c r="O290" s="235">
        <v>8.9300000000000004E-2</v>
      </c>
      <c r="P290" s="235">
        <v>-0.23880000000000001</v>
      </c>
      <c r="Q290" s="235">
        <v>-0.11100011100011101</v>
      </c>
      <c r="R290" s="234">
        <f>VLOOKUP(36251,U:AC,9,0)</f>
        <v>5</v>
      </c>
      <c r="S290" s="234">
        <f>VLOOKUP(3625,季財報!A:N,8,0)</f>
        <v>2</v>
      </c>
      <c r="T290" s="234">
        <v>10502</v>
      </c>
      <c r="U290" s="234">
        <v>81101</v>
      </c>
      <c r="V290" s="234" t="s">
        <v>3119</v>
      </c>
      <c r="W290" s="234" t="s">
        <v>3120</v>
      </c>
      <c r="X290" s="234">
        <v>6000</v>
      </c>
      <c r="Y290" s="234">
        <v>6000</v>
      </c>
      <c r="Z290" s="234">
        <v>0</v>
      </c>
      <c r="AA290" s="234">
        <v>0</v>
      </c>
      <c r="AB290" s="234">
        <v>6000</v>
      </c>
      <c r="AC290" s="234">
        <v>63</v>
      </c>
      <c r="AD290" s="234">
        <v>0</v>
      </c>
    </row>
    <row r="291" spans="1:30" hidden="1">
      <c r="A291" s="244" t="s">
        <v>2206</v>
      </c>
      <c r="B291" s="244" t="s">
        <v>2207</v>
      </c>
      <c r="C291" s="244">
        <v>30543</v>
      </c>
      <c r="D291" s="245">
        <v>41641.000006736111</v>
      </c>
      <c r="E291" s="245">
        <v>42737.000006736111</v>
      </c>
      <c r="F291" s="246">
        <v>350000000</v>
      </c>
      <c r="G291" s="246">
        <v>335900000</v>
      </c>
      <c r="H291" s="243">
        <v>0.96</v>
      </c>
      <c r="I291" s="234">
        <v>300</v>
      </c>
      <c r="J291" s="234">
        <v>109</v>
      </c>
      <c r="K291" s="234">
        <v>21.2</v>
      </c>
      <c r="L291" s="234">
        <f>VLOOKUP(3054,收盤價!A:C,3,0)</f>
        <v>20.75</v>
      </c>
      <c r="M291" s="234">
        <v>4717</v>
      </c>
      <c r="N291" s="234">
        <v>100</v>
      </c>
      <c r="O291" s="235">
        <v>8.2600000000000007E-2</v>
      </c>
      <c r="P291" s="235">
        <v>-2.4199999999999999E-2</v>
      </c>
      <c r="Q291" s="235">
        <v>-0.21199915200339198</v>
      </c>
      <c r="R291" s="234">
        <f>VLOOKUP(30543,U:AC,9,0)</f>
        <v>15</v>
      </c>
      <c r="S291" s="234">
        <f>VLOOKUP(3054,季財報!A:N,8,0)</f>
        <v>1</v>
      </c>
      <c r="T291" s="234">
        <v>10502</v>
      </c>
      <c r="U291" s="234">
        <v>81141</v>
      </c>
      <c r="V291" s="234" t="s">
        <v>3121</v>
      </c>
      <c r="W291" s="234" t="s">
        <v>3122</v>
      </c>
      <c r="X291" s="234">
        <v>8500</v>
      </c>
      <c r="Y291" s="234">
        <v>8500</v>
      </c>
      <c r="Z291" s="234">
        <v>0</v>
      </c>
      <c r="AA291" s="234">
        <v>0</v>
      </c>
      <c r="AB291" s="234">
        <v>8500</v>
      </c>
      <c r="AC291" s="234">
        <v>51</v>
      </c>
      <c r="AD291" s="234">
        <v>0</v>
      </c>
    </row>
    <row r="292" spans="1:30" hidden="1">
      <c r="A292" s="244" t="s">
        <v>2403</v>
      </c>
      <c r="B292" s="244" t="s">
        <v>1941</v>
      </c>
      <c r="C292" s="244">
        <v>80271</v>
      </c>
      <c r="D292" s="245">
        <v>42335.000006736111</v>
      </c>
      <c r="E292" s="245">
        <v>43431.000006736111</v>
      </c>
      <c r="F292" s="246">
        <v>300000000</v>
      </c>
      <c r="G292" s="246">
        <v>300000000</v>
      </c>
      <c r="H292" s="243">
        <v>1</v>
      </c>
      <c r="I292" s="234">
        <v>994</v>
      </c>
      <c r="J292" s="234">
        <v>108.8</v>
      </c>
      <c r="K292" s="234">
        <v>19.55</v>
      </c>
      <c r="L292" s="234">
        <f>VLOOKUP(8027,收盤價!A:C,3,0)</f>
        <v>18.899999999999999</v>
      </c>
      <c r="M292" s="234">
        <v>5115</v>
      </c>
      <c r="N292" s="234">
        <v>100</v>
      </c>
      <c r="O292" s="235">
        <v>8.09E-2</v>
      </c>
      <c r="P292" s="235">
        <v>-4.5499999999999999E-2</v>
      </c>
      <c r="Q292" s="235">
        <v>-0.19550342130987292</v>
      </c>
      <c r="R292" s="234">
        <f>VLOOKUP(80271,U:AC,9,0)</f>
        <v>13</v>
      </c>
      <c r="S292" s="234">
        <f>VLOOKUP(8027,季財報!A:N,8,0)</f>
        <v>2</v>
      </c>
      <c r="T292" s="234">
        <v>10502</v>
      </c>
      <c r="U292" s="234">
        <v>81471</v>
      </c>
      <c r="V292" s="234" t="s">
        <v>3123</v>
      </c>
      <c r="W292" s="234" t="s">
        <v>3124</v>
      </c>
      <c r="X292" s="234">
        <v>653</v>
      </c>
      <c r="Y292" s="234">
        <v>653</v>
      </c>
      <c r="Z292" s="234">
        <v>0</v>
      </c>
      <c r="AA292" s="234">
        <v>0</v>
      </c>
      <c r="AB292" s="234">
        <v>2000</v>
      </c>
      <c r="AC292" s="234">
        <v>13</v>
      </c>
      <c r="AD292" s="234">
        <v>0</v>
      </c>
    </row>
    <row r="293" spans="1:30" hidden="1">
      <c r="A293" s="244" t="s">
        <v>2249</v>
      </c>
      <c r="B293" s="244" t="s">
        <v>2250</v>
      </c>
      <c r="C293" s="244">
        <v>35762</v>
      </c>
      <c r="D293" s="245">
        <v>41548.000006736111</v>
      </c>
      <c r="E293" s="245">
        <v>42644.000006736111</v>
      </c>
      <c r="F293" s="246">
        <v>501500000</v>
      </c>
      <c r="G293" s="246">
        <v>54800000</v>
      </c>
      <c r="H293" s="243">
        <v>0.11</v>
      </c>
      <c r="I293" s="234">
        <v>207</v>
      </c>
      <c r="J293" s="234">
        <v>113</v>
      </c>
      <c r="K293" s="234">
        <v>28.16</v>
      </c>
      <c r="L293" s="234">
        <f>VLOOKUP(3576,收盤價!A:C,3,0)</f>
        <v>22.35</v>
      </c>
      <c r="M293" s="234">
        <v>3551</v>
      </c>
      <c r="N293" s="234">
        <v>100</v>
      </c>
      <c r="O293" s="235">
        <v>0.115</v>
      </c>
      <c r="P293" s="235">
        <v>-0.1832</v>
      </c>
      <c r="Q293" s="235">
        <v>-0.28161081385525205</v>
      </c>
      <c r="R293" s="234">
        <f>VLOOKUP(35762,U:AC,9,0)</f>
        <v>8</v>
      </c>
      <c r="S293" s="234">
        <f>VLOOKUP(3576,季財報!A:N,8,0)</f>
        <v>2</v>
      </c>
      <c r="T293" s="234">
        <v>10502</v>
      </c>
      <c r="U293" s="234">
        <v>81712</v>
      </c>
      <c r="V293" s="234" t="s">
        <v>3125</v>
      </c>
      <c r="W293" s="234" t="s">
        <v>3126</v>
      </c>
      <c r="X293" s="234">
        <v>1600</v>
      </c>
      <c r="Y293" s="234">
        <v>1600</v>
      </c>
      <c r="Z293" s="234">
        <v>0</v>
      </c>
      <c r="AA293" s="234">
        <v>0</v>
      </c>
      <c r="AB293" s="234">
        <v>1600</v>
      </c>
      <c r="AC293" s="234">
        <v>15</v>
      </c>
      <c r="AD293" s="234">
        <v>0</v>
      </c>
    </row>
    <row r="294" spans="1:30">
      <c r="A294" s="244" t="s">
        <v>2215</v>
      </c>
      <c r="B294" s="244" t="s">
        <v>1999</v>
      </c>
      <c r="C294" s="244">
        <v>31711</v>
      </c>
      <c r="D294" s="245">
        <v>41943.000006736111</v>
      </c>
      <c r="E294" s="245">
        <v>43039.000006736111</v>
      </c>
      <c r="F294" s="246">
        <v>200000000</v>
      </c>
      <c r="G294" s="246">
        <v>200000000</v>
      </c>
      <c r="H294" s="243">
        <v>1</v>
      </c>
      <c r="I294" s="234">
        <v>602</v>
      </c>
      <c r="J294" s="234">
        <v>110.1</v>
      </c>
      <c r="K294" s="234">
        <v>22.3</v>
      </c>
      <c r="L294" s="234">
        <f>VLOOKUP(3171,收盤價!A:C,3,0)</f>
        <v>19.95</v>
      </c>
      <c r="M294" s="234">
        <v>4484</v>
      </c>
      <c r="N294" s="234">
        <v>100</v>
      </c>
      <c r="O294" s="235">
        <v>9.1700000000000004E-2</v>
      </c>
      <c r="P294" s="235">
        <v>-0.14649999999999999</v>
      </c>
      <c r="Q294" s="235">
        <v>-0.22301516503122212</v>
      </c>
      <c r="R294" s="234">
        <f>VLOOKUP(31711,U:AC,9,0)</f>
        <v>8</v>
      </c>
      <c r="S294" s="234">
        <f>VLOOKUP(3171,季財報!A:N,8,0)</f>
        <v>3</v>
      </c>
      <c r="T294" s="234">
        <v>10502</v>
      </c>
      <c r="U294" s="234">
        <v>82773</v>
      </c>
      <c r="V294" s="234" t="s">
        <v>3127</v>
      </c>
      <c r="W294" s="234" t="s">
        <v>3128</v>
      </c>
      <c r="X294" s="234">
        <v>3000</v>
      </c>
      <c r="Y294" s="234">
        <v>3000</v>
      </c>
      <c r="Z294" s="234">
        <v>0</v>
      </c>
      <c r="AA294" s="234">
        <v>0</v>
      </c>
      <c r="AB294" s="234">
        <v>3000</v>
      </c>
      <c r="AC294" s="234">
        <v>21</v>
      </c>
      <c r="AD294" s="234">
        <v>0</v>
      </c>
    </row>
    <row r="295" spans="1:30" hidden="1">
      <c r="A295" s="244" t="s">
        <v>2059</v>
      </c>
      <c r="B295" s="244" t="s">
        <v>2060</v>
      </c>
      <c r="C295" s="244">
        <v>14641</v>
      </c>
      <c r="D295" s="245">
        <v>42144.000006736111</v>
      </c>
      <c r="E295" s="245">
        <v>43240.000006736111</v>
      </c>
      <c r="F295" s="246">
        <v>200000000</v>
      </c>
      <c r="G295" s="246">
        <v>120900000</v>
      </c>
      <c r="H295" s="243">
        <v>0.6</v>
      </c>
      <c r="I295" s="234">
        <v>803</v>
      </c>
      <c r="J295" s="234">
        <v>170</v>
      </c>
      <c r="K295" s="234">
        <v>22.68</v>
      </c>
      <c r="L295" s="234">
        <f>VLOOKUP(1464,收盤價!A:C,3,0)</f>
        <v>37.549999999999997</v>
      </c>
      <c r="M295" s="234">
        <v>4409</v>
      </c>
      <c r="N295" s="234">
        <v>166.2193</v>
      </c>
      <c r="O295" s="235">
        <v>2.2200000000000001E-2</v>
      </c>
      <c r="P295" s="235">
        <v>0.39839999999999998</v>
      </c>
      <c r="Q295" s="235">
        <v>-0.22680880018144703</v>
      </c>
      <c r="R295" s="234">
        <f>VLOOKUP(14641,U:AC,9,0)</f>
        <v>25</v>
      </c>
      <c r="S295" s="234">
        <f>VLOOKUP(1464,季財報!A:N,8,0)</f>
        <v>1</v>
      </c>
      <c r="T295" s="234">
        <v>10502</v>
      </c>
      <c r="U295" s="234">
        <v>83492</v>
      </c>
      <c r="V295" s="234" t="s">
        <v>3129</v>
      </c>
      <c r="W295" s="234" t="s">
        <v>3130</v>
      </c>
      <c r="X295" s="234">
        <v>10000</v>
      </c>
      <c r="Y295" s="234">
        <v>10000</v>
      </c>
      <c r="Z295" s="234">
        <v>0</v>
      </c>
      <c r="AA295" s="234">
        <v>0</v>
      </c>
      <c r="AB295" s="234">
        <v>10000</v>
      </c>
      <c r="AC295" s="234">
        <v>38</v>
      </c>
      <c r="AD295" s="234">
        <v>0</v>
      </c>
    </row>
    <row r="296" spans="1:30" hidden="1">
      <c r="A296" s="244" t="s">
        <v>2055</v>
      </c>
      <c r="B296" s="244" t="s">
        <v>2056</v>
      </c>
      <c r="C296" s="244">
        <v>14321</v>
      </c>
      <c r="D296" s="245">
        <v>42047.000006736111</v>
      </c>
      <c r="E296" s="245">
        <v>43143.000006736111</v>
      </c>
      <c r="F296" s="246">
        <v>250000000</v>
      </c>
      <c r="G296" s="246">
        <v>250000000</v>
      </c>
      <c r="H296" s="243">
        <v>1</v>
      </c>
      <c r="I296" s="234">
        <v>706</v>
      </c>
      <c r="J296" s="234">
        <v>113</v>
      </c>
      <c r="K296" s="234">
        <v>20.100000000000001</v>
      </c>
      <c r="L296" s="234">
        <f>VLOOKUP(1432,收盤價!A:C,3,0)</f>
        <v>21.95</v>
      </c>
      <c r="M296" s="234">
        <v>4975</v>
      </c>
      <c r="N296" s="234">
        <v>103.23125</v>
      </c>
      <c r="O296" s="235">
        <v>8.6400000000000005E-2</v>
      </c>
      <c r="P296" s="235">
        <v>3.1300000000000001E-2</v>
      </c>
      <c r="Q296" s="235">
        <v>-0.20100502512562815</v>
      </c>
      <c r="R296" s="234">
        <f>VLOOKUP(14321,U:AC,9,0)</f>
        <v>13</v>
      </c>
      <c r="S296" s="234">
        <f>VLOOKUP(1432,季財報!A:N,8,0)</f>
        <v>2</v>
      </c>
      <c r="T296" s="234">
        <v>10502</v>
      </c>
      <c r="U296" s="234">
        <v>84011</v>
      </c>
      <c r="V296" s="234" t="s">
        <v>3131</v>
      </c>
      <c r="W296" s="234" t="s">
        <v>3132</v>
      </c>
      <c r="X296" s="234">
        <v>642</v>
      </c>
      <c r="Y296" s="234">
        <v>642</v>
      </c>
      <c r="Z296" s="234">
        <v>0</v>
      </c>
      <c r="AA296" s="234">
        <v>0</v>
      </c>
      <c r="AB296" s="234">
        <v>2000</v>
      </c>
      <c r="AC296" s="234">
        <v>17</v>
      </c>
      <c r="AD296" s="234">
        <v>0</v>
      </c>
    </row>
    <row r="297" spans="1:30" hidden="1">
      <c r="A297" s="244" t="s">
        <v>2428</v>
      </c>
      <c r="B297" s="244" t="s">
        <v>500</v>
      </c>
      <c r="C297" s="244">
        <v>84311</v>
      </c>
      <c r="D297" s="245">
        <v>42293.000006736111</v>
      </c>
      <c r="E297" s="245">
        <v>43389.000006736111</v>
      </c>
      <c r="F297" s="246">
        <v>220000000</v>
      </c>
      <c r="G297" s="246">
        <v>220000000</v>
      </c>
      <c r="H297" s="243">
        <v>1</v>
      </c>
      <c r="I297" s="234">
        <v>952</v>
      </c>
      <c r="J297" s="234">
        <v>149</v>
      </c>
      <c r="K297" s="234">
        <v>67.5</v>
      </c>
      <c r="L297" s="234">
        <f>VLOOKUP(8431,收盤價!A:C,3,0)</f>
        <v>101</v>
      </c>
      <c r="M297" s="234">
        <v>1481</v>
      </c>
      <c r="N297" s="234">
        <v>140.69499999999999</v>
      </c>
      <c r="O297" s="235">
        <v>5.57E-2</v>
      </c>
      <c r="P297" s="235">
        <v>0.28949999999999998</v>
      </c>
      <c r="Q297" s="235">
        <v>-0.67521944632005404</v>
      </c>
      <c r="R297" s="234">
        <f>VLOOKUP(84311,U:AC,9,0)</f>
        <v>16</v>
      </c>
      <c r="S297" s="234">
        <f>VLOOKUP(8431,季財報!A:N,8,0)</f>
        <v>1</v>
      </c>
      <c r="T297" s="234">
        <v>10502</v>
      </c>
      <c r="U297" s="234">
        <v>84032</v>
      </c>
      <c r="V297" s="234" t="s">
        <v>3133</v>
      </c>
      <c r="W297" s="234" t="s">
        <v>3134</v>
      </c>
      <c r="X297" s="234">
        <v>419</v>
      </c>
      <c r="Y297" s="234">
        <v>464</v>
      </c>
      <c r="Z297" s="234">
        <v>-45</v>
      </c>
      <c r="AA297" s="234">
        <v>-9.6999999999999993</v>
      </c>
      <c r="AB297" s="234">
        <v>5000</v>
      </c>
      <c r="AC297" s="234">
        <v>27</v>
      </c>
      <c r="AD297" s="234">
        <v>0</v>
      </c>
    </row>
    <row r="298" spans="1:30">
      <c r="A298" s="244" t="s">
        <v>2307</v>
      </c>
      <c r="B298" s="244" t="s">
        <v>375</v>
      </c>
      <c r="C298" s="244">
        <v>47362</v>
      </c>
      <c r="D298" s="245">
        <v>42079.000006736111</v>
      </c>
      <c r="E298" s="245">
        <v>43906.000006736111</v>
      </c>
      <c r="F298" s="246">
        <v>600000000</v>
      </c>
      <c r="G298" s="246">
        <v>600000000</v>
      </c>
      <c r="H298" s="243">
        <v>1</v>
      </c>
      <c r="I298" s="234">
        <v>1469</v>
      </c>
      <c r="J298" s="234">
        <v>112</v>
      </c>
      <c r="K298" s="234">
        <v>126.06</v>
      </c>
      <c r="L298" s="234">
        <f>VLOOKUP(4736,收盤價!A:C,3,0)</f>
        <v>110</v>
      </c>
      <c r="M298" s="234">
        <v>793</v>
      </c>
      <c r="N298" s="234">
        <v>100</v>
      </c>
      <c r="O298" s="235">
        <v>0.1071</v>
      </c>
      <c r="P298" s="235">
        <v>-0.14599999999999999</v>
      </c>
      <c r="Q298" s="235">
        <v>-1.2610340479192939</v>
      </c>
      <c r="R298" s="234">
        <f>VLOOKUP(47362,U:AC,9,0)</f>
        <v>12</v>
      </c>
      <c r="S298" s="234">
        <f>VLOOKUP(4736,季財報!A:N,8,0)</f>
        <v>5</v>
      </c>
      <c r="T298" s="234">
        <v>10502</v>
      </c>
      <c r="U298" s="234">
        <v>84061</v>
      </c>
      <c r="V298" s="234" t="s">
        <v>3135</v>
      </c>
      <c r="W298" s="234" t="s">
        <v>3136</v>
      </c>
      <c r="X298" s="234">
        <v>9716</v>
      </c>
      <c r="Y298" s="234">
        <v>9716</v>
      </c>
      <c r="Z298" s="234">
        <v>0</v>
      </c>
      <c r="AA298" s="234">
        <v>0</v>
      </c>
      <c r="AB298" s="234">
        <v>20000</v>
      </c>
      <c r="AC298" s="234">
        <v>62</v>
      </c>
      <c r="AD298" s="234">
        <v>0</v>
      </c>
    </row>
    <row r="299" spans="1:30" hidden="1">
      <c r="A299" s="244" t="s">
        <v>2204</v>
      </c>
      <c r="B299" s="244" t="s">
        <v>2205</v>
      </c>
      <c r="C299" s="244">
        <v>30481</v>
      </c>
      <c r="D299" s="245">
        <v>41831.000006736111</v>
      </c>
      <c r="E299" s="245">
        <v>42927.000006736111</v>
      </c>
      <c r="F299" s="246">
        <v>300000000</v>
      </c>
      <c r="G299" s="246">
        <v>111300000</v>
      </c>
      <c r="H299" s="243">
        <v>0.37</v>
      </c>
      <c r="I299" s="234">
        <v>490</v>
      </c>
      <c r="J299" s="234">
        <v>112</v>
      </c>
      <c r="K299" s="234">
        <v>20.2</v>
      </c>
      <c r="L299" s="234">
        <f>VLOOKUP(3048,收盤價!A:C,3,0)</f>
        <v>18.95</v>
      </c>
      <c r="M299" s="234">
        <v>4950</v>
      </c>
      <c r="N299" s="234">
        <v>100</v>
      </c>
      <c r="O299" s="235">
        <v>0.1071</v>
      </c>
      <c r="P299" s="235">
        <v>-6.6000000000000003E-2</v>
      </c>
      <c r="Q299" s="235">
        <v>-0.20202020202020202</v>
      </c>
      <c r="R299" s="234">
        <f>VLOOKUP(30481,U:AC,9,0)</f>
        <v>14</v>
      </c>
      <c r="S299" s="234">
        <f>VLOOKUP(3048,季財報!A:N,8,0)</f>
        <v>2</v>
      </c>
      <c r="T299" s="234">
        <v>10502</v>
      </c>
      <c r="U299" s="234">
        <v>84111</v>
      </c>
      <c r="V299" s="234" t="s">
        <v>3137</v>
      </c>
      <c r="W299" s="234" t="s">
        <v>3138</v>
      </c>
      <c r="X299" s="234">
        <v>501</v>
      </c>
      <c r="Y299" s="234">
        <v>501</v>
      </c>
      <c r="Z299" s="234">
        <v>0</v>
      </c>
      <c r="AA299" s="234">
        <v>0</v>
      </c>
      <c r="AB299" s="234">
        <v>10000</v>
      </c>
      <c r="AC299" s="234">
        <v>3</v>
      </c>
      <c r="AD299" s="234">
        <v>0</v>
      </c>
    </row>
    <row r="300" spans="1:30">
      <c r="A300" s="244" t="s">
        <v>2328</v>
      </c>
      <c r="B300" s="244" t="s">
        <v>2329</v>
      </c>
      <c r="C300" s="244">
        <v>52151</v>
      </c>
      <c r="D300" s="245">
        <v>42164.000006736111</v>
      </c>
      <c r="E300" s="245">
        <v>43260.000006736111</v>
      </c>
      <c r="F300" s="246">
        <v>150000000</v>
      </c>
      <c r="G300" s="246">
        <v>150000000</v>
      </c>
      <c r="H300" s="243">
        <v>1</v>
      </c>
      <c r="I300" s="234">
        <v>823</v>
      </c>
      <c r="J300" s="234">
        <v>113</v>
      </c>
      <c r="K300" s="234">
        <v>41.6</v>
      </c>
      <c r="L300" s="234">
        <f>VLOOKUP(5215,收盤價!A:C,3,0)</f>
        <v>40.15</v>
      </c>
      <c r="M300" s="234">
        <v>2404</v>
      </c>
      <c r="N300" s="234">
        <v>100</v>
      </c>
      <c r="O300" s="235">
        <v>0.115</v>
      </c>
      <c r="P300" s="235">
        <v>-3.8699999999999998E-2</v>
      </c>
      <c r="Q300" s="235">
        <v>-0.41597337770382697</v>
      </c>
      <c r="R300" s="234">
        <f>VLOOKUP(52151,U:AC,9,0)</f>
        <v>7</v>
      </c>
      <c r="S300" s="234">
        <f>VLOOKUP(5215,季財報!A:N,8,0)</f>
        <v>4</v>
      </c>
      <c r="T300" s="234">
        <v>10502</v>
      </c>
      <c r="U300" s="234">
        <v>84211</v>
      </c>
      <c r="V300" s="234" t="s">
        <v>3139</v>
      </c>
      <c r="W300" s="234" t="s">
        <v>3140</v>
      </c>
      <c r="X300" s="234">
        <v>1500</v>
      </c>
      <c r="Y300" s="234">
        <v>1500</v>
      </c>
      <c r="Z300" s="234">
        <v>0</v>
      </c>
      <c r="AA300" s="234">
        <v>0</v>
      </c>
      <c r="AB300" s="234">
        <v>1500</v>
      </c>
      <c r="AC300" s="234">
        <v>11</v>
      </c>
      <c r="AD300" s="234">
        <v>0</v>
      </c>
    </row>
    <row r="301" spans="1:30" hidden="1">
      <c r="A301" s="244" t="s">
        <v>2374</v>
      </c>
      <c r="B301" s="244" t="s">
        <v>1972</v>
      </c>
      <c r="C301" s="244">
        <v>61801</v>
      </c>
      <c r="D301" s="245">
        <v>42200.000006736111</v>
      </c>
      <c r="E301" s="245">
        <v>43296.000006736111</v>
      </c>
      <c r="F301" s="246">
        <v>700000000</v>
      </c>
      <c r="G301" s="246">
        <v>700000000</v>
      </c>
      <c r="H301" s="243">
        <v>1</v>
      </c>
      <c r="I301" s="234">
        <v>865</v>
      </c>
      <c r="J301" s="234">
        <v>109</v>
      </c>
      <c r="K301" s="234">
        <v>40.700000000000003</v>
      </c>
      <c r="L301" s="234">
        <f>VLOOKUP(6180,收盤價!A:C,3,0)</f>
        <v>38.65</v>
      </c>
      <c r="M301" s="234">
        <v>2457</v>
      </c>
      <c r="N301" s="234">
        <v>100</v>
      </c>
      <c r="O301" s="235">
        <v>8.2600000000000007E-2</v>
      </c>
      <c r="P301" s="235">
        <v>-7.1099999999999997E-2</v>
      </c>
      <c r="Q301" s="235">
        <v>-0.40700040700040702</v>
      </c>
      <c r="R301" s="234">
        <f>VLOOKUP(61801,U:AC,9,0)</f>
        <v>22</v>
      </c>
      <c r="S301" s="234">
        <f>VLOOKUP(6180,季財報!A:N,8,0)</f>
        <v>2</v>
      </c>
      <c r="T301" s="234">
        <v>10502</v>
      </c>
      <c r="U301" s="234">
        <v>84291</v>
      </c>
      <c r="V301" s="234" t="s">
        <v>3141</v>
      </c>
      <c r="W301" s="234" t="s">
        <v>3142</v>
      </c>
      <c r="X301" s="234">
        <v>4895</v>
      </c>
      <c r="Y301" s="234">
        <v>9313</v>
      </c>
      <c r="Z301" s="234">
        <v>-4418</v>
      </c>
      <c r="AA301" s="234">
        <v>-47.44</v>
      </c>
      <c r="AB301" s="234">
        <v>12000</v>
      </c>
      <c r="AC301" s="234">
        <v>8</v>
      </c>
      <c r="AD301" s="234">
        <v>0</v>
      </c>
    </row>
    <row r="302" spans="1:30">
      <c r="A302" s="244" t="s">
        <v>2279</v>
      </c>
      <c r="B302" s="244" t="s">
        <v>1943</v>
      </c>
      <c r="C302" s="244">
        <v>41145</v>
      </c>
      <c r="D302" s="245">
        <v>41950.000006736111</v>
      </c>
      <c r="E302" s="245">
        <v>43776.000006736111</v>
      </c>
      <c r="F302" s="246">
        <v>500000000</v>
      </c>
      <c r="G302" s="246">
        <v>500000000</v>
      </c>
      <c r="H302" s="243">
        <v>1</v>
      </c>
      <c r="I302" s="234">
        <v>1345</v>
      </c>
      <c r="J302" s="234">
        <v>114</v>
      </c>
      <c r="K302" s="234">
        <v>36.61</v>
      </c>
      <c r="L302" s="234">
        <f>VLOOKUP(4114,收盤價!A:C,3,0)</f>
        <v>33.450000000000003</v>
      </c>
      <c r="M302" s="234">
        <v>2731</v>
      </c>
      <c r="N302" s="234">
        <v>100</v>
      </c>
      <c r="O302" s="235">
        <v>0.12280000000000001</v>
      </c>
      <c r="P302" s="235">
        <v>-0.1128</v>
      </c>
      <c r="Q302" s="235">
        <v>-0.36616623947272064</v>
      </c>
      <c r="R302" s="234">
        <f>VLOOKUP(41145,U:AC,9,0)</f>
        <v>16</v>
      </c>
      <c r="S302" s="234">
        <f>VLOOKUP(4114,季財報!A:N,8,0)</f>
        <v>3</v>
      </c>
      <c r="T302" s="234">
        <v>10502</v>
      </c>
      <c r="U302" s="234">
        <v>84311</v>
      </c>
      <c r="V302" s="234" t="s">
        <v>3143</v>
      </c>
      <c r="W302" s="234" t="s">
        <v>3144</v>
      </c>
      <c r="X302" s="234">
        <v>2200</v>
      </c>
      <c r="Y302" s="234">
        <v>2200</v>
      </c>
      <c r="Z302" s="234">
        <v>0</v>
      </c>
      <c r="AA302" s="234">
        <v>0</v>
      </c>
      <c r="AB302" s="234">
        <v>2200</v>
      </c>
      <c r="AC302" s="234">
        <v>16</v>
      </c>
      <c r="AD302" s="234">
        <v>0</v>
      </c>
    </row>
    <row r="303" spans="1:30" hidden="1">
      <c r="A303" s="244" t="s">
        <v>2405</v>
      </c>
      <c r="B303" s="244" t="s">
        <v>1757</v>
      </c>
      <c r="C303" s="244">
        <v>80423</v>
      </c>
      <c r="D303" s="245">
        <v>41211.000006736111</v>
      </c>
      <c r="E303" s="245">
        <v>43037.000006736111</v>
      </c>
      <c r="F303" s="246">
        <v>250000000</v>
      </c>
      <c r="G303" s="246">
        <v>22500000</v>
      </c>
      <c r="H303" s="243">
        <v>0.09</v>
      </c>
      <c r="I303" s="234">
        <v>606</v>
      </c>
      <c r="J303" s="234">
        <v>143</v>
      </c>
      <c r="K303" s="234">
        <v>32.4</v>
      </c>
      <c r="L303" s="234">
        <f>VLOOKUP(8042,收盤價!A:C,3,0)</f>
        <v>42.1</v>
      </c>
      <c r="M303" s="234">
        <v>3086</v>
      </c>
      <c r="N303" s="234">
        <v>131.155</v>
      </c>
      <c r="O303" s="235">
        <v>8.2799999999999999E-2</v>
      </c>
      <c r="P303" s="235">
        <v>0.23760000000000001</v>
      </c>
      <c r="Q303" s="235">
        <v>-0.32404406999351909</v>
      </c>
      <c r="R303" s="234">
        <f>VLOOKUP(80423,U:AC,9,0)</f>
        <v>17</v>
      </c>
      <c r="S303" s="234">
        <f>VLOOKUP(8042,季財報!A:N,8,0)</f>
        <v>2</v>
      </c>
      <c r="T303" s="234">
        <v>10502</v>
      </c>
      <c r="U303" s="234">
        <v>84361</v>
      </c>
      <c r="V303" s="234" t="s">
        <v>3145</v>
      </c>
      <c r="W303" s="234" t="s">
        <v>3146</v>
      </c>
      <c r="X303" s="234">
        <v>597</v>
      </c>
      <c r="Y303" s="234">
        <v>837</v>
      </c>
      <c r="Z303" s="234">
        <v>-240</v>
      </c>
      <c r="AA303" s="234">
        <v>-28.67</v>
      </c>
      <c r="AB303" s="234">
        <v>5000</v>
      </c>
      <c r="AC303" s="234">
        <v>25</v>
      </c>
      <c r="AD303" s="234">
        <v>0</v>
      </c>
    </row>
    <row r="304" spans="1:30" hidden="1">
      <c r="A304" s="244" t="s">
        <v>2174</v>
      </c>
      <c r="B304" s="244" t="s">
        <v>1997</v>
      </c>
      <c r="C304" s="244">
        <v>26362</v>
      </c>
      <c r="D304" s="245">
        <v>41662.000006736111</v>
      </c>
      <c r="E304" s="245">
        <v>42758.000006736111</v>
      </c>
      <c r="F304" s="246">
        <v>300000000</v>
      </c>
      <c r="G304" s="246">
        <v>111500000</v>
      </c>
      <c r="H304" s="243">
        <v>0.37</v>
      </c>
      <c r="I304" s="234">
        <v>327</v>
      </c>
      <c r="J304" s="234">
        <v>134.15</v>
      </c>
      <c r="K304" s="234">
        <v>23.5</v>
      </c>
      <c r="L304" s="234">
        <f>VLOOKUP(2636,收盤價!A:C,3,0)</f>
        <v>29.25</v>
      </c>
      <c r="M304" s="234">
        <v>4255</v>
      </c>
      <c r="N304" s="234">
        <v>119.35275</v>
      </c>
      <c r="O304" s="235">
        <v>0.1103</v>
      </c>
      <c r="P304" s="235">
        <v>0.16220000000000001</v>
      </c>
      <c r="Q304" s="235">
        <v>-0.23501762632197415</v>
      </c>
      <c r="R304" s="234">
        <f>VLOOKUP(26362,U:AC,9,0)</f>
        <v>10</v>
      </c>
      <c r="S304" s="234">
        <f>VLOOKUP(2636,季財報!A:N,8,0)</f>
        <v>2</v>
      </c>
      <c r="T304" s="234">
        <v>10502</v>
      </c>
      <c r="U304" s="234">
        <v>84501</v>
      </c>
      <c r="V304" s="234" t="s">
        <v>3147</v>
      </c>
      <c r="W304" s="234" t="s">
        <v>3148</v>
      </c>
      <c r="X304" s="234">
        <v>5970</v>
      </c>
      <c r="Y304" s="234">
        <v>5970</v>
      </c>
      <c r="Z304" s="234">
        <v>0</v>
      </c>
      <c r="AA304" s="234">
        <v>0</v>
      </c>
      <c r="AB304" s="234">
        <v>6000</v>
      </c>
      <c r="AC304" s="234">
        <v>125</v>
      </c>
      <c r="AD304" s="234">
        <v>0</v>
      </c>
    </row>
    <row r="305" spans="1:30" hidden="1">
      <c r="A305" s="244" t="s">
        <v>2153</v>
      </c>
      <c r="B305" s="244" t="s">
        <v>2154</v>
      </c>
      <c r="C305" s="244">
        <v>25281</v>
      </c>
      <c r="D305" s="245">
        <v>41023.000006736111</v>
      </c>
      <c r="E305" s="245">
        <v>42849.000006736111</v>
      </c>
      <c r="F305" s="246">
        <v>407000000</v>
      </c>
      <c r="G305" s="246">
        <v>196200000</v>
      </c>
      <c r="H305" s="243">
        <v>0.48</v>
      </c>
      <c r="I305" s="234">
        <v>418</v>
      </c>
      <c r="J305" s="234">
        <v>116.5</v>
      </c>
      <c r="K305" s="234">
        <v>9.5</v>
      </c>
      <c r="L305" s="234">
        <f>VLOOKUP(2528,收盤價!A:C,3,0)</f>
        <v>6.66</v>
      </c>
      <c r="M305" s="234">
        <v>10526</v>
      </c>
      <c r="N305" s="234">
        <v>100</v>
      </c>
      <c r="O305" s="235">
        <v>0.1416</v>
      </c>
      <c r="P305" s="235">
        <v>-0.4798</v>
      </c>
      <c r="Q305" s="235">
        <v>-9.5002850085502563E-2</v>
      </c>
      <c r="R305" s="234">
        <f>VLOOKUP(25281,U:AC,9,0)</f>
        <v>6</v>
      </c>
      <c r="S305" s="234">
        <f>VLOOKUP(2528,季財報!A:N,8,0)</f>
        <v>0</v>
      </c>
      <c r="T305" s="234">
        <v>10502</v>
      </c>
      <c r="U305" s="234">
        <v>89332</v>
      </c>
      <c r="V305" s="234" t="s">
        <v>3149</v>
      </c>
      <c r="W305" s="234" t="s">
        <v>3150</v>
      </c>
      <c r="X305" s="234">
        <v>2000</v>
      </c>
      <c r="Y305" s="234">
        <v>2000</v>
      </c>
      <c r="Z305" s="234">
        <v>0</v>
      </c>
      <c r="AA305" s="234">
        <v>0</v>
      </c>
      <c r="AB305" s="234">
        <v>2000</v>
      </c>
      <c r="AC305" s="234">
        <v>11</v>
      </c>
      <c r="AD305" s="234">
        <v>0</v>
      </c>
    </row>
    <row r="306" spans="1:30" hidden="1">
      <c r="A306" s="244" t="s">
        <v>2434</v>
      </c>
      <c r="B306" s="244" t="s">
        <v>1823</v>
      </c>
      <c r="C306" s="244">
        <v>89424</v>
      </c>
      <c r="D306" s="245">
        <v>41032.000006736111</v>
      </c>
      <c r="E306" s="245">
        <v>42858.000006736111</v>
      </c>
      <c r="F306" s="246">
        <v>1200000000</v>
      </c>
      <c r="G306" s="246">
        <v>544600000</v>
      </c>
      <c r="H306" s="243">
        <v>0.45</v>
      </c>
      <c r="I306" s="234">
        <v>427</v>
      </c>
      <c r="J306" s="234">
        <v>165</v>
      </c>
      <c r="K306" s="234">
        <v>55.4</v>
      </c>
      <c r="L306" s="234">
        <f>VLOOKUP(8942,收盤價!A:C,3,0)</f>
        <v>93.2</v>
      </c>
      <c r="M306" s="234">
        <v>1805</v>
      </c>
      <c r="N306" s="234">
        <v>168.58699999999999</v>
      </c>
      <c r="O306" s="235">
        <v>-2.1700000000000001E-2</v>
      </c>
      <c r="P306" s="235">
        <v>0.40689999999999998</v>
      </c>
      <c r="Q306" s="235">
        <v>-0.554016620498615</v>
      </c>
      <c r="R306" s="234">
        <f>VLOOKUP(89424,U:AC,9,0)</f>
        <v>15</v>
      </c>
      <c r="S306" s="234">
        <f>VLOOKUP(8942,季財報!A:N,8,0)</f>
        <v>3</v>
      </c>
      <c r="T306" s="234">
        <v>10502</v>
      </c>
      <c r="U306" s="234">
        <v>89333</v>
      </c>
      <c r="V306" s="234" t="s">
        <v>3151</v>
      </c>
      <c r="W306" s="234" t="s">
        <v>3150</v>
      </c>
      <c r="X306" s="234">
        <v>554</v>
      </c>
      <c r="Y306" s="234">
        <v>900</v>
      </c>
      <c r="Z306" s="234">
        <v>-346</v>
      </c>
      <c r="AA306" s="234">
        <v>-38.44</v>
      </c>
      <c r="AB306" s="234">
        <v>1000</v>
      </c>
      <c r="AC306" s="234">
        <v>8</v>
      </c>
      <c r="AD306" s="234">
        <v>0</v>
      </c>
    </row>
    <row r="307" spans="1:30" hidden="1">
      <c r="A307" s="244" t="s">
        <v>2217</v>
      </c>
      <c r="B307" s="244" t="s">
        <v>1469</v>
      </c>
      <c r="C307" s="244">
        <v>32242</v>
      </c>
      <c r="D307" s="245">
        <v>41844.000006736111</v>
      </c>
      <c r="E307" s="245">
        <v>42940.000006736111</v>
      </c>
      <c r="F307" s="246">
        <v>150000000</v>
      </c>
      <c r="G307" s="246">
        <v>150000000</v>
      </c>
      <c r="H307" s="243">
        <v>1</v>
      </c>
      <c r="I307" s="234">
        <v>509</v>
      </c>
      <c r="J307" s="234">
        <v>119</v>
      </c>
      <c r="K307" s="234">
        <v>37.35</v>
      </c>
      <c r="L307" s="234">
        <f>VLOOKUP(3224,收盤價!A:C,3,0)</f>
        <v>32.65</v>
      </c>
      <c r="M307" s="234">
        <v>2677</v>
      </c>
      <c r="N307" s="234">
        <v>100</v>
      </c>
      <c r="O307" s="235">
        <v>0.15970000000000001</v>
      </c>
      <c r="P307" s="235">
        <v>-0.2029</v>
      </c>
      <c r="Q307" s="235">
        <v>-0.37355248412401942</v>
      </c>
      <c r="R307" s="234">
        <f>VLOOKUP(32242,U:AC,9,0)</f>
        <v>6</v>
      </c>
      <c r="S307" s="234">
        <f>VLOOKUP(3224,季財報!A:N,8,0)</f>
        <v>2</v>
      </c>
      <c r="T307" s="234">
        <v>10502</v>
      </c>
      <c r="U307" s="234">
        <v>89364</v>
      </c>
      <c r="V307" s="234" t="s">
        <v>3152</v>
      </c>
      <c r="W307" s="234" t="s">
        <v>3153</v>
      </c>
      <c r="X307" s="234">
        <v>6000</v>
      </c>
      <c r="Y307" s="234">
        <v>6000</v>
      </c>
      <c r="Z307" s="234">
        <v>0</v>
      </c>
      <c r="AA307" s="234">
        <v>0</v>
      </c>
      <c r="AB307" s="234">
        <v>6000</v>
      </c>
      <c r="AC307" s="234">
        <v>22</v>
      </c>
      <c r="AD307" s="234">
        <v>0</v>
      </c>
    </row>
    <row r="308" spans="1:30" hidden="1">
      <c r="A308" s="244" t="s">
        <v>2290</v>
      </c>
      <c r="B308" s="244" t="s">
        <v>1944</v>
      </c>
      <c r="C308" s="244">
        <v>41611</v>
      </c>
      <c r="D308" s="245">
        <v>41656.000006736111</v>
      </c>
      <c r="E308" s="245">
        <v>42752.000006736111</v>
      </c>
      <c r="F308" s="246">
        <v>250000000</v>
      </c>
      <c r="G308" s="246">
        <v>38500000</v>
      </c>
      <c r="H308" s="243">
        <v>0.15</v>
      </c>
      <c r="I308" s="234">
        <v>321</v>
      </c>
      <c r="J308" s="234">
        <v>125</v>
      </c>
      <c r="K308" s="234">
        <v>56.8</v>
      </c>
      <c r="L308" s="234">
        <f>VLOOKUP(4161,收盤價!A:C,3,0)</f>
        <v>59.7</v>
      </c>
      <c r="M308" s="234">
        <v>1761</v>
      </c>
      <c r="N308" s="234">
        <v>104.7795</v>
      </c>
      <c r="O308" s="235">
        <v>0.1618</v>
      </c>
      <c r="P308" s="235">
        <v>4.5400000000000003E-2</v>
      </c>
      <c r="Q308" s="235">
        <v>-0.56785917092561045</v>
      </c>
      <c r="R308" s="234">
        <f>VLOOKUP(41611,U:AC,9,0)</f>
        <v>4</v>
      </c>
      <c r="S308" s="234">
        <f>VLOOKUP(4161,季財報!A:N,8,0)</f>
        <v>2</v>
      </c>
      <c r="T308" s="234">
        <v>10502</v>
      </c>
      <c r="U308" s="234">
        <v>89424</v>
      </c>
      <c r="V308" s="234" t="s">
        <v>3154</v>
      </c>
      <c r="W308" s="234" t="s">
        <v>3155</v>
      </c>
      <c r="X308" s="234">
        <v>5446</v>
      </c>
      <c r="Y308" s="234">
        <v>5446</v>
      </c>
      <c r="Z308" s="234">
        <v>0</v>
      </c>
      <c r="AA308" s="234">
        <v>0</v>
      </c>
      <c r="AB308" s="234">
        <v>12000</v>
      </c>
      <c r="AC308" s="234">
        <v>15</v>
      </c>
      <c r="AD308" s="234">
        <v>0</v>
      </c>
    </row>
    <row r="309" spans="1:30" hidden="1">
      <c r="A309" s="244" t="s">
        <v>2380</v>
      </c>
      <c r="B309" s="244" t="s">
        <v>454</v>
      </c>
      <c r="C309" s="244">
        <v>62207</v>
      </c>
      <c r="D309" s="245">
        <v>41593.000006736111</v>
      </c>
      <c r="E309" s="245">
        <v>42689.000006736111</v>
      </c>
      <c r="F309" s="246">
        <v>200000000</v>
      </c>
      <c r="G309" s="246">
        <v>8800000</v>
      </c>
      <c r="H309" s="243">
        <v>0.04</v>
      </c>
      <c r="I309" s="234">
        <v>258</v>
      </c>
      <c r="J309" s="234">
        <v>140.69999999999999</v>
      </c>
      <c r="K309" s="234">
        <v>12.18</v>
      </c>
      <c r="L309" s="234">
        <f>VLOOKUP(6220,收盤價!A:C,3,0)</f>
        <v>14.95</v>
      </c>
      <c r="M309" s="234">
        <v>8210</v>
      </c>
      <c r="N309" s="234">
        <v>121.91849999999999</v>
      </c>
      <c r="O309" s="235">
        <v>0.13350000000000001</v>
      </c>
      <c r="P309" s="235">
        <v>0.17979999999999999</v>
      </c>
      <c r="Q309" s="235">
        <v>-0.1218026796589525</v>
      </c>
      <c r="R309" s="234">
        <f>VLOOKUP(62207,U:AC,9,0)</f>
        <v>7</v>
      </c>
      <c r="S309" s="234">
        <f>VLOOKUP(6220,季財報!A:N,8,0)</f>
        <v>5</v>
      </c>
      <c r="T309" s="234">
        <v>10502</v>
      </c>
      <c r="U309" s="234">
        <v>89963</v>
      </c>
      <c r="V309" s="234" t="s">
        <v>3156</v>
      </c>
      <c r="W309" s="234" t="s">
        <v>3157</v>
      </c>
      <c r="X309" s="234">
        <v>621</v>
      </c>
      <c r="Y309" s="234">
        <v>621</v>
      </c>
      <c r="Z309" s="234">
        <v>0</v>
      </c>
      <c r="AA309" s="234">
        <v>0</v>
      </c>
      <c r="AB309" s="234">
        <v>1000</v>
      </c>
      <c r="AC309" s="234">
        <v>13</v>
      </c>
      <c r="AD309" s="234">
        <v>0</v>
      </c>
    </row>
    <row r="310" spans="1:30" hidden="1">
      <c r="A310" s="244" t="s">
        <v>2380</v>
      </c>
      <c r="B310" s="244" t="s">
        <v>454</v>
      </c>
      <c r="C310" s="244">
        <v>62206</v>
      </c>
      <c r="D310" s="245">
        <v>41465.000006736111</v>
      </c>
      <c r="E310" s="245">
        <v>42561.000006736111</v>
      </c>
      <c r="F310" s="246">
        <v>100000000</v>
      </c>
      <c r="G310" s="246">
        <v>15100000</v>
      </c>
      <c r="H310" s="243">
        <v>0.15</v>
      </c>
      <c r="I310" s="234">
        <v>130</v>
      </c>
      <c r="J310" s="234">
        <v>125</v>
      </c>
      <c r="K310" s="234">
        <v>11.9</v>
      </c>
      <c r="L310" s="234">
        <f>VLOOKUP(6220,收盤價!A:C,3,0)</f>
        <v>14.95</v>
      </c>
      <c r="M310" s="234">
        <v>8403</v>
      </c>
      <c r="N310" s="234">
        <v>124.78455</v>
      </c>
      <c r="O310" s="235">
        <v>1.6999999999999999E-3</v>
      </c>
      <c r="P310" s="235">
        <v>0.19869999999999999</v>
      </c>
      <c r="Q310" s="235">
        <v>-0.11900511722004047</v>
      </c>
      <c r="R310" s="234">
        <f>VLOOKUP(62206,U:AC,9,0)</f>
        <v>7</v>
      </c>
      <c r="S310" s="234">
        <f>VLOOKUP(6220,季財報!A:N,8,0)</f>
        <v>5</v>
      </c>
      <c r="T310" s="234">
        <v>10502</v>
      </c>
      <c r="U310" s="234">
        <v>98021</v>
      </c>
      <c r="V310" s="234" t="s">
        <v>3158</v>
      </c>
      <c r="W310" s="234" t="s">
        <v>3159</v>
      </c>
      <c r="X310" s="234">
        <v>219</v>
      </c>
      <c r="Y310" s="234">
        <v>219</v>
      </c>
      <c r="Z310" s="234">
        <v>0</v>
      </c>
      <c r="AA310" s="234">
        <v>0</v>
      </c>
      <c r="AB310" s="234">
        <v>1000</v>
      </c>
      <c r="AC310" s="234">
        <v>5</v>
      </c>
      <c r="AD310" s="234">
        <v>0</v>
      </c>
    </row>
    <row r="311" spans="1:30" hidden="1">
      <c r="A311" s="244" t="s">
        <v>2387</v>
      </c>
      <c r="B311" s="244" t="s">
        <v>2388</v>
      </c>
      <c r="C311" s="244">
        <v>62693</v>
      </c>
      <c r="D311" s="245">
        <v>41872.000006736111</v>
      </c>
      <c r="E311" s="245">
        <v>42968.000006736111</v>
      </c>
      <c r="F311" s="246">
        <v>2000000000</v>
      </c>
      <c r="G311" s="246">
        <v>763300000</v>
      </c>
      <c r="H311" s="243">
        <v>0.38</v>
      </c>
      <c r="I311" s="234">
        <v>537</v>
      </c>
      <c r="J311" s="234">
        <v>146</v>
      </c>
      <c r="K311" s="234">
        <v>67.900000000000006</v>
      </c>
      <c r="L311" s="234">
        <f>VLOOKUP(6269,收盤價!A:C,3,0)</f>
        <v>87.6</v>
      </c>
      <c r="M311" s="234">
        <v>1473</v>
      </c>
      <c r="N311" s="234">
        <v>120.93329999999999</v>
      </c>
      <c r="O311" s="235">
        <v>0.17169999999999999</v>
      </c>
      <c r="P311" s="235">
        <v>0.17299999999999999</v>
      </c>
      <c r="Q311" s="235">
        <v>-0.67888662593346905</v>
      </c>
      <c r="R311" s="234">
        <f>VLOOKUP(62693,U:AC,9,0)</f>
        <v>29</v>
      </c>
      <c r="S311" s="234">
        <f>VLOOKUP(6269,季財報!A:N,8,0)</f>
        <v>2</v>
      </c>
      <c r="T311" s="234">
        <v>10502</v>
      </c>
      <c r="U311" s="234">
        <v>98022</v>
      </c>
      <c r="V311" s="234" t="s">
        <v>3160</v>
      </c>
      <c r="W311" s="234" t="s">
        <v>3159</v>
      </c>
      <c r="X311" s="234">
        <v>193</v>
      </c>
      <c r="Y311" s="234">
        <v>193</v>
      </c>
      <c r="Z311" s="234">
        <v>0</v>
      </c>
      <c r="AA311" s="234">
        <v>0</v>
      </c>
      <c r="AB311" s="234">
        <v>4000</v>
      </c>
      <c r="AC311" s="234">
        <v>6</v>
      </c>
      <c r="AD311" s="234">
        <v>0</v>
      </c>
    </row>
    <row r="312" spans="1:30" hidden="1">
      <c r="A312" s="244" t="s">
        <v>2219</v>
      </c>
      <c r="B312" s="244" t="s">
        <v>289</v>
      </c>
      <c r="C312" s="244">
        <v>32523</v>
      </c>
      <c r="D312" s="245">
        <v>41788.000006736111</v>
      </c>
      <c r="E312" s="245">
        <v>42884.000006736111</v>
      </c>
      <c r="F312" s="246">
        <v>200000000</v>
      </c>
      <c r="G312" s="246">
        <v>200000000</v>
      </c>
      <c r="H312" s="243">
        <v>1</v>
      </c>
      <c r="I312" s="234">
        <v>453</v>
      </c>
      <c r="J312" s="234">
        <v>130</v>
      </c>
      <c r="K312" s="234">
        <v>44.8</v>
      </c>
      <c r="L312" s="234">
        <f>VLOOKUP(3252,收盤價!A:C,3,0)</f>
        <v>18.649999999999999</v>
      </c>
      <c r="M312" s="234">
        <v>2232</v>
      </c>
      <c r="N312" s="234">
        <v>100</v>
      </c>
      <c r="O312" s="235">
        <v>0.23080000000000001</v>
      </c>
      <c r="P312" s="235">
        <v>-1.3454999999999999</v>
      </c>
      <c r="Q312" s="235">
        <v>-0.44802867383512546</v>
      </c>
      <c r="R312" s="234">
        <f>VLOOKUP(32523,U:AC,9,0)</f>
        <v>10</v>
      </c>
      <c r="S312" s="234">
        <f>VLOOKUP(3252,季財報!A:N,8,0)</f>
        <v>1</v>
      </c>
      <c r="T312" s="234">
        <v>10502</v>
      </c>
      <c r="U312" s="234">
        <v>99342</v>
      </c>
      <c r="V312" s="234" t="s">
        <v>3161</v>
      </c>
      <c r="W312" s="234" t="s">
        <v>3162</v>
      </c>
      <c r="X312" s="234">
        <v>2028</v>
      </c>
      <c r="Y312" s="234">
        <v>2028</v>
      </c>
      <c r="Z312" s="234">
        <v>0</v>
      </c>
      <c r="AA312" s="234">
        <v>0</v>
      </c>
      <c r="AB312" s="234">
        <v>16500</v>
      </c>
      <c r="AC312" s="234">
        <v>30</v>
      </c>
      <c r="AD312" s="234">
        <v>0</v>
      </c>
    </row>
    <row r="313" spans="1:30" hidden="1">
      <c r="A313" s="244" t="s">
        <v>2090</v>
      </c>
      <c r="B313" s="244" t="s">
        <v>2091</v>
      </c>
      <c r="C313" s="244">
        <v>17151</v>
      </c>
      <c r="D313" s="245">
        <v>40801.000006736111</v>
      </c>
      <c r="E313" s="245">
        <v>42628.000006736111</v>
      </c>
      <c r="F313" s="246">
        <v>1000000000</v>
      </c>
      <c r="G313" s="246">
        <v>11700000</v>
      </c>
      <c r="H313" s="243">
        <v>0.01</v>
      </c>
      <c r="I313" s="234">
        <v>197</v>
      </c>
      <c r="J313" s="234">
        <v>140.30000000000001</v>
      </c>
      <c r="K313" s="234">
        <v>10.97</v>
      </c>
      <c r="L313" s="234">
        <f>VLOOKUP(1715,收盤價!A:C,3,0)</f>
        <v>12.35</v>
      </c>
      <c r="M313" s="234">
        <v>9116</v>
      </c>
      <c r="N313" s="234">
        <v>105.7456</v>
      </c>
      <c r="O313" s="235">
        <v>0.24629999999999999</v>
      </c>
      <c r="P313" s="235">
        <v>5.4300000000000001E-2</v>
      </c>
      <c r="Q313" s="235">
        <v>-0.10969723562966212</v>
      </c>
      <c r="R313" s="234">
        <f>VLOOKUP(17151,U:AC,9,0)</f>
        <v>6</v>
      </c>
      <c r="S313" s="234">
        <f>VLOOKUP(1715,季財報!A:N,8,0)</f>
        <v>5</v>
      </c>
      <c r="T313" s="234">
        <v>10502</v>
      </c>
      <c r="U313" s="234">
        <v>99391</v>
      </c>
      <c r="V313" s="234" t="s">
        <v>3163</v>
      </c>
      <c r="W313" s="234" t="s">
        <v>3164</v>
      </c>
      <c r="X313" s="234">
        <v>5755</v>
      </c>
      <c r="Y313" s="234">
        <v>5755</v>
      </c>
      <c r="Z313" s="234">
        <v>0</v>
      </c>
      <c r="AA313" s="234">
        <v>0</v>
      </c>
      <c r="AB313" s="234">
        <v>10000</v>
      </c>
      <c r="AC313" s="234">
        <v>39</v>
      </c>
      <c r="AD313" s="234">
        <v>0</v>
      </c>
    </row>
    <row r="314" spans="1:30" hidden="1">
      <c r="A314" s="244" t="s">
        <v>2414</v>
      </c>
      <c r="B314" s="244" t="s">
        <v>1989</v>
      </c>
      <c r="C314" s="244">
        <v>81471</v>
      </c>
      <c r="D314" s="245">
        <v>42034.000006736111</v>
      </c>
      <c r="E314" s="245">
        <v>43130.000006736111</v>
      </c>
      <c r="F314" s="246">
        <v>200000000</v>
      </c>
      <c r="G314" s="246">
        <v>65300000</v>
      </c>
      <c r="H314" s="243">
        <v>0.33</v>
      </c>
      <c r="I314" s="234">
        <v>699</v>
      </c>
      <c r="J314" s="234">
        <v>155</v>
      </c>
      <c r="K314" s="234">
        <v>37.1</v>
      </c>
      <c r="L314" s="234">
        <f>VLOOKUP(8147,收盤價!A:C,3,0)</f>
        <v>45.5</v>
      </c>
      <c r="M314" s="234">
        <v>2695</v>
      </c>
      <c r="N314" s="234">
        <v>118.04099999999998</v>
      </c>
      <c r="O314" s="235">
        <v>0.2384</v>
      </c>
      <c r="P314" s="235">
        <v>0.153</v>
      </c>
      <c r="Q314" s="235">
        <v>-0.3710575139146568</v>
      </c>
      <c r="R314" s="234">
        <f>VLOOKUP(81471,U:AC,9,0)</f>
        <v>13</v>
      </c>
      <c r="S314" s="234">
        <f>VLOOKUP(8147,季財報!A:N,8,0)</f>
        <v>2</v>
      </c>
      <c r="T314" s="234">
        <v>10502</v>
      </c>
      <c r="U314" s="234">
        <v>99411</v>
      </c>
      <c r="V314" s="234" t="s">
        <v>3165</v>
      </c>
      <c r="W314" s="234" t="s">
        <v>3166</v>
      </c>
      <c r="X314" s="234">
        <v>3670</v>
      </c>
      <c r="Y314" s="234">
        <v>3748</v>
      </c>
      <c r="Z314" s="234">
        <v>-78</v>
      </c>
      <c r="AA314" s="234">
        <v>-2.08</v>
      </c>
      <c r="AB314" s="234">
        <v>25000</v>
      </c>
      <c r="AC314" s="234">
        <v>84</v>
      </c>
      <c r="AD314" s="234">
        <v>0</v>
      </c>
    </row>
    <row r="315" spans="1:30" hidden="1">
      <c r="A315" s="244" t="s">
        <v>2304</v>
      </c>
      <c r="B315" s="244" t="s">
        <v>2305</v>
      </c>
      <c r="C315" s="244">
        <v>47331</v>
      </c>
      <c r="D315" s="245">
        <v>41509.000006736111</v>
      </c>
      <c r="E315" s="245">
        <v>43335.000006736111</v>
      </c>
      <c r="F315" s="246">
        <v>710000000</v>
      </c>
      <c r="G315" s="246">
        <v>215100000</v>
      </c>
      <c r="H315" s="243">
        <v>0.3</v>
      </c>
      <c r="I315" s="234">
        <v>904</v>
      </c>
      <c r="J315" s="234">
        <v>632</v>
      </c>
      <c r="K315" s="234">
        <v>38.6</v>
      </c>
      <c r="L315" s="234">
        <f>VLOOKUP(4733,收盤價!A:C,3,0)</f>
        <v>153</v>
      </c>
      <c r="M315" s="234">
        <v>2591</v>
      </c>
      <c r="N315" s="234">
        <v>369.21749999999997</v>
      </c>
      <c r="O315" s="235">
        <v>0.4158</v>
      </c>
      <c r="P315" s="235">
        <v>0.72909999999999997</v>
      </c>
      <c r="Q315" s="235">
        <v>-0.38595137012736397</v>
      </c>
      <c r="R315" s="234">
        <f>VLOOKUP(47331,U:AC,9,0)</f>
        <v>8</v>
      </c>
      <c r="S315" s="234">
        <f>VLOOKUP(4733,季財報!A:N,8,0)</f>
        <v>2</v>
      </c>
      <c r="T315" s="234">
        <v>10502</v>
      </c>
      <c r="U315" s="234">
        <v>99442</v>
      </c>
      <c r="V315" s="234" t="s">
        <v>3167</v>
      </c>
      <c r="W315" s="234" t="s">
        <v>3168</v>
      </c>
      <c r="X315" s="234">
        <v>1391</v>
      </c>
      <c r="Y315" s="234">
        <v>1391</v>
      </c>
      <c r="Z315" s="234">
        <v>0</v>
      </c>
      <c r="AA315" s="234">
        <v>0</v>
      </c>
      <c r="AB315" s="234">
        <v>3500</v>
      </c>
      <c r="AC315" s="234">
        <v>10</v>
      </c>
      <c r="AD315" s="234">
        <v>0</v>
      </c>
    </row>
    <row r="316" spans="1:30" hidden="1">
      <c r="A316" s="244" t="s">
        <v>2372</v>
      </c>
      <c r="B316" s="244" t="s">
        <v>2373</v>
      </c>
      <c r="C316" s="244">
        <v>61774</v>
      </c>
      <c r="D316" s="245">
        <v>41144.000006736111</v>
      </c>
      <c r="E316" s="245">
        <v>42970.000006736111</v>
      </c>
      <c r="F316" s="246">
        <v>500000000</v>
      </c>
      <c r="G316" s="246">
        <v>295500000</v>
      </c>
      <c r="H316" s="243">
        <v>0.59</v>
      </c>
      <c r="I316" s="234">
        <v>539</v>
      </c>
      <c r="J316" s="234">
        <v>183</v>
      </c>
      <c r="K316" s="234">
        <v>17.05</v>
      </c>
      <c r="L316" s="234">
        <f>VLOOKUP(6177,收盤價!A:C,3,0)</f>
        <v>21.65</v>
      </c>
      <c r="M316" s="234">
        <v>5865</v>
      </c>
      <c r="N316" s="234">
        <v>111.435</v>
      </c>
      <c r="O316" s="235">
        <v>0.3911</v>
      </c>
      <c r="P316" s="235">
        <v>0.1026</v>
      </c>
      <c r="Q316" s="235">
        <v>-0.17050298380221654</v>
      </c>
      <c r="R316" s="234">
        <f>VLOOKUP(61774,U:AC,9,0)</f>
        <v>12</v>
      </c>
      <c r="S316" s="234">
        <f>VLOOKUP(6177,季財報!A:N,8,0)</f>
        <v>0</v>
      </c>
      <c r="T316" s="234" t="s">
        <v>3169</v>
      </c>
    </row>
    <row r="317" spans="1:30" hidden="1">
      <c r="A317" s="244" t="s">
        <v>2359</v>
      </c>
      <c r="B317" s="244" t="s">
        <v>2360</v>
      </c>
      <c r="C317" s="244">
        <v>61312</v>
      </c>
      <c r="D317" s="245">
        <v>41823.000006736111</v>
      </c>
      <c r="E317" s="245">
        <v>42919.000006736111</v>
      </c>
      <c r="F317" s="246">
        <v>200000000</v>
      </c>
      <c r="G317" s="246">
        <v>109700000</v>
      </c>
      <c r="H317" s="243">
        <v>0.55000000000000004</v>
      </c>
      <c r="I317" s="234">
        <v>488</v>
      </c>
      <c r="J317" s="234">
        <v>165</v>
      </c>
      <c r="K317" s="234">
        <v>16.399999999999999</v>
      </c>
      <c r="L317" s="234">
        <f>VLOOKUP(6131,收盤價!A:C,3,0)</f>
        <v>10.45</v>
      </c>
      <c r="M317" s="234">
        <v>6098</v>
      </c>
      <c r="N317" s="234">
        <v>100</v>
      </c>
      <c r="O317" s="235">
        <v>0.39389999999999997</v>
      </c>
      <c r="P317" s="235">
        <v>-0.63180000000000003</v>
      </c>
      <c r="Q317" s="235">
        <v>-0.16398819285011479</v>
      </c>
      <c r="R317" s="234">
        <f>VLOOKUP(61312,U:AC,9,0)</f>
        <v>5</v>
      </c>
      <c r="S317" s="234">
        <f>VLOOKUP(6131,季財報!A:N,8,0)</f>
        <v>3</v>
      </c>
    </row>
    <row r="318" spans="1:30" hidden="1">
      <c r="A318" s="244" t="s">
        <v>2308</v>
      </c>
      <c r="B318" s="244" t="s">
        <v>1593</v>
      </c>
      <c r="C318" s="244">
        <v>47391</v>
      </c>
      <c r="D318" s="245">
        <v>41150.000006736111</v>
      </c>
      <c r="E318" s="245">
        <v>42976.000006736111</v>
      </c>
      <c r="F318" s="246">
        <v>400000000</v>
      </c>
      <c r="G318" s="246">
        <v>33100000</v>
      </c>
      <c r="H318" s="243">
        <v>0.08</v>
      </c>
      <c r="I318" s="234">
        <v>545</v>
      </c>
      <c r="J318" s="234">
        <v>343</v>
      </c>
      <c r="K318" s="234">
        <v>18.8</v>
      </c>
      <c r="L318" s="234">
        <f>VLOOKUP(4739,收盤價!A:C,3,0)</f>
        <v>42.1</v>
      </c>
      <c r="M318" s="234">
        <v>5319</v>
      </c>
      <c r="N318" s="234">
        <v>208.50480000000002</v>
      </c>
      <c r="O318" s="235">
        <v>0.3921</v>
      </c>
      <c r="P318" s="235">
        <v>0.52039999999999997</v>
      </c>
      <c r="Q318" s="235">
        <v>-0.1880052641473961</v>
      </c>
      <c r="R318" s="234">
        <f>VLOOKUP(47391,U:AC,9,0)</f>
        <v>4</v>
      </c>
      <c r="S318" s="234">
        <f>VLOOKUP(4739,季財報!A:N,8,0)</f>
        <v>1</v>
      </c>
    </row>
    <row r="319" spans="1:30" hidden="1">
      <c r="A319" s="244" t="s">
        <v>2214</v>
      </c>
      <c r="B319" s="244" t="s">
        <v>277</v>
      </c>
      <c r="C319" s="244">
        <v>31631</v>
      </c>
      <c r="D319" s="245">
        <v>41463.000006736111</v>
      </c>
      <c r="E319" s="245">
        <v>43289.000006736111</v>
      </c>
      <c r="F319" s="246">
        <v>200000000</v>
      </c>
      <c r="G319" s="246">
        <v>32300000</v>
      </c>
      <c r="H319" s="243">
        <v>0.16</v>
      </c>
      <c r="I319" s="234">
        <v>858</v>
      </c>
      <c r="J319" s="234">
        <v>189</v>
      </c>
      <c r="K319" s="234">
        <v>35.79</v>
      </c>
      <c r="L319" s="234">
        <f>VLOOKUP(3163,收盤價!A:C,3,0)</f>
        <v>42.5</v>
      </c>
      <c r="M319" s="234">
        <v>2794</v>
      </c>
      <c r="N319" s="234">
        <v>106.7308</v>
      </c>
      <c r="O319" s="235">
        <v>0.43530000000000002</v>
      </c>
      <c r="P319" s="235">
        <v>6.3100000000000003E-2</v>
      </c>
      <c r="Q319" s="235">
        <v>-0.35790980672870437</v>
      </c>
      <c r="R319" s="234">
        <f>VLOOKUP(31631,U:AC,9,0)</f>
        <v>7</v>
      </c>
      <c r="S319" s="234">
        <f>VLOOKUP(3163,季財報!A:N,8,0)</f>
        <v>1</v>
      </c>
    </row>
    <row r="320" spans="1:30" hidden="1">
      <c r="A320" s="244" t="s">
        <v>2219</v>
      </c>
      <c r="B320" s="244" t="s">
        <v>289</v>
      </c>
      <c r="C320" s="244">
        <v>32522</v>
      </c>
      <c r="D320" s="245">
        <v>41582.000006736111</v>
      </c>
      <c r="E320" s="245">
        <v>42678.000006736111</v>
      </c>
      <c r="F320" s="246">
        <v>200000000</v>
      </c>
      <c r="G320" s="246">
        <v>157800000</v>
      </c>
      <c r="H320" s="243">
        <v>0.79</v>
      </c>
      <c r="I320" s="234">
        <v>247</v>
      </c>
      <c r="J320" s="234">
        <v>205</v>
      </c>
      <c r="K320" s="234">
        <v>24.7</v>
      </c>
      <c r="L320" s="234">
        <f>VLOOKUP(3252,收盤價!A:C,3,0)</f>
        <v>18.649999999999999</v>
      </c>
      <c r="M320" s="234">
        <v>4049</v>
      </c>
      <c r="N320" s="234">
        <v>100</v>
      </c>
      <c r="O320" s="235">
        <v>0.51219999999999999</v>
      </c>
      <c r="P320" s="235">
        <v>-0.29320000000000002</v>
      </c>
      <c r="Q320" s="235">
        <v>-0.2469745616201531</v>
      </c>
      <c r="R320" s="234">
        <f>VLOOKUP(32522,U:AC,9,0)</f>
        <v>4</v>
      </c>
      <c r="S320" s="234">
        <f>VLOOKUP(3252,季財報!A:N,8,0)</f>
        <v>1</v>
      </c>
    </row>
    <row r="321" spans="1:19" hidden="1">
      <c r="A321" s="244" t="s">
        <v>2090</v>
      </c>
      <c r="B321" s="244" t="s">
        <v>2091</v>
      </c>
      <c r="C321" s="244">
        <v>17150</v>
      </c>
      <c r="D321" s="245">
        <v>42137.000006736111</v>
      </c>
      <c r="E321" s="245">
        <v>43233.000006736111</v>
      </c>
      <c r="F321" s="246">
        <v>200000000</v>
      </c>
      <c r="G321" s="246">
        <v>200000000</v>
      </c>
      <c r="H321" s="243">
        <v>1</v>
      </c>
      <c r="I321" s="234">
        <v>802</v>
      </c>
      <c r="R321" s="234" t="e">
        <f>VLOOKUP(17150,U:AC,9,0)</f>
        <v>#N/A</v>
      </c>
      <c r="S321" s="234">
        <f>VLOOKUP(1715,季財報!A:N,8,0)</f>
        <v>5</v>
      </c>
    </row>
    <row r="322" spans="1:19" hidden="1">
      <c r="A322" s="244" t="s">
        <v>2496</v>
      </c>
      <c r="B322" s="244" t="s">
        <v>2102</v>
      </c>
      <c r="C322" s="244">
        <v>20224</v>
      </c>
      <c r="D322" s="245">
        <v>41547.000006736111</v>
      </c>
      <c r="E322" s="245">
        <v>42643.000006736111</v>
      </c>
      <c r="F322" s="246">
        <v>300000000</v>
      </c>
      <c r="G322" s="246">
        <v>0</v>
      </c>
      <c r="H322" s="243">
        <v>0</v>
      </c>
      <c r="I322" s="234">
        <v>212</v>
      </c>
      <c r="R322" s="234" t="e">
        <f>VLOOKUP(20224,U:AC,9,0)</f>
        <v>#N/A</v>
      </c>
      <c r="S322" s="234">
        <f>VLOOKUP(2022,季財報!A:N,8,0)</f>
        <v>1</v>
      </c>
    </row>
    <row r="323" spans="1:19" hidden="1">
      <c r="A323" s="244" t="s">
        <v>2111</v>
      </c>
      <c r="B323" s="244" t="s">
        <v>2112</v>
      </c>
      <c r="C323" s="244">
        <v>23320</v>
      </c>
      <c r="D323" s="245">
        <v>42172.000006736111</v>
      </c>
      <c r="E323" s="245">
        <v>43999.000006736111</v>
      </c>
      <c r="F323" s="246">
        <v>1200000000</v>
      </c>
      <c r="G323" s="246">
        <v>1200000000</v>
      </c>
      <c r="H323" s="243">
        <v>1</v>
      </c>
      <c r="I323" s="234">
        <v>1568</v>
      </c>
      <c r="R323" s="234" t="e">
        <f>VLOOKUP(23320,U:AC,9,0)</f>
        <v>#N/A</v>
      </c>
      <c r="S323" s="234">
        <f>VLOOKUP(2332,季財報!A:N,8,0)</f>
        <v>2</v>
      </c>
    </row>
    <row r="324" spans="1:19" hidden="1">
      <c r="A324" s="244" t="s">
        <v>2121</v>
      </c>
      <c r="B324" s="244" t="s">
        <v>2122</v>
      </c>
      <c r="C324" s="244">
        <v>24060</v>
      </c>
      <c r="D324" s="245">
        <v>41782.000006736111</v>
      </c>
      <c r="E324" s="245">
        <v>42878.000006736111</v>
      </c>
      <c r="F324" s="246">
        <v>450000000</v>
      </c>
      <c r="G324" s="246">
        <v>414600000</v>
      </c>
      <c r="H324" s="243">
        <v>0.92</v>
      </c>
      <c r="I324" s="234">
        <v>447</v>
      </c>
      <c r="R324" s="234" t="e">
        <f>VLOOKUP(24060,U:AC,9,0)</f>
        <v>#N/A</v>
      </c>
      <c r="S324" s="234">
        <f>VLOOKUP(2406,季財報!A:N,8,0)</f>
        <v>5</v>
      </c>
    </row>
    <row r="325" spans="1:19" hidden="1">
      <c r="A325" s="244" t="s">
        <v>2157</v>
      </c>
      <c r="B325" s="244" t="s">
        <v>2158</v>
      </c>
      <c r="C325" s="244">
        <v>25373</v>
      </c>
      <c r="D325" s="245">
        <v>41152.000006736111</v>
      </c>
      <c r="E325" s="245">
        <v>42978.000006736111</v>
      </c>
      <c r="F325" s="246">
        <v>176750000</v>
      </c>
      <c r="G325" s="246">
        <v>0</v>
      </c>
      <c r="H325" s="243">
        <v>0</v>
      </c>
      <c r="I325" s="234">
        <v>547</v>
      </c>
      <c r="R325" s="234" t="e">
        <f>VLOOKUP(25373,U:AC,9,0)</f>
        <v>#N/A</v>
      </c>
      <c r="S325" s="234">
        <f>VLOOKUP(2537,季財報!A:N,8,0)</f>
        <v>3</v>
      </c>
    </row>
    <row r="326" spans="1:19" hidden="1">
      <c r="A326" s="244" t="s">
        <v>2174</v>
      </c>
      <c r="B326" s="244" t="s">
        <v>2497</v>
      </c>
      <c r="C326" s="244">
        <v>26361</v>
      </c>
      <c r="D326" s="245">
        <v>40570.000006736111</v>
      </c>
      <c r="E326" s="245">
        <v>42396.000006736111</v>
      </c>
      <c r="F326" s="246">
        <v>500000000</v>
      </c>
      <c r="G326" s="246">
        <v>0</v>
      </c>
      <c r="H326" s="243">
        <v>0</v>
      </c>
      <c r="I326" s="234">
        <v>-35</v>
      </c>
      <c r="R326" s="234" t="e">
        <f>VLOOKUP(26361,U:AC,9,0)</f>
        <v>#N/A</v>
      </c>
      <c r="S326" s="234">
        <f>VLOOKUP(2636,季財報!A:N,8,0)</f>
        <v>2</v>
      </c>
    </row>
    <row r="327" spans="1:19" hidden="1">
      <c r="A327" s="244" t="s">
        <v>2186</v>
      </c>
      <c r="B327" s="244" t="s">
        <v>2187</v>
      </c>
      <c r="C327" s="244">
        <v>28860</v>
      </c>
      <c r="D327" s="245">
        <v>42241.000006736111</v>
      </c>
      <c r="E327" s="245">
        <v>43337.000006736111</v>
      </c>
      <c r="F327" s="246">
        <v>5800000000</v>
      </c>
      <c r="G327" s="246">
        <v>5800000000</v>
      </c>
      <c r="H327" s="243">
        <v>1</v>
      </c>
      <c r="I327" s="234">
        <v>906</v>
      </c>
      <c r="R327" s="234" t="e">
        <f>VLOOKUP(28860,U:AC,9,0)</f>
        <v>#N/A</v>
      </c>
      <c r="S327" s="234" t="e">
        <f>VLOOKUP(2886,季財報!A:N,8,0)</f>
        <v>#N/A</v>
      </c>
    </row>
    <row r="328" spans="1:19" hidden="1">
      <c r="A328" s="244" t="s">
        <v>2498</v>
      </c>
      <c r="B328" s="244" t="s">
        <v>2199</v>
      </c>
      <c r="C328" s="244">
        <v>30333</v>
      </c>
      <c r="D328" s="245">
        <v>40714.000006736111</v>
      </c>
      <c r="E328" s="245">
        <v>42541.000006736111</v>
      </c>
      <c r="F328" s="246">
        <v>800000000</v>
      </c>
      <c r="G328" s="246">
        <v>0</v>
      </c>
      <c r="H328" s="243">
        <v>0</v>
      </c>
      <c r="I328" s="234">
        <v>110</v>
      </c>
      <c r="R328" s="234" t="e">
        <f>VLOOKUP(30333,U:AC,9,0)</f>
        <v>#N/A</v>
      </c>
      <c r="S328" s="234">
        <f>VLOOKUP(3033,季財報!A:N,8,0)</f>
        <v>3</v>
      </c>
    </row>
    <row r="329" spans="1:19" hidden="1">
      <c r="A329" s="244" t="s">
        <v>2499</v>
      </c>
      <c r="B329" s="244" t="s">
        <v>300</v>
      </c>
      <c r="C329" s="244">
        <v>33132</v>
      </c>
      <c r="D329" s="245">
        <v>41521.000006736111</v>
      </c>
      <c r="E329" s="245">
        <v>42617.000006736111</v>
      </c>
      <c r="F329" s="246">
        <v>200000000</v>
      </c>
      <c r="G329" s="246">
        <v>0</v>
      </c>
      <c r="H329" s="243">
        <v>0</v>
      </c>
      <c r="I329" s="234">
        <v>186</v>
      </c>
      <c r="R329" s="234" t="e">
        <f>VLOOKUP(33132,U:AC,9,0)</f>
        <v>#N/A</v>
      </c>
      <c r="S329" s="234">
        <f>VLOOKUP(3313,季財報!A:N,8,0)</f>
        <v>4</v>
      </c>
    </row>
    <row r="330" spans="1:19" hidden="1">
      <c r="A330" s="244" t="s">
        <v>2500</v>
      </c>
      <c r="B330" s="244" t="s">
        <v>2255</v>
      </c>
      <c r="C330" s="244">
        <v>35981</v>
      </c>
      <c r="D330" s="245">
        <v>40847.000006736111</v>
      </c>
      <c r="E330" s="245">
        <v>42674.000006736111</v>
      </c>
      <c r="F330" s="246">
        <v>400000000</v>
      </c>
      <c r="G330" s="246">
        <v>0</v>
      </c>
      <c r="H330" s="243">
        <v>0</v>
      </c>
      <c r="I330" s="234">
        <v>243</v>
      </c>
      <c r="R330" s="234" t="e">
        <f>VLOOKUP(35981,U:AC,9,0)</f>
        <v>#N/A</v>
      </c>
      <c r="S330" s="234">
        <f>VLOOKUP(3598,季財報!A:N,8,0)</f>
        <v>2</v>
      </c>
    </row>
    <row r="331" spans="1:19" hidden="1">
      <c r="A331" s="244" t="s">
        <v>2501</v>
      </c>
      <c r="B331" s="244" t="s">
        <v>2502</v>
      </c>
      <c r="C331" s="244">
        <v>41291</v>
      </c>
      <c r="D331" s="245">
        <v>41311.000006736111</v>
      </c>
      <c r="E331" s="245">
        <v>42406.000006736111</v>
      </c>
      <c r="F331" s="246">
        <v>200000000</v>
      </c>
      <c r="G331" s="246">
        <v>0</v>
      </c>
      <c r="H331" s="243">
        <v>0</v>
      </c>
      <c r="I331" s="234">
        <v>-25</v>
      </c>
      <c r="R331" s="234" t="e">
        <f>VLOOKUP(41291,U:AC,9,0)</f>
        <v>#N/A</v>
      </c>
      <c r="S331" s="234">
        <f>VLOOKUP(4129,季財報!A:N,8,0)</f>
        <v>3</v>
      </c>
    </row>
    <row r="332" spans="1:19" hidden="1">
      <c r="A332" s="244" t="s">
        <v>2503</v>
      </c>
      <c r="B332" s="244" t="s">
        <v>2504</v>
      </c>
      <c r="C332" s="244">
        <v>45342</v>
      </c>
      <c r="D332" s="245">
        <v>41548.000006736111</v>
      </c>
      <c r="E332" s="245">
        <v>42644.000006736111</v>
      </c>
      <c r="F332" s="246">
        <v>200000000</v>
      </c>
      <c r="G332" s="246">
        <v>0</v>
      </c>
      <c r="H332" s="243">
        <v>0</v>
      </c>
      <c r="I332" s="234">
        <v>213</v>
      </c>
      <c r="R332" s="234" t="e">
        <f>VLOOKUP(45342,U:AC,9,0)</f>
        <v>#N/A</v>
      </c>
      <c r="S332" s="234">
        <f>VLOOKUP(4534,季財報!A:N,8,0)</f>
        <v>4</v>
      </c>
    </row>
    <row r="333" spans="1:19" hidden="1">
      <c r="A333" s="244" t="s">
        <v>2379</v>
      </c>
      <c r="B333" s="244" t="s">
        <v>1996</v>
      </c>
      <c r="C333" s="244">
        <v>62192</v>
      </c>
      <c r="D333" s="245">
        <v>41562.000006736111</v>
      </c>
      <c r="E333" s="245">
        <v>42658.000006736111</v>
      </c>
      <c r="F333" s="246">
        <v>100000000</v>
      </c>
      <c r="G333" s="246">
        <v>0</v>
      </c>
      <c r="H333" s="243">
        <v>0</v>
      </c>
      <c r="I333" s="234">
        <v>227</v>
      </c>
      <c r="R333" s="234" t="e">
        <f>VLOOKUP(62192,U:AC,9,0)</f>
        <v>#N/A</v>
      </c>
      <c r="S333" s="234">
        <f>VLOOKUP(6219,季財報!A:N,8,0)</f>
        <v>3</v>
      </c>
    </row>
    <row r="334" spans="1:19" hidden="1">
      <c r="A334" s="244" t="s">
        <v>2507</v>
      </c>
      <c r="B334" s="244" t="s">
        <v>2445</v>
      </c>
      <c r="C334" s="244">
        <v>99442</v>
      </c>
      <c r="D334" s="245">
        <v>41710.000006736111</v>
      </c>
      <c r="E334" s="245">
        <v>42806.000006736111</v>
      </c>
      <c r="F334" s="246">
        <v>350000000</v>
      </c>
      <c r="G334" s="246">
        <v>149100000</v>
      </c>
      <c r="H334" s="243">
        <v>0.43</v>
      </c>
      <c r="I334" s="234">
        <v>375</v>
      </c>
      <c r="J334" s="234">
        <v>108.2</v>
      </c>
      <c r="K334" s="234">
        <v>25.1</v>
      </c>
      <c r="L334" s="234">
        <f>VLOOKUP(9944,收盤價!A:C,3,0)</f>
        <v>25.45</v>
      </c>
      <c r="M334" s="234">
        <v>3984</v>
      </c>
      <c r="N334" s="234">
        <v>102.3888</v>
      </c>
      <c r="O334" s="235">
        <v>5.3699999999999998E-2</v>
      </c>
      <c r="P334" s="235">
        <v>2.3300000000000001E-2</v>
      </c>
      <c r="Q334" s="235">
        <v>-0.25100401606425704</v>
      </c>
      <c r="R334" s="234">
        <f>VLOOKUP(99442,U:AC,9,0)</f>
        <v>10</v>
      </c>
      <c r="S334" s="234">
        <f>VLOOKUP(9944,季財報!A:N,8,0)</f>
        <v>2</v>
      </c>
    </row>
  </sheetData>
  <autoFilter ref="A1:AD334">
    <filterColumn colId="7">
      <customFilters>
        <customFilter operator="greaterThanOrEqual" val="0.65"/>
      </customFilters>
    </filterColumn>
    <filterColumn colId="15">
      <customFilters>
        <customFilter operator="greaterThan" val="-0.25"/>
      </customFilters>
    </filterColumn>
    <filterColumn colId="17">
      <customFilters>
        <customFilter operator="lessThanOrEqual" val="40"/>
      </customFilters>
    </filterColumn>
    <filterColumn colId="18">
      <customFilters>
        <customFilter operator="greaterThanOrEqual" val="3"/>
      </customFilters>
    </filterColumn>
  </autoFilter>
  <sortState ref="A2:R500">
    <sortCondition ref="R2:R500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4756" r:id="rId3" name="CommandButton3">
          <controlPr defaultSize="0" autoLine="0" r:id="rId4">
            <anchor moveWithCells="1">
              <from>
                <xdr:col>17</xdr:col>
                <xdr:colOff>38100</xdr:colOff>
                <xdr:row>0</xdr:row>
                <xdr:rowOff>0</xdr:rowOff>
              </from>
              <to>
                <xdr:col>17</xdr:col>
                <xdr:colOff>990600</xdr:colOff>
                <xdr:row>0</xdr:row>
                <xdr:rowOff>342900</xdr:rowOff>
              </to>
            </anchor>
          </controlPr>
        </control>
      </mc:Choice>
      <mc:Fallback>
        <control shapeId="74756" r:id="rId3" name="CommandButton3"/>
      </mc:Fallback>
    </mc:AlternateContent>
    <mc:AlternateContent xmlns:mc="http://schemas.openxmlformats.org/markup-compatibility/2006">
      <mc:Choice Requires="x14">
        <control shapeId="74755" r:id="rId5" name="CommandButton2">
          <controlPr defaultSize="0" autoLine="0" r:id="rId6">
            <anchor moveWithCells="1">
              <from>
                <xdr:col>2</xdr:col>
                <xdr:colOff>66675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352425</xdr:rowOff>
              </to>
            </anchor>
          </controlPr>
        </control>
      </mc:Choice>
      <mc:Fallback>
        <control shapeId="74755" r:id="rId5" name="CommandButton2"/>
      </mc:Fallback>
    </mc:AlternateContent>
    <mc:AlternateContent xmlns:mc="http://schemas.openxmlformats.org/markup-compatibility/2006">
      <mc:Choice Requires="x14">
        <control shapeId="74753" r:id="rId7" name="CommandButton1">
          <controlPr defaultSize="0" autoLine="0" r:id="rId8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361950</xdr:rowOff>
              </to>
            </anchor>
          </controlPr>
        </control>
      </mc:Choice>
      <mc:Fallback>
        <control shapeId="74753" r:id="rId7" name="CommandButton1"/>
      </mc:Fallback>
    </mc:AlternateContent>
    <mc:AlternateContent xmlns:mc="http://schemas.openxmlformats.org/markup-compatibility/2006">
      <mc:Choice Requires="x14">
        <control shapeId="74757" r:id="rId9" name="CommandButton4">
          <controlPr defaultSize="0" autoLine="0" autoPict="0" r:id="rId10">
            <anchor moveWithCells="1">
              <from>
                <xdr:col>3</xdr:col>
                <xdr:colOff>57150</xdr:colOff>
                <xdr:row>0</xdr:row>
                <xdr:rowOff>0</xdr:rowOff>
              </from>
              <to>
                <xdr:col>17</xdr:col>
                <xdr:colOff>28575</xdr:colOff>
                <xdr:row>0</xdr:row>
                <xdr:rowOff>342900</xdr:rowOff>
              </to>
            </anchor>
          </controlPr>
        </control>
      </mc:Choice>
      <mc:Fallback>
        <control shapeId="74757" r:id="rId9" name="CommandButton4"/>
      </mc:Fallback>
    </mc:AlternateContent>
    <mc:AlternateContent xmlns:mc="http://schemas.openxmlformats.org/markup-compatibility/2006">
      <mc:Choice Requires="x14">
        <control shapeId="74759" r:id="rId11" name="CommandButton5">
          <controlPr defaultSize="0" autoLine="0" r:id="rId12">
            <anchor moveWithCells="1">
              <from>
                <xdr:col>18</xdr:col>
                <xdr:colOff>9525</xdr:colOff>
                <xdr:row>0</xdr:row>
                <xdr:rowOff>0</xdr:rowOff>
              </from>
              <to>
                <xdr:col>18</xdr:col>
                <xdr:colOff>1009650</xdr:colOff>
                <xdr:row>0</xdr:row>
                <xdr:rowOff>342900</xdr:rowOff>
              </to>
            </anchor>
          </controlPr>
        </control>
      </mc:Choice>
      <mc:Fallback>
        <control shapeId="74759" r:id="rId11" name="CommandButton5"/>
      </mc:Fallback>
    </mc:AlternateContent>
    <mc:AlternateContent xmlns:mc="http://schemas.openxmlformats.org/markup-compatibility/2006">
      <mc:Choice Requires="x14">
        <control shapeId="74760" r:id="rId13" name="CommandButton6">
          <controlPr defaultSize="0" autoLine="0" r:id="rId14">
            <anchor moveWithCells="1">
              <from>
                <xdr:col>0</xdr:col>
                <xdr:colOff>28575</xdr:colOff>
                <xdr:row>0</xdr:row>
                <xdr:rowOff>0</xdr:rowOff>
              </from>
              <to>
                <xdr:col>0</xdr:col>
                <xdr:colOff>981075</xdr:colOff>
                <xdr:row>0</xdr:row>
                <xdr:rowOff>361950</xdr:rowOff>
              </to>
            </anchor>
          </controlPr>
        </control>
      </mc:Choice>
      <mc:Fallback>
        <control shapeId="74760" r:id="rId13" name="Command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篩股系統"/>
  <dimension ref="A1:AI1448"/>
  <sheetViews>
    <sheetView zoomScale="80" zoomScaleNormal="80" workbookViewId="0">
      <pane xSplit="1" ySplit="1" topLeftCell="B5" activePane="bottomRight" state="frozen"/>
      <selection activeCell="D22" sqref="D22"/>
      <selection pane="topRight" activeCell="D22" sqref="D22"/>
      <selection pane="bottomLeft" activeCell="D22" sqref="D22"/>
      <selection pane="bottomRight" activeCell="I23" sqref="I23"/>
    </sheetView>
  </sheetViews>
  <sheetFormatPr defaultColWidth="9" defaultRowHeight="16.5"/>
  <cols>
    <col min="1" max="1" width="10.75" style="25" customWidth="1"/>
    <col min="2" max="2" width="10.75" customWidth="1"/>
    <col min="3" max="3" width="10.125" bestFit="1" customWidth="1"/>
    <col min="4" max="18" width="10.75" customWidth="1"/>
    <col min="19" max="22" width="9.625" customWidth="1"/>
    <col min="23" max="26" width="12.125" customWidth="1"/>
    <col min="27" max="16384" width="9" style="24"/>
  </cols>
  <sheetData>
    <row r="1" spans="1:35" ht="33.75" customHeight="1">
      <c r="A1" s="360" t="s">
        <v>3225</v>
      </c>
      <c r="U1">
        <f>SUM(U6:U20)</f>
        <v>0</v>
      </c>
      <c r="Y1">
        <f>SUM(Y6:Y20)</f>
        <v>0</v>
      </c>
      <c r="AA1" s="26"/>
      <c r="AB1" s="26"/>
      <c r="AC1" s="26"/>
      <c r="AD1" s="26"/>
      <c r="AE1" s="26"/>
      <c r="AF1" s="26"/>
      <c r="AG1" s="26"/>
      <c r="AH1" s="26"/>
      <c r="AI1" s="26"/>
    </row>
    <row r="2" spans="1:35">
      <c r="A2" s="25">
        <v>1101</v>
      </c>
      <c r="D2">
        <f>SUM(D3:D100)</f>
        <v>188</v>
      </c>
      <c r="E2">
        <f>SUM(E3:E100)</f>
        <v>46</v>
      </c>
      <c r="F2">
        <f>SUM(F3:F100)</f>
        <v>-1</v>
      </c>
      <c r="G2">
        <f>SUM(G3:G100)</f>
        <v>-41</v>
      </c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</row>
    <row r="3" spans="1:35">
      <c r="A3" s="25">
        <v>1103</v>
      </c>
      <c r="B3">
        <v>1650</v>
      </c>
      <c r="C3" s="190" t="s">
        <v>3345</v>
      </c>
      <c r="D3">
        <v>-35</v>
      </c>
      <c r="E3">
        <v>33</v>
      </c>
      <c r="F3">
        <v>-1</v>
      </c>
      <c r="G3">
        <v>-2</v>
      </c>
      <c r="Q3" s="26"/>
      <c r="R3" s="26" t="s">
        <v>3441</v>
      </c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</row>
    <row r="4" spans="1:35">
      <c r="A4" s="25">
        <v>1104</v>
      </c>
      <c r="B4">
        <v>1530</v>
      </c>
      <c r="C4" s="190" t="s">
        <v>3351</v>
      </c>
      <c r="D4">
        <v>-42</v>
      </c>
      <c r="E4">
        <v>-61</v>
      </c>
      <c r="F4">
        <v>5</v>
      </c>
      <c r="G4">
        <v>13</v>
      </c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</row>
    <row r="5" spans="1:35">
      <c r="A5" s="25">
        <v>1108</v>
      </c>
      <c r="B5">
        <v>1520</v>
      </c>
      <c r="C5" s="190" t="s">
        <v>3346</v>
      </c>
      <c r="D5">
        <v>81</v>
      </c>
      <c r="E5">
        <v>250</v>
      </c>
      <c r="F5">
        <v>16</v>
      </c>
      <c r="G5">
        <v>15</v>
      </c>
      <c r="Q5" s="26"/>
      <c r="R5" s="26" t="s">
        <v>3442</v>
      </c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 t="s">
        <v>2597</v>
      </c>
      <c r="AG5" s="26"/>
      <c r="AH5" s="26"/>
      <c r="AI5" s="26"/>
    </row>
    <row r="6" spans="1:35">
      <c r="A6" s="25">
        <v>1109</v>
      </c>
      <c r="B6">
        <v>1440</v>
      </c>
      <c r="C6" s="190" t="s">
        <v>3436</v>
      </c>
      <c r="D6">
        <v>-20</v>
      </c>
      <c r="E6">
        <v>45</v>
      </c>
      <c r="F6">
        <v>39</v>
      </c>
      <c r="G6">
        <v>3</v>
      </c>
      <c r="Q6" s="26"/>
      <c r="R6" s="26" t="s">
        <v>3341</v>
      </c>
      <c r="S6" s="26" t="s">
        <v>3342</v>
      </c>
      <c r="T6" s="26" t="s">
        <v>3343</v>
      </c>
      <c r="U6" s="26" t="s">
        <v>3344</v>
      </c>
      <c r="V6" s="26" t="s">
        <v>3341</v>
      </c>
      <c r="W6" s="26" t="s">
        <v>3342</v>
      </c>
      <c r="X6" s="26" t="s">
        <v>3343</v>
      </c>
      <c r="Y6" s="26" t="s">
        <v>3344</v>
      </c>
      <c r="Z6" s="26"/>
      <c r="AA6" s="26"/>
      <c r="AB6" s="26"/>
      <c r="AC6" s="26"/>
      <c r="AD6" s="26"/>
      <c r="AE6" s="26"/>
      <c r="AF6" s="26"/>
      <c r="AG6" s="26"/>
      <c r="AH6" s="26"/>
      <c r="AI6" s="26"/>
    </row>
    <row r="7" spans="1:35">
      <c r="A7" s="25">
        <v>1110</v>
      </c>
      <c r="B7">
        <v>1470</v>
      </c>
      <c r="C7" s="190" t="s">
        <v>3348</v>
      </c>
      <c r="D7">
        <v>-129</v>
      </c>
      <c r="E7">
        <v>7</v>
      </c>
      <c r="F7">
        <v>-42</v>
      </c>
      <c r="G7">
        <v>-45</v>
      </c>
      <c r="Q7" s="26"/>
      <c r="R7" s="357">
        <v>42433</v>
      </c>
      <c r="S7" s="26">
        <v>0</v>
      </c>
      <c r="T7" s="26">
        <v>0</v>
      </c>
      <c r="U7" s="26">
        <v>0</v>
      </c>
      <c r="V7" s="357">
        <v>42402</v>
      </c>
      <c r="W7" s="26">
        <v>0</v>
      </c>
      <c r="X7" s="26">
        <v>0</v>
      </c>
      <c r="Y7" s="26">
        <v>0</v>
      </c>
      <c r="Z7" s="26"/>
      <c r="AA7" s="26"/>
      <c r="AB7" s="26"/>
      <c r="AC7" s="26"/>
      <c r="AD7" s="26"/>
      <c r="AE7" s="26"/>
      <c r="AF7" s="26" t="s">
        <v>2598</v>
      </c>
      <c r="AG7" s="26"/>
      <c r="AH7" s="26"/>
      <c r="AI7" s="26"/>
    </row>
    <row r="8" spans="1:35">
      <c r="A8" s="25">
        <v>1201</v>
      </c>
      <c r="B8">
        <v>1480</v>
      </c>
      <c r="C8" s="190" t="s">
        <v>3380</v>
      </c>
      <c r="D8">
        <v>31</v>
      </c>
      <c r="E8">
        <v>-3</v>
      </c>
      <c r="F8">
        <v>-11</v>
      </c>
      <c r="G8">
        <v>46</v>
      </c>
      <c r="Q8" s="26"/>
      <c r="R8" s="357">
        <v>42432</v>
      </c>
      <c r="S8" s="26">
        <v>0</v>
      </c>
      <c r="T8" s="26">
        <v>0</v>
      </c>
      <c r="U8" s="26">
        <v>0</v>
      </c>
      <c r="V8" s="357">
        <v>42401</v>
      </c>
      <c r="W8" s="26">
        <v>0</v>
      </c>
      <c r="X8" s="26">
        <v>0</v>
      </c>
      <c r="Y8" s="26">
        <v>0</v>
      </c>
      <c r="Z8" s="26"/>
      <c r="AA8" s="26"/>
      <c r="AB8" s="26"/>
      <c r="AC8" s="26"/>
      <c r="AD8" s="26"/>
      <c r="AE8" s="26"/>
      <c r="AF8" s="26"/>
      <c r="AG8" s="26"/>
      <c r="AH8" s="26"/>
      <c r="AI8" s="26"/>
    </row>
    <row r="9" spans="1:35">
      <c r="A9" s="25">
        <v>1203</v>
      </c>
      <c r="B9">
        <v>8440</v>
      </c>
      <c r="C9" s="190" t="s">
        <v>3347</v>
      </c>
      <c r="D9">
        <v>49</v>
      </c>
      <c r="E9">
        <v>2</v>
      </c>
      <c r="F9">
        <v>2</v>
      </c>
      <c r="G9">
        <v>2</v>
      </c>
      <c r="Q9" s="26"/>
      <c r="R9" s="357">
        <v>42431</v>
      </c>
      <c r="S9" s="26">
        <v>0</v>
      </c>
      <c r="T9" s="26">
        <v>0</v>
      </c>
      <c r="U9" s="26">
        <v>0</v>
      </c>
      <c r="V9" s="357">
        <v>42399</v>
      </c>
      <c r="W9" s="26">
        <v>0</v>
      </c>
      <c r="X9" s="26">
        <v>0</v>
      </c>
      <c r="Y9" s="26">
        <v>0</v>
      </c>
      <c r="Z9" s="26"/>
      <c r="AA9" s="26"/>
      <c r="AB9" s="26"/>
      <c r="AC9" s="26"/>
      <c r="AD9" s="26"/>
      <c r="AE9" s="26"/>
      <c r="AF9" s="26"/>
      <c r="AG9" s="26"/>
      <c r="AH9" s="26"/>
      <c r="AI9" s="26"/>
    </row>
    <row r="10" spans="1:35">
      <c r="A10" s="25">
        <v>1213</v>
      </c>
      <c r="B10">
        <v>1380</v>
      </c>
      <c r="C10" s="190" t="s">
        <v>3349</v>
      </c>
      <c r="D10">
        <v>-78</v>
      </c>
      <c r="E10">
        <v>0</v>
      </c>
      <c r="F10">
        <v>0</v>
      </c>
      <c r="G10">
        <v>0</v>
      </c>
      <c r="Q10" s="26"/>
      <c r="R10" s="357">
        <v>42430</v>
      </c>
      <c r="S10" s="26">
        <v>0</v>
      </c>
      <c r="T10" s="26">
        <v>0</v>
      </c>
      <c r="U10" s="26">
        <v>0</v>
      </c>
      <c r="V10" s="357">
        <v>42398</v>
      </c>
      <c r="W10" s="26">
        <v>0</v>
      </c>
      <c r="X10" s="26">
        <v>0</v>
      </c>
      <c r="Y10" s="26">
        <v>0</v>
      </c>
      <c r="Z10" s="26"/>
      <c r="AA10" s="26"/>
      <c r="AB10" s="26"/>
      <c r="AC10" s="26"/>
      <c r="AD10" s="26"/>
      <c r="AE10" s="26"/>
      <c r="AF10" s="26"/>
      <c r="AG10" s="26"/>
      <c r="AH10" s="26"/>
      <c r="AI10" s="26"/>
    </row>
    <row r="11" spans="1:35">
      <c r="A11" s="25">
        <v>1215</v>
      </c>
      <c r="B11">
        <v>1590</v>
      </c>
      <c r="C11" s="190" t="s">
        <v>3381</v>
      </c>
      <c r="D11">
        <v>-31</v>
      </c>
      <c r="E11">
        <v>-5</v>
      </c>
      <c r="F11">
        <v>0</v>
      </c>
      <c r="G11">
        <v>0</v>
      </c>
      <c r="Q11" s="26"/>
      <c r="R11" s="357">
        <v>42426</v>
      </c>
      <c r="S11" s="26">
        <v>0</v>
      </c>
      <c r="T11" s="26">
        <v>0</v>
      </c>
      <c r="U11" s="26">
        <v>0</v>
      </c>
      <c r="V11" s="357">
        <v>42397</v>
      </c>
      <c r="W11" s="26">
        <v>0</v>
      </c>
      <c r="X11" s="26">
        <v>0</v>
      </c>
      <c r="Y11" s="26">
        <v>0</v>
      </c>
      <c r="Z11" s="26"/>
      <c r="AA11" s="26"/>
      <c r="AB11" s="26"/>
      <c r="AC11" s="26"/>
      <c r="AD11" s="26"/>
      <c r="AE11" s="26"/>
      <c r="AF11" s="26"/>
      <c r="AG11" s="26"/>
      <c r="AH11" s="26"/>
      <c r="AI11" s="26"/>
    </row>
    <row r="12" spans="1:35">
      <c r="A12" s="25">
        <v>1216</v>
      </c>
      <c r="B12">
        <v>1570</v>
      </c>
      <c r="C12" s="190" t="s">
        <v>3350</v>
      </c>
      <c r="D12">
        <v>-126</v>
      </c>
      <c r="E12">
        <v>-10</v>
      </c>
      <c r="F12">
        <v>-17</v>
      </c>
      <c r="G12">
        <v>-27</v>
      </c>
      <c r="Q12" s="26"/>
      <c r="R12" s="357">
        <v>42425</v>
      </c>
      <c r="S12" s="26">
        <v>0</v>
      </c>
      <c r="T12" s="26">
        <v>0</v>
      </c>
      <c r="U12" s="26">
        <v>0</v>
      </c>
      <c r="V12" s="357">
        <v>42396</v>
      </c>
      <c r="W12" s="26">
        <v>0</v>
      </c>
      <c r="X12" s="26">
        <v>0</v>
      </c>
      <c r="Y12" s="26">
        <v>0</v>
      </c>
      <c r="Z12" s="26"/>
      <c r="AA12" s="26"/>
      <c r="AB12" s="26"/>
      <c r="AC12" s="26"/>
      <c r="AD12" s="26"/>
      <c r="AE12" s="26"/>
      <c r="AF12" s="26"/>
      <c r="AG12" s="26"/>
      <c r="AH12" s="26"/>
      <c r="AI12" s="26"/>
    </row>
    <row r="13" spans="1:35">
      <c r="A13" s="25">
        <v>1217</v>
      </c>
      <c r="B13">
        <v>1560</v>
      </c>
      <c r="C13" s="190" t="s">
        <v>3382</v>
      </c>
      <c r="D13">
        <v>-83</v>
      </c>
      <c r="E13">
        <v>-21</v>
      </c>
      <c r="F13">
        <v>-27</v>
      </c>
      <c r="G13">
        <v>0</v>
      </c>
      <c r="Q13" s="26"/>
      <c r="R13" s="357">
        <v>42424</v>
      </c>
      <c r="S13" s="26">
        <v>0</v>
      </c>
      <c r="T13" s="26">
        <v>0</v>
      </c>
      <c r="U13" s="26">
        <v>0</v>
      </c>
      <c r="V13" s="357">
        <v>42395</v>
      </c>
      <c r="W13" s="26">
        <v>0</v>
      </c>
      <c r="X13" s="26">
        <v>0</v>
      </c>
      <c r="Y13" s="26">
        <v>0</v>
      </c>
      <c r="Z13" s="26"/>
      <c r="AA13" s="26"/>
      <c r="AB13" s="26"/>
      <c r="AC13" s="26"/>
      <c r="AD13" s="26"/>
      <c r="AE13" s="26"/>
      <c r="AF13" s="26"/>
      <c r="AG13" s="26"/>
      <c r="AH13" s="26"/>
      <c r="AI13" s="26"/>
    </row>
    <row r="14" spans="1:35">
      <c r="A14" s="25">
        <v>1218</v>
      </c>
      <c r="B14">
        <v>6010</v>
      </c>
      <c r="C14" s="190" t="s">
        <v>3352</v>
      </c>
      <c r="D14">
        <v>-3</v>
      </c>
      <c r="E14">
        <v>-1</v>
      </c>
      <c r="F14">
        <v>0</v>
      </c>
      <c r="G14">
        <v>1</v>
      </c>
      <c r="Q14" s="26"/>
      <c r="R14" s="357">
        <v>42423</v>
      </c>
      <c r="S14" s="26">
        <v>0</v>
      </c>
      <c r="T14" s="26">
        <v>0</v>
      </c>
      <c r="U14" s="26">
        <v>0</v>
      </c>
      <c r="V14" s="357">
        <v>42394</v>
      </c>
      <c r="W14" s="26">
        <v>0</v>
      </c>
      <c r="X14" s="26">
        <v>0</v>
      </c>
      <c r="Y14" s="26">
        <v>0</v>
      </c>
      <c r="Z14" s="26"/>
      <c r="AA14" s="26"/>
      <c r="AB14" s="26"/>
      <c r="AC14" s="26"/>
      <c r="AD14" s="26"/>
      <c r="AE14" s="26"/>
      <c r="AF14" s="26"/>
      <c r="AG14" s="26"/>
      <c r="AH14" s="26"/>
      <c r="AI14" s="26"/>
    </row>
    <row r="15" spans="1:35">
      <c r="A15" s="25">
        <v>1219</v>
      </c>
      <c r="B15">
        <v>5050</v>
      </c>
      <c r="C15" s="190" t="s">
        <v>3353</v>
      </c>
      <c r="D15">
        <v>19</v>
      </c>
      <c r="E15">
        <v>-4</v>
      </c>
      <c r="F15">
        <v>-3</v>
      </c>
      <c r="G15">
        <v>11</v>
      </c>
      <c r="Q15" s="26"/>
      <c r="R15" s="357">
        <v>42422</v>
      </c>
      <c r="S15" s="26">
        <v>0</v>
      </c>
      <c r="T15" s="26">
        <v>0</v>
      </c>
      <c r="U15" s="26">
        <v>0</v>
      </c>
      <c r="V15" s="357">
        <v>42391</v>
      </c>
      <c r="W15" s="26">
        <v>0</v>
      </c>
      <c r="X15" s="26">
        <v>0</v>
      </c>
      <c r="Y15" s="26">
        <v>0</v>
      </c>
      <c r="Z15" s="26"/>
      <c r="AA15" s="26"/>
      <c r="AB15" s="26"/>
      <c r="AC15" s="26"/>
      <c r="AD15" s="26"/>
      <c r="AE15" s="26"/>
      <c r="AF15" s="26"/>
      <c r="AG15" s="26"/>
      <c r="AH15" s="26"/>
      <c r="AI15" s="26"/>
    </row>
    <row r="16" spans="1:35">
      <c r="A16" s="25">
        <v>1220</v>
      </c>
      <c r="B16">
        <v>6530</v>
      </c>
      <c r="C16" s="190" t="s">
        <v>3354</v>
      </c>
      <c r="D16">
        <v>27</v>
      </c>
      <c r="E16">
        <v>-48</v>
      </c>
      <c r="F16">
        <v>-3</v>
      </c>
      <c r="G16">
        <v>12</v>
      </c>
      <c r="Q16" s="26"/>
      <c r="R16" s="357">
        <v>42419</v>
      </c>
      <c r="S16" s="26">
        <v>0</v>
      </c>
      <c r="T16" s="26">
        <v>0</v>
      </c>
      <c r="U16" s="26">
        <v>0</v>
      </c>
      <c r="V16" s="357">
        <v>42390</v>
      </c>
      <c r="W16" s="26">
        <v>0</v>
      </c>
      <c r="X16" s="26">
        <v>0</v>
      </c>
      <c r="Y16" s="26">
        <v>0</v>
      </c>
      <c r="Z16" s="26"/>
      <c r="AA16" s="26"/>
      <c r="AB16" s="26"/>
      <c r="AC16" s="26"/>
      <c r="AD16" s="26"/>
      <c r="AE16" s="26"/>
      <c r="AF16" s="26"/>
      <c r="AG16" s="26"/>
      <c r="AH16" s="26"/>
      <c r="AI16" s="26"/>
    </row>
    <row r="17" spans="1:35">
      <c r="A17" s="25">
        <v>1225</v>
      </c>
      <c r="B17">
        <v>5260</v>
      </c>
      <c r="C17" s="190" t="s">
        <v>3355</v>
      </c>
      <c r="D17">
        <v>-21</v>
      </c>
      <c r="E17">
        <v>-26</v>
      </c>
      <c r="F17">
        <v>-1</v>
      </c>
      <c r="G17">
        <v>-4</v>
      </c>
      <c r="Q17" s="26"/>
      <c r="R17" s="357">
        <v>42418</v>
      </c>
      <c r="S17" s="26">
        <v>0</v>
      </c>
      <c r="T17" s="26">
        <v>0</v>
      </c>
      <c r="U17" s="26">
        <v>0</v>
      </c>
      <c r="V17" s="357">
        <v>42389</v>
      </c>
      <c r="W17" s="26">
        <v>0</v>
      </c>
      <c r="X17" s="26">
        <v>0</v>
      </c>
      <c r="Y17" s="26">
        <v>0</v>
      </c>
      <c r="Z17" s="26"/>
      <c r="AA17" s="26"/>
      <c r="AB17" s="26"/>
      <c r="AC17" s="26"/>
      <c r="AD17" s="26"/>
      <c r="AE17" s="26"/>
      <c r="AF17" s="26"/>
      <c r="AG17" s="26"/>
      <c r="AH17" s="26"/>
      <c r="AI17" s="26"/>
    </row>
    <row r="18" spans="1:35">
      <c r="A18" s="25">
        <v>1227</v>
      </c>
      <c r="B18">
        <v>6160</v>
      </c>
      <c r="C18" s="190" t="s">
        <v>3356</v>
      </c>
      <c r="D18">
        <v>-12</v>
      </c>
      <c r="E18">
        <v>3</v>
      </c>
      <c r="F18">
        <v>-5</v>
      </c>
      <c r="G18">
        <v>2</v>
      </c>
      <c r="Q18" s="26"/>
      <c r="R18" s="357">
        <v>42417</v>
      </c>
      <c r="S18" s="26">
        <v>0</v>
      </c>
      <c r="T18" s="26">
        <v>0</v>
      </c>
      <c r="U18" s="26">
        <v>0</v>
      </c>
      <c r="V18" s="357">
        <v>42388</v>
      </c>
      <c r="W18" s="26">
        <v>0</v>
      </c>
      <c r="X18" s="26">
        <v>0</v>
      </c>
      <c r="Y18" s="26">
        <v>0</v>
      </c>
      <c r="Z18" s="26"/>
      <c r="AA18" s="26"/>
      <c r="AB18" s="26"/>
      <c r="AC18" s="26"/>
      <c r="AD18" s="26"/>
      <c r="AE18" s="26"/>
      <c r="AF18" s="26"/>
      <c r="AG18" s="26"/>
      <c r="AH18" s="26"/>
      <c r="AI18" s="26"/>
    </row>
    <row r="19" spans="1:35">
      <c r="A19" s="25">
        <v>1229</v>
      </c>
      <c r="B19">
        <v>9800</v>
      </c>
      <c r="C19" s="190" t="s">
        <v>3357</v>
      </c>
      <c r="D19">
        <v>112</v>
      </c>
      <c r="E19">
        <v>-23</v>
      </c>
      <c r="F19">
        <v>25</v>
      </c>
      <c r="G19">
        <v>-197</v>
      </c>
      <c r="Q19" s="26"/>
      <c r="R19" s="357">
        <v>42416</v>
      </c>
      <c r="S19" s="26">
        <v>0</v>
      </c>
      <c r="T19" s="26">
        <v>0</v>
      </c>
      <c r="U19" s="26">
        <v>0</v>
      </c>
      <c r="V19" s="357">
        <v>42387</v>
      </c>
      <c r="W19" s="26">
        <v>0</v>
      </c>
      <c r="X19" s="26">
        <v>0</v>
      </c>
      <c r="Y19" s="26">
        <v>0</v>
      </c>
      <c r="Z19" s="26"/>
      <c r="AA19" s="26"/>
      <c r="AB19" s="26"/>
      <c r="AC19" s="26"/>
      <c r="AD19" s="26"/>
      <c r="AE19" s="26"/>
      <c r="AF19" s="26"/>
      <c r="AG19" s="26"/>
      <c r="AH19" s="26"/>
      <c r="AI19" s="26"/>
    </row>
    <row r="20" spans="1:35">
      <c r="A20" s="25">
        <v>1231</v>
      </c>
      <c r="B20">
        <v>5920</v>
      </c>
      <c r="C20" s="190" t="s">
        <v>3437</v>
      </c>
      <c r="D20">
        <v>142</v>
      </c>
      <c r="E20">
        <v>-25</v>
      </c>
      <c r="F20">
        <v>37</v>
      </c>
      <c r="G20">
        <v>10</v>
      </c>
      <c r="Q20" s="26"/>
      <c r="R20" s="357">
        <v>42415</v>
      </c>
      <c r="S20" s="26">
        <v>0</v>
      </c>
      <c r="T20" s="26">
        <v>0</v>
      </c>
      <c r="U20" s="26">
        <v>0</v>
      </c>
      <c r="V20" s="357">
        <v>42384</v>
      </c>
      <c r="W20" s="26">
        <v>0</v>
      </c>
      <c r="X20" s="26">
        <v>0</v>
      </c>
      <c r="Y20" s="26">
        <v>0</v>
      </c>
      <c r="Z20" s="26"/>
      <c r="AA20" s="26"/>
      <c r="AB20" s="26"/>
      <c r="AC20" s="26"/>
      <c r="AD20" s="26"/>
      <c r="AE20" s="26"/>
      <c r="AF20" s="26"/>
      <c r="AG20" s="26"/>
      <c r="AH20" s="26"/>
      <c r="AI20" s="26"/>
    </row>
    <row r="21" spans="1:35">
      <c r="A21" s="25">
        <v>1232</v>
      </c>
      <c r="B21">
        <v>1160</v>
      </c>
      <c r="C21" s="190" t="s">
        <v>3358</v>
      </c>
      <c r="D21">
        <v>-59</v>
      </c>
      <c r="E21">
        <v>-34</v>
      </c>
      <c r="F21">
        <v>28</v>
      </c>
      <c r="G21">
        <v>-13</v>
      </c>
      <c r="Q21" s="26"/>
      <c r="R21" s="357">
        <v>42403</v>
      </c>
      <c r="S21" s="26">
        <v>0</v>
      </c>
      <c r="T21" s="26">
        <v>0</v>
      </c>
      <c r="U21" s="26">
        <v>0</v>
      </c>
      <c r="V21" s="357">
        <v>42383</v>
      </c>
      <c r="W21" s="26">
        <v>0</v>
      </c>
      <c r="X21" s="26">
        <v>0</v>
      </c>
      <c r="Y21" s="26">
        <v>0</v>
      </c>
      <c r="Z21" s="26"/>
      <c r="AA21" s="26"/>
      <c r="AB21" s="26"/>
      <c r="AC21" s="26"/>
      <c r="AD21" s="26"/>
      <c r="AE21" s="26"/>
      <c r="AF21" s="26"/>
      <c r="AG21" s="26"/>
      <c r="AH21" s="26"/>
      <c r="AI21" s="26"/>
    </row>
    <row r="22" spans="1:35">
      <c r="A22" s="25">
        <v>1233</v>
      </c>
      <c r="B22">
        <v>6110</v>
      </c>
      <c r="C22" s="190" t="s">
        <v>3359</v>
      </c>
      <c r="D22">
        <v>-17</v>
      </c>
      <c r="E22">
        <v>1</v>
      </c>
      <c r="F22">
        <v>0</v>
      </c>
      <c r="G22">
        <v>0</v>
      </c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</row>
    <row r="23" spans="1:35">
      <c r="A23" s="25">
        <v>1234</v>
      </c>
      <c r="B23">
        <v>8150</v>
      </c>
      <c r="C23" s="190" t="s">
        <v>3360</v>
      </c>
      <c r="D23">
        <v>3</v>
      </c>
      <c r="E23">
        <v>-3</v>
      </c>
      <c r="F23">
        <v>2</v>
      </c>
      <c r="G23">
        <v>-4</v>
      </c>
    </row>
    <row r="24" spans="1:35">
      <c r="A24" s="25">
        <v>1235</v>
      </c>
      <c r="B24">
        <v>1090</v>
      </c>
      <c r="C24" s="190" t="s">
        <v>3361</v>
      </c>
      <c r="D24">
        <v>10</v>
      </c>
      <c r="E24">
        <v>4</v>
      </c>
      <c r="F24">
        <v>-3</v>
      </c>
      <c r="G24">
        <v>1</v>
      </c>
    </row>
    <row r="25" spans="1:35">
      <c r="A25" s="25">
        <v>1236</v>
      </c>
      <c r="B25" t="s">
        <v>3362</v>
      </c>
      <c r="C25" s="190" t="s">
        <v>3363</v>
      </c>
      <c r="D25">
        <v>-176</v>
      </c>
      <c r="E25">
        <v>11</v>
      </c>
      <c r="F25">
        <v>-29</v>
      </c>
      <c r="G25">
        <v>-16</v>
      </c>
    </row>
    <row r="26" spans="1:35">
      <c r="A26" s="25">
        <v>1256</v>
      </c>
      <c r="B26">
        <v>8840</v>
      </c>
      <c r="C26" s="190" t="s">
        <v>3364</v>
      </c>
      <c r="D26">
        <v>57</v>
      </c>
      <c r="E26">
        <v>34</v>
      </c>
      <c r="F26">
        <v>-7</v>
      </c>
      <c r="G26">
        <v>9</v>
      </c>
    </row>
    <row r="27" spans="1:35">
      <c r="A27" s="25">
        <v>1258</v>
      </c>
      <c r="B27">
        <v>7000</v>
      </c>
      <c r="C27" s="190" t="s">
        <v>3365</v>
      </c>
      <c r="D27">
        <v>-25</v>
      </c>
      <c r="E27">
        <v>-6</v>
      </c>
      <c r="F27">
        <v>-5</v>
      </c>
      <c r="G27">
        <v>25</v>
      </c>
    </row>
    <row r="28" spans="1:35">
      <c r="A28" s="25">
        <v>1259</v>
      </c>
      <c r="B28">
        <v>1020</v>
      </c>
      <c r="C28" s="190" t="s">
        <v>3366</v>
      </c>
      <c r="D28">
        <v>29</v>
      </c>
      <c r="E28">
        <v>4</v>
      </c>
      <c r="F28">
        <v>0</v>
      </c>
      <c r="G28">
        <v>33</v>
      </c>
    </row>
    <row r="29" spans="1:35">
      <c r="A29" s="25">
        <v>1262</v>
      </c>
      <c r="B29">
        <v>1260</v>
      </c>
      <c r="C29" s="190" t="s">
        <v>3367</v>
      </c>
      <c r="D29">
        <v>10</v>
      </c>
      <c r="E29">
        <v>35</v>
      </c>
      <c r="F29">
        <v>0</v>
      </c>
      <c r="G29">
        <v>-9</v>
      </c>
    </row>
    <row r="30" spans="1:35">
      <c r="A30" s="25">
        <v>1264</v>
      </c>
      <c r="B30">
        <v>2180</v>
      </c>
      <c r="C30" s="190" t="s">
        <v>3438</v>
      </c>
      <c r="D30">
        <v>16</v>
      </c>
      <c r="E30">
        <v>2</v>
      </c>
      <c r="F30">
        <v>4</v>
      </c>
      <c r="G30">
        <v>9</v>
      </c>
    </row>
    <row r="31" spans="1:35">
      <c r="A31" s="25">
        <v>1301</v>
      </c>
      <c r="B31">
        <v>7030</v>
      </c>
      <c r="C31" s="190" t="s">
        <v>3368</v>
      </c>
      <c r="D31">
        <v>-14</v>
      </c>
      <c r="E31">
        <v>-1</v>
      </c>
      <c r="F31">
        <v>-3</v>
      </c>
      <c r="G31">
        <v>7</v>
      </c>
    </row>
    <row r="32" spans="1:35">
      <c r="A32" s="25">
        <v>1303</v>
      </c>
      <c r="B32">
        <v>8880</v>
      </c>
      <c r="C32" s="190" t="s">
        <v>3369</v>
      </c>
      <c r="D32">
        <v>-28</v>
      </c>
      <c r="E32">
        <v>-7</v>
      </c>
      <c r="F32">
        <v>4</v>
      </c>
      <c r="G32">
        <v>3</v>
      </c>
    </row>
    <row r="33" spans="1:7">
      <c r="A33" s="25">
        <v>1304</v>
      </c>
      <c r="B33">
        <v>7790</v>
      </c>
      <c r="C33" s="190" t="s">
        <v>3370</v>
      </c>
      <c r="D33">
        <v>85</v>
      </c>
      <c r="E33">
        <v>-9</v>
      </c>
      <c r="F33">
        <v>9</v>
      </c>
      <c r="G33">
        <v>31</v>
      </c>
    </row>
    <row r="34" spans="1:7">
      <c r="A34" s="25">
        <v>1305</v>
      </c>
      <c r="B34">
        <v>8450</v>
      </c>
      <c r="C34" s="190" t="s">
        <v>3371</v>
      </c>
      <c r="D34">
        <v>72</v>
      </c>
      <c r="E34">
        <v>-22</v>
      </c>
      <c r="F34">
        <v>0</v>
      </c>
      <c r="G34">
        <v>-5</v>
      </c>
    </row>
    <row r="35" spans="1:7">
      <c r="A35" s="25">
        <v>1307</v>
      </c>
      <c r="B35">
        <v>5380</v>
      </c>
      <c r="C35" s="190" t="s">
        <v>3372</v>
      </c>
      <c r="D35">
        <v>53</v>
      </c>
      <c r="E35">
        <v>53</v>
      </c>
      <c r="F35">
        <v>-1</v>
      </c>
      <c r="G35">
        <v>19</v>
      </c>
    </row>
    <row r="36" spans="1:7">
      <c r="A36" s="25">
        <v>1308</v>
      </c>
      <c r="B36">
        <v>5850</v>
      </c>
      <c r="C36" s="190" t="s">
        <v>3439</v>
      </c>
      <c r="D36">
        <v>-31</v>
      </c>
      <c r="E36">
        <v>13</v>
      </c>
      <c r="F36">
        <v>4</v>
      </c>
      <c r="G36">
        <v>7</v>
      </c>
    </row>
    <row r="37" spans="1:7">
      <c r="A37" s="25">
        <v>1309</v>
      </c>
      <c r="B37">
        <v>9200</v>
      </c>
      <c r="C37" s="190" t="s">
        <v>3373</v>
      </c>
      <c r="D37">
        <v>127</v>
      </c>
      <c r="E37">
        <v>-73</v>
      </c>
      <c r="F37">
        <v>-4</v>
      </c>
      <c r="G37">
        <v>27</v>
      </c>
    </row>
    <row r="38" spans="1:7">
      <c r="A38" s="25">
        <v>1310</v>
      </c>
      <c r="B38">
        <v>9600</v>
      </c>
      <c r="C38" s="190" t="s">
        <v>3374</v>
      </c>
      <c r="D38">
        <v>-78</v>
      </c>
      <c r="E38">
        <v>-16</v>
      </c>
      <c r="F38">
        <v>-1</v>
      </c>
      <c r="G38">
        <v>-10</v>
      </c>
    </row>
    <row r="39" spans="1:7">
      <c r="A39" s="25">
        <v>1312</v>
      </c>
      <c r="B39">
        <v>9300</v>
      </c>
      <c r="C39" s="190" t="s">
        <v>3375</v>
      </c>
      <c r="D39">
        <v>91</v>
      </c>
      <c r="E39">
        <v>-3</v>
      </c>
      <c r="F39">
        <v>26</v>
      </c>
      <c r="G39">
        <v>-4</v>
      </c>
    </row>
    <row r="40" spans="1:7">
      <c r="A40" s="25">
        <v>1313</v>
      </c>
      <c r="B40">
        <v>8560</v>
      </c>
      <c r="C40" s="190" t="s">
        <v>3376</v>
      </c>
      <c r="D40">
        <v>-45</v>
      </c>
      <c r="E40">
        <v>-86</v>
      </c>
      <c r="F40">
        <v>18</v>
      </c>
      <c r="G40">
        <v>-23</v>
      </c>
    </row>
    <row r="41" spans="1:7">
      <c r="A41" s="25">
        <v>1314</v>
      </c>
      <c r="B41">
        <v>9100</v>
      </c>
      <c r="C41" s="190" t="s">
        <v>3377</v>
      </c>
      <c r="D41">
        <v>180</v>
      </c>
      <c r="E41">
        <v>50</v>
      </c>
      <c r="F41">
        <v>-67</v>
      </c>
      <c r="G41">
        <v>49</v>
      </c>
    </row>
    <row r="42" spans="1:7">
      <c r="A42" s="25">
        <v>1315</v>
      </c>
      <c r="B42">
        <v>6480</v>
      </c>
      <c r="C42" s="190" t="s">
        <v>3378</v>
      </c>
      <c r="D42">
        <v>1</v>
      </c>
      <c r="E42">
        <v>-10</v>
      </c>
      <c r="F42">
        <v>0</v>
      </c>
      <c r="G42">
        <v>0</v>
      </c>
    </row>
    <row r="43" spans="1:7">
      <c r="A43" s="25">
        <v>1316</v>
      </c>
      <c r="B43">
        <v>1040</v>
      </c>
      <c r="C43" s="190" t="s">
        <v>3440</v>
      </c>
      <c r="D43">
        <v>97</v>
      </c>
      <c r="E43">
        <v>-5</v>
      </c>
      <c r="F43">
        <v>10</v>
      </c>
      <c r="G43">
        <v>-18</v>
      </c>
    </row>
    <row r="44" spans="1:7">
      <c r="A44" s="25">
        <v>1319</v>
      </c>
      <c r="B44">
        <v>6910</v>
      </c>
      <c r="C44" s="190" t="s">
        <v>3379</v>
      </c>
      <c r="D44">
        <v>-51</v>
      </c>
      <c r="E44">
        <v>1</v>
      </c>
      <c r="F44">
        <v>0</v>
      </c>
      <c r="G44">
        <v>1</v>
      </c>
    </row>
    <row r="45" spans="1:7">
      <c r="A45" s="25">
        <v>1321</v>
      </c>
    </row>
    <row r="46" spans="1:7">
      <c r="A46" s="25">
        <v>1323</v>
      </c>
    </row>
    <row r="47" spans="1:7">
      <c r="A47" s="25">
        <v>1324</v>
      </c>
    </row>
    <row r="48" spans="1:7">
      <c r="A48" s="25">
        <v>1325</v>
      </c>
    </row>
    <row r="49" spans="1:1">
      <c r="A49" s="25">
        <v>1326</v>
      </c>
    </row>
    <row r="50" spans="1:1">
      <c r="A50" s="25">
        <v>1333</v>
      </c>
    </row>
    <row r="51" spans="1:1">
      <c r="A51" s="25">
        <v>1336</v>
      </c>
    </row>
    <row r="52" spans="1:1">
      <c r="A52" s="25">
        <v>1337</v>
      </c>
    </row>
    <row r="53" spans="1:1">
      <c r="A53" s="25">
        <v>1338</v>
      </c>
    </row>
    <row r="54" spans="1:1">
      <c r="A54" s="25">
        <v>1339</v>
      </c>
    </row>
    <row r="55" spans="1:1">
      <c r="A55" s="25">
        <v>1340</v>
      </c>
    </row>
    <row r="56" spans="1:1">
      <c r="A56" s="25">
        <v>1402</v>
      </c>
    </row>
    <row r="57" spans="1:1">
      <c r="A57" s="25">
        <v>1409</v>
      </c>
    </row>
    <row r="58" spans="1:1">
      <c r="A58" s="25">
        <v>1410</v>
      </c>
    </row>
    <row r="59" spans="1:1">
      <c r="A59" s="25">
        <v>1413</v>
      </c>
    </row>
    <row r="60" spans="1:1">
      <c r="A60" s="25">
        <v>1414</v>
      </c>
    </row>
    <row r="61" spans="1:1">
      <c r="A61" s="25">
        <v>1416</v>
      </c>
    </row>
    <row r="62" spans="1:1">
      <c r="A62" s="25">
        <v>1417</v>
      </c>
    </row>
    <row r="63" spans="1:1">
      <c r="A63" s="25">
        <v>1418</v>
      </c>
    </row>
    <row r="64" spans="1:1">
      <c r="A64" s="25">
        <v>1419</v>
      </c>
    </row>
    <row r="65" spans="1:1">
      <c r="A65" s="25">
        <v>1423</v>
      </c>
    </row>
    <row r="66" spans="1:1">
      <c r="A66" s="25">
        <v>1432</v>
      </c>
    </row>
    <row r="67" spans="1:1">
      <c r="A67" s="25">
        <v>1434</v>
      </c>
    </row>
    <row r="68" spans="1:1">
      <c r="A68" s="25">
        <v>1435</v>
      </c>
    </row>
    <row r="69" spans="1:1">
      <c r="A69" s="25">
        <v>1436</v>
      </c>
    </row>
    <row r="70" spans="1:1">
      <c r="A70" s="25">
        <v>1437</v>
      </c>
    </row>
    <row r="71" spans="1:1">
      <c r="A71" s="25">
        <v>1438</v>
      </c>
    </row>
    <row r="72" spans="1:1">
      <c r="A72" s="25">
        <v>1439</v>
      </c>
    </row>
    <row r="73" spans="1:1">
      <c r="A73" s="25">
        <v>1440</v>
      </c>
    </row>
    <row r="74" spans="1:1">
      <c r="A74" s="25">
        <v>1441</v>
      </c>
    </row>
    <row r="75" spans="1:1">
      <c r="A75" s="25">
        <v>1442</v>
      </c>
    </row>
    <row r="76" spans="1:1">
      <c r="A76" s="25">
        <v>1443</v>
      </c>
    </row>
    <row r="77" spans="1:1">
      <c r="A77" s="25">
        <v>1444</v>
      </c>
    </row>
    <row r="78" spans="1:1">
      <c r="A78" s="25">
        <v>1445</v>
      </c>
    </row>
    <row r="79" spans="1:1">
      <c r="A79" s="25">
        <v>1446</v>
      </c>
    </row>
    <row r="80" spans="1:1">
      <c r="A80" s="25">
        <v>1447</v>
      </c>
    </row>
    <row r="81" spans="1:1">
      <c r="A81" s="25">
        <v>1449</v>
      </c>
    </row>
    <row r="82" spans="1:1">
      <c r="A82" s="25">
        <v>1451</v>
      </c>
    </row>
    <row r="83" spans="1:1">
      <c r="A83" s="25">
        <v>1452</v>
      </c>
    </row>
    <row r="84" spans="1:1">
      <c r="A84" s="25">
        <v>1453</v>
      </c>
    </row>
    <row r="85" spans="1:1">
      <c r="A85" s="25">
        <v>1454</v>
      </c>
    </row>
    <row r="86" spans="1:1">
      <c r="A86" s="25">
        <v>1455</v>
      </c>
    </row>
    <row r="87" spans="1:1">
      <c r="A87" s="25">
        <v>1456</v>
      </c>
    </row>
    <row r="88" spans="1:1">
      <c r="A88" s="25">
        <v>1457</v>
      </c>
    </row>
    <row r="89" spans="1:1">
      <c r="A89" s="25">
        <v>1459</v>
      </c>
    </row>
    <row r="90" spans="1:1">
      <c r="A90" s="25">
        <v>1460</v>
      </c>
    </row>
    <row r="91" spans="1:1">
      <c r="A91" s="25">
        <v>1463</v>
      </c>
    </row>
    <row r="92" spans="1:1">
      <c r="A92" s="25">
        <v>1464</v>
      </c>
    </row>
    <row r="93" spans="1:1">
      <c r="A93" s="25">
        <v>1465</v>
      </c>
    </row>
    <row r="94" spans="1:1">
      <c r="A94" s="25">
        <v>1466</v>
      </c>
    </row>
    <row r="95" spans="1:1">
      <c r="A95" s="25">
        <v>1467</v>
      </c>
    </row>
    <row r="96" spans="1:1">
      <c r="A96" s="25">
        <v>1468</v>
      </c>
    </row>
    <row r="97" spans="1:1">
      <c r="A97" s="25">
        <v>1469</v>
      </c>
    </row>
    <row r="98" spans="1:1">
      <c r="A98" s="25">
        <v>1470</v>
      </c>
    </row>
    <row r="99" spans="1:1">
      <c r="A99" s="25">
        <v>1471</v>
      </c>
    </row>
    <row r="100" spans="1:1">
      <c r="A100" s="25">
        <v>1472</v>
      </c>
    </row>
    <row r="101" spans="1:1">
      <c r="A101" s="25">
        <v>1473</v>
      </c>
    </row>
    <row r="102" spans="1:1">
      <c r="A102" s="25">
        <v>1474</v>
      </c>
    </row>
    <row r="103" spans="1:1">
      <c r="A103" s="25">
        <v>1475</v>
      </c>
    </row>
    <row r="104" spans="1:1">
      <c r="A104" s="25">
        <v>1476</v>
      </c>
    </row>
    <row r="105" spans="1:1">
      <c r="A105" s="25">
        <v>1477</v>
      </c>
    </row>
    <row r="106" spans="1:1">
      <c r="A106" s="25">
        <v>1503</v>
      </c>
    </row>
    <row r="107" spans="1:1">
      <c r="A107" s="25">
        <v>1504</v>
      </c>
    </row>
    <row r="108" spans="1:1">
      <c r="A108" s="25">
        <v>1506</v>
      </c>
    </row>
    <row r="109" spans="1:1">
      <c r="A109" s="25">
        <v>1507</v>
      </c>
    </row>
    <row r="110" spans="1:1">
      <c r="A110" s="25">
        <v>1512</v>
      </c>
    </row>
    <row r="111" spans="1:1">
      <c r="A111" s="25">
        <v>1513</v>
      </c>
    </row>
    <row r="112" spans="1:1">
      <c r="A112" s="25">
        <v>1514</v>
      </c>
    </row>
    <row r="113" spans="1:1">
      <c r="A113" s="25">
        <v>1515</v>
      </c>
    </row>
    <row r="114" spans="1:1">
      <c r="A114" s="25">
        <v>1516</v>
      </c>
    </row>
    <row r="115" spans="1:1">
      <c r="A115" s="25">
        <v>1517</v>
      </c>
    </row>
    <row r="116" spans="1:1">
      <c r="A116" s="25">
        <v>1519</v>
      </c>
    </row>
    <row r="117" spans="1:1">
      <c r="A117" s="25">
        <v>1521</v>
      </c>
    </row>
    <row r="118" spans="1:1">
      <c r="A118" s="25">
        <v>1522</v>
      </c>
    </row>
    <row r="119" spans="1:1">
      <c r="A119" s="25">
        <v>1524</v>
      </c>
    </row>
    <row r="120" spans="1:1">
      <c r="A120" s="25">
        <v>1525</v>
      </c>
    </row>
    <row r="121" spans="1:1">
      <c r="A121" s="25">
        <v>1526</v>
      </c>
    </row>
    <row r="122" spans="1:1">
      <c r="A122" s="25">
        <v>1527</v>
      </c>
    </row>
    <row r="123" spans="1:1">
      <c r="A123" s="25">
        <v>1528</v>
      </c>
    </row>
    <row r="124" spans="1:1">
      <c r="A124" s="25">
        <v>1529</v>
      </c>
    </row>
    <row r="125" spans="1:1">
      <c r="A125" s="25">
        <v>1530</v>
      </c>
    </row>
    <row r="126" spans="1:1">
      <c r="A126" s="25">
        <v>1531</v>
      </c>
    </row>
    <row r="127" spans="1:1">
      <c r="A127" s="25">
        <v>1532</v>
      </c>
    </row>
    <row r="128" spans="1:1">
      <c r="A128" s="25">
        <v>1533</v>
      </c>
    </row>
    <row r="129" spans="1:1">
      <c r="A129" s="25">
        <v>1535</v>
      </c>
    </row>
    <row r="130" spans="1:1">
      <c r="A130" s="25">
        <v>1536</v>
      </c>
    </row>
    <row r="131" spans="1:1">
      <c r="A131" s="25">
        <v>1537</v>
      </c>
    </row>
    <row r="132" spans="1:1">
      <c r="A132" s="25">
        <v>1538</v>
      </c>
    </row>
    <row r="133" spans="1:1">
      <c r="A133" s="25">
        <v>1539</v>
      </c>
    </row>
    <row r="134" spans="1:1">
      <c r="A134" s="25">
        <v>1540</v>
      </c>
    </row>
    <row r="135" spans="1:1">
      <c r="A135" s="25">
        <v>1541</v>
      </c>
    </row>
    <row r="136" spans="1:1">
      <c r="A136" s="25">
        <v>1558</v>
      </c>
    </row>
    <row r="137" spans="1:1">
      <c r="A137" s="25">
        <v>1560</v>
      </c>
    </row>
    <row r="138" spans="1:1">
      <c r="A138" s="25">
        <v>1565</v>
      </c>
    </row>
    <row r="139" spans="1:1">
      <c r="A139" s="25">
        <v>1566</v>
      </c>
    </row>
    <row r="140" spans="1:1">
      <c r="A140" s="25">
        <v>1568</v>
      </c>
    </row>
    <row r="141" spans="1:1">
      <c r="A141" s="25">
        <v>1569</v>
      </c>
    </row>
    <row r="142" spans="1:1">
      <c r="A142" s="25">
        <v>1570</v>
      </c>
    </row>
    <row r="143" spans="1:1">
      <c r="A143" s="25">
        <v>1580</v>
      </c>
    </row>
    <row r="144" spans="1:1">
      <c r="A144" s="25">
        <v>1582</v>
      </c>
    </row>
    <row r="145" spans="1:1">
      <c r="A145" s="25">
        <v>1583</v>
      </c>
    </row>
    <row r="146" spans="1:1">
      <c r="A146" s="25">
        <v>1584</v>
      </c>
    </row>
    <row r="147" spans="1:1">
      <c r="A147" s="25">
        <v>1586</v>
      </c>
    </row>
    <row r="148" spans="1:1">
      <c r="A148" s="25">
        <v>1589</v>
      </c>
    </row>
    <row r="149" spans="1:1">
      <c r="A149" s="25">
        <v>1590</v>
      </c>
    </row>
    <row r="150" spans="1:1">
      <c r="A150" s="25">
        <v>1591</v>
      </c>
    </row>
    <row r="151" spans="1:1">
      <c r="A151" s="25">
        <v>1592</v>
      </c>
    </row>
    <row r="152" spans="1:1">
      <c r="A152" s="25">
        <v>1593</v>
      </c>
    </row>
    <row r="153" spans="1:1">
      <c r="A153" s="25">
        <v>1595</v>
      </c>
    </row>
    <row r="154" spans="1:1">
      <c r="A154" s="25">
        <v>1597</v>
      </c>
    </row>
    <row r="155" spans="1:1">
      <c r="A155" s="25">
        <v>1599</v>
      </c>
    </row>
    <row r="156" spans="1:1">
      <c r="A156" s="25">
        <v>1603</v>
      </c>
    </row>
    <row r="157" spans="1:1">
      <c r="A157" s="25">
        <v>1604</v>
      </c>
    </row>
    <row r="158" spans="1:1">
      <c r="A158" s="25">
        <v>1605</v>
      </c>
    </row>
    <row r="159" spans="1:1">
      <c r="A159" s="25">
        <v>1608</v>
      </c>
    </row>
    <row r="160" spans="1:1">
      <c r="A160" s="25">
        <v>1609</v>
      </c>
    </row>
    <row r="161" spans="1:1">
      <c r="A161" s="25">
        <v>1611</v>
      </c>
    </row>
    <row r="162" spans="1:1">
      <c r="A162" s="25">
        <v>1612</v>
      </c>
    </row>
    <row r="163" spans="1:1">
      <c r="A163" s="25">
        <v>1613</v>
      </c>
    </row>
    <row r="164" spans="1:1">
      <c r="A164" s="25">
        <v>1614</v>
      </c>
    </row>
    <row r="165" spans="1:1">
      <c r="A165" s="25">
        <v>1615</v>
      </c>
    </row>
    <row r="166" spans="1:1">
      <c r="A166" s="25">
        <v>1616</v>
      </c>
    </row>
    <row r="167" spans="1:1">
      <c r="A167" s="25">
        <v>1617</v>
      </c>
    </row>
    <row r="168" spans="1:1">
      <c r="A168" s="25">
        <v>1618</v>
      </c>
    </row>
    <row r="169" spans="1:1">
      <c r="A169" s="25">
        <v>1626</v>
      </c>
    </row>
    <row r="170" spans="1:1">
      <c r="A170" s="25">
        <v>1701</v>
      </c>
    </row>
    <row r="171" spans="1:1">
      <c r="A171" s="25">
        <v>1702</v>
      </c>
    </row>
    <row r="172" spans="1:1">
      <c r="A172" s="25">
        <v>1704</v>
      </c>
    </row>
    <row r="173" spans="1:1">
      <c r="A173" s="25">
        <v>1707</v>
      </c>
    </row>
    <row r="174" spans="1:1">
      <c r="A174" s="25">
        <v>1708</v>
      </c>
    </row>
    <row r="175" spans="1:1">
      <c r="A175" s="25">
        <v>1709</v>
      </c>
    </row>
    <row r="176" spans="1:1">
      <c r="A176" s="25">
        <v>1710</v>
      </c>
    </row>
    <row r="177" spans="1:1">
      <c r="A177" s="25">
        <v>1711</v>
      </c>
    </row>
    <row r="178" spans="1:1">
      <c r="A178" s="25">
        <v>1712</v>
      </c>
    </row>
    <row r="179" spans="1:1">
      <c r="A179" s="25">
        <v>1713</v>
      </c>
    </row>
    <row r="180" spans="1:1">
      <c r="A180" s="25">
        <v>1714</v>
      </c>
    </row>
    <row r="181" spans="1:1">
      <c r="A181" s="25">
        <v>1715</v>
      </c>
    </row>
    <row r="182" spans="1:1">
      <c r="A182" s="25">
        <v>1717</v>
      </c>
    </row>
    <row r="183" spans="1:1">
      <c r="A183" s="25">
        <v>1718</v>
      </c>
    </row>
    <row r="184" spans="1:1">
      <c r="A184" s="25">
        <v>1720</v>
      </c>
    </row>
    <row r="185" spans="1:1">
      <c r="A185" s="25">
        <v>1721</v>
      </c>
    </row>
    <row r="186" spans="1:1">
      <c r="A186" s="25">
        <v>1722</v>
      </c>
    </row>
    <row r="187" spans="1:1">
      <c r="A187" s="25">
        <v>1723</v>
      </c>
    </row>
    <row r="188" spans="1:1">
      <c r="A188" s="25">
        <v>1724</v>
      </c>
    </row>
    <row r="189" spans="1:1">
      <c r="A189" s="25">
        <v>1725</v>
      </c>
    </row>
    <row r="190" spans="1:1">
      <c r="A190" s="25">
        <v>1726</v>
      </c>
    </row>
    <row r="191" spans="1:1">
      <c r="A191" s="25">
        <v>1727</v>
      </c>
    </row>
    <row r="192" spans="1:1">
      <c r="A192" s="25">
        <v>1729</v>
      </c>
    </row>
    <row r="193" spans="1:1">
      <c r="A193" s="25">
        <v>1730</v>
      </c>
    </row>
    <row r="194" spans="1:1">
      <c r="A194" s="25">
        <v>1731</v>
      </c>
    </row>
    <row r="195" spans="1:1">
      <c r="A195" s="25">
        <v>1732</v>
      </c>
    </row>
    <row r="196" spans="1:1">
      <c r="A196" s="25">
        <v>1733</v>
      </c>
    </row>
    <row r="197" spans="1:1">
      <c r="A197" s="25">
        <v>1734</v>
      </c>
    </row>
    <row r="198" spans="1:1">
      <c r="A198" s="25">
        <v>1735</v>
      </c>
    </row>
    <row r="199" spans="1:1">
      <c r="A199" s="25">
        <v>1736</v>
      </c>
    </row>
    <row r="200" spans="1:1">
      <c r="A200" s="25">
        <v>1737</v>
      </c>
    </row>
    <row r="201" spans="1:1">
      <c r="A201" s="25">
        <v>1742</v>
      </c>
    </row>
    <row r="202" spans="1:1">
      <c r="A202" s="25">
        <v>1752</v>
      </c>
    </row>
    <row r="203" spans="1:1">
      <c r="A203" s="25">
        <v>1762</v>
      </c>
    </row>
    <row r="204" spans="1:1">
      <c r="A204" s="25">
        <v>1773</v>
      </c>
    </row>
    <row r="205" spans="1:1">
      <c r="A205" s="25">
        <v>1777</v>
      </c>
    </row>
    <row r="206" spans="1:1">
      <c r="A206" s="25">
        <v>1781</v>
      </c>
    </row>
    <row r="207" spans="1:1">
      <c r="A207" s="25">
        <v>1783</v>
      </c>
    </row>
    <row r="208" spans="1:1">
      <c r="A208" s="25">
        <v>1784</v>
      </c>
    </row>
    <row r="209" spans="1:1">
      <c r="A209" s="25">
        <v>1785</v>
      </c>
    </row>
    <row r="210" spans="1:1">
      <c r="A210" s="25">
        <v>1786</v>
      </c>
    </row>
    <row r="211" spans="1:1">
      <c r="A211" s="25">
        <v>1787</v>
      </c>
    </row>
    <row r="212" spans="1:1">
      <c r="A212" s="25">
        <v>1788</v>
      </c>
    </row>
    <row r="213" spans="1:1">
      <c r="A213" s="25">
        <v>1789</v>
      </c>
    </row>
    <row r="214" spans="1:1">
      <c r="A214" s="25">
        <v>1795</v>
      </c>
    </row>
    <row r="215" spans="1:1">
      <c r="A215" s="25">
        <v>1799</v>
      </c>
    </row>
    <row r="216" spans="1:1">
      <c r="A216" s="25">
        <v>1802</v>
      </c>
    </row>
    <row r="217" spans="1:1">
      <c r="A217" s="25">
        <v>1805</v>
      </c>
    </row>
    <row r="218" spans="1:1">
      <c r="A218" s="25">
        <v>1806</v>
      </c>
    </row>
    <row r="219" spans="1:1">
      <c r="A219" s="25">
        <v>1808</v>
      </c>
    </row>
    <row r="220" spans="1:1">
      <c r="A220" s="25">
        <v>1809</v>
      </c>
    </row>
    <row r="221" spans="1:1">
      <c r="A221" s="25">
        <v>1810</v>
      </c>
    </row>
    <row r="222" spans="1:1">
      <c r="A222" s="25">
        <v>1813</v>
      </c>
    </row>
    <row r="223" spans="1:1">
      <c r="A223" s="25">
        <v>1815</v>
      </c>
    </row>
    <row r="224" spans="1:1">
      <c r="A224" s="25">
        <v>1902</v>
      </c>
    </row>
    <row r="225" spans="1:1">
      <c r="A225" s="25">
        <v>1903</v>
      </c>
    </row>
    <row r="226" spans="1:1">
      <c r="A226" s="25">
        <v>1904</v>
      </c>
    </row>
    <row r="227" spans="1:1">
      <c r="A227" s="25">
        <v>1905</v>
      </c>
    </row>
    <row r="228" spans="1:1">
      <c r="A228" s="25">
        <v>1906</v>
      </c>
    </row>
    <row r="229" spans="1:1">
      <c r="A229" s="25">
        <v>1907</v>
      </c>
    </row>
    <row r="230" spans="1:1">
      <c r="A230" s="25">
        <v>1909</v>
      </c>
    </row>
    <row r="231" spans="1:1">
      <c r="A231" s="25">
        <v>2002</v>
      </c>
    </row>
    <row r="232" spans="1:1">
      <c r="A232" s="25">
        <v>2006</v>
      </c>
    </row>
    <row r="233" spans="1:1">
      <c r="A233" s="25">
        <v>2007</v>
      </c>
    </row>
    <row r="234" spans="1:1">
      <c r="A234" s="25">
        <v>2008</v>
      </c>
    </row>
    <row r="235" spans="1:1">
      <c r="A235" s="25">
        <v>2009</v>
      </c>
    </row>
    <row r="236" spans="1:1">
      <c r="A236" s="25">
        <v>2010</v>
      </c>
    </row>
    <row r="237" spans="1:1">
      <c r="A237" s="25">
        <v>2012</v>
      </c>
    </row>
    <row r="238" spans="1:1">
      <c r="A238" s="25">
        <v>2013</v>
      </c>
    </row>
    <row r="239" spans="1:1">
      <c r="A239" s="25">
        <v>2014</v>
      </c>
    </row>
    <row r="240" spans="1:1">
      <c r="A240" s="25">
        <v>2015</v>
      </c>
    </row>
    <row r="241" spans="1:1">
      <c r="A241" s="25">
        <v>2017</v>
      </c>
    </row>
    <row r="242" spans="1:1">
      <c r="A242" s="25">
        <v>2020</v>
      </c>
    </row>
    <row r="243" spans="1:1">
      <c r="A243" s="25">
        <v>2022</v>
      </c>
    </row>
    <row r="244" spans="1:1">
      <c r="A244" s="25">
        <v>2023</v>
      </c>
    </row>
    <row r="245" spans="1:1">
      <c r="A245" s="25">
        <v>2024</v>
      </c>
    </row>
    <row r="246" spans="1:1">
      <c r="A246" s="25">
        <v>2025</v>
      </c>
    </row>
    <row r="247" spans="1:1">
      <c r="A247" s="25">
        <v>2027</v>
      </c>
    </row>
    <row r="248" spans="1:1">
      <c r="A248" s="25">
        <v>2028</v>
      </c>
    </row>
    <row r="249" spans="1:1">
      <c r="A249" s="25">
        <v>2029</v>
      </c>
    </row>
    <row r="250" spans="1:1">
      <c r="A250" s="25">
        <v>2030</v>
      </c>
    </row>
    <row r="251" spans="1:1">
      <c r="A251" s="25">
        <v>2031</v>
      </c>
    </row>
    <row r="252" spans="1:1">
      <c r="A252" s="25">
        <v>2032</v>
      </c>
    </row>
    <row r="253" spans="1:1">
      <c r="A253" s="25">
        <v>2033</v>
      </c>
    </row>
    <row r="254" spans="1:1">
      <c r="A254" s="25">
        <v>2034</v>
      </c>
    </row>
    <row r="255" spans="1:1">
      <c r="A255" s="25">
        <v>2035</v>
      </c>
    </row>
    <row r="256" spans="1:1">
      <c r="A256" s="25">
        <v>2038</v>
      </c>
    </row>
    <row r="257" spans="1:1">
      <c r="A257" s="25">
        <v>2049</v>
      </c>
    </row>
    <row r="258" spans="1:1">
      <c r="A258" s="25">
        <v>2059</v>
      </c>
    </row>
    <row r="259" spans="1:1">
      <c r="A259" s="25">
        <v>2061</v>
      </c>
    </row>
    <row r="260" spans="1:1">
      <c r="A260" s="25">
        <v>2062</v>
      </c>
    </row>
    <row r="261" spans="1:1">
      <c r="A261" s="25">
        <v>2063</v>
      </c>
    </row>
    <row r="262" spans="1:1">
      <c r="A262" s="25">
        <v>2064</v>
      </c>
    </row>
    <row r="263" spans="1:1">
      <c r="A263" s="25">
        <v>2066</v>
      </c>
    </row>
    <row r="264" spans="1:1">
      <c r="A264" s="25">
        <v>2067</v>
      </c>
    </row>
    <row r="265" spans="1:1">
      <c r="A265" s="25">
        <v>2101</v>
      </c>
    </row>
    <row r="266" spans="1:1">
      <c r="A266" s="25">
        <v>2102</v>
      </c>
    </row>
    <row r="267" spans="1:1">
      <c r="A267" s="25">
        <v>2103</v>
      </c>
    </row>
    <row r="268" spans="1:1">
      <c r="A268" s="25">
        <v>2104</v>
      </c>
    </row>
    <row r="269" spans="1:1">
      <c r="A269" s="25">
        <v>2105</v>
      </c>
    </row>
    <row r="270" spans="1:1">
      <c r="A270" s="25">
        <v>2106</v>
      </c>
    </row>
    <row r="271" spans="1:1">
      <c r="A271" s="25">
        <v>2107</v>
      </c>
    </row>
    <row r="272" spans="1:1">
      <c r="A272" s="25">
        <v>2108</v>
      </c>
    </row>
    <row r="273" spans="1:1">
      <c r="A273" s="25">
        <v>2109</v>
      </c>
    </row>
    <row r="274" spans="1:1">
      <c r="A274" s="25">
        <v>2114</v>
      </c>
    </row>
    <row r="275" spans="1:1">
      <c r="A275" s="25">
        <v>2115</v>
      </c>
    </row>
    <row r="276" spans="1:1">
      <c r="A276" s="25">
        <v>2201</v>
      </c>
    </row>
    <row r="277" spans="1:1">
      <c r="A277" s="25">
        <v>2204</v>
      </c>
    </row>
    <row r="278" spans="1:1">
      <c r="A278" s="25">
        <v>2206</v>
      </c>
    </row>
    <row r="279" spans="1:1">
      <c r="A279" s="25">
        <v>2207</v>
      </c>
    </row>
    <row r="280" spans="1:1">
      <c r="A280" s="25">
        <v>2208</v>
      </c>
    </row>
    <row r="281" spans="1:1">
      <c r="A281" s="25">
        <v>2221</v>
      </c>
    </row>
    <row r="282" spans="1:1">
      <c r="A282" s="25">
        <v>2227</v>
      </c>
    </row>
    <row r="283" spans="1:1">
      <c r="A283" s="25">
        <v>2228</v>
      </c>
    </row>
    <row r="284" spans="1:1">
      <c r="A284" s="25">
        <v>2230</v>
      </c>
    </row>
    <row r="285" spans="1:1">
      <c r="A285" s="25">
        <v>2231</v>
      </c>
    </row>
    <row r="286" spans="1:1">
      <c r="A286" s="25">
        <v>2233</v>
      </c>
    </row>
    <row r="287" spans="1:1">
      <c r="A287" s="25">
        <v>2235</v>
      </c>
    </row>
    <row r="288" spans="1:1">
      <c r="A288" s="25">
        <v>2301</v>
      </c>
    </row>
    <row r="289" spans="1:1">
      <c r="A289" s="25">
        <v>2302</v>
      </c>
    </row>
    <row r="290" spans="1:1">
      <c r="A290" s="25">
        <v>2303</v>
      </c>
    </row>
    <row r="291" spans="1:1">
      <c r="A291" s="25">
        <v>2305</v>
      </c>
    </row>
    <row r="292" spans="1:1">
      <c r="A292" s="25">
        <v>2308</v>
      </c>
    </row>
    <row r="293" spans="1:1">
      <c r="A293" s="25">
        <v>2311</v>
      </c>
    </row>
    <row r="294" spans="1:1">
      <c r="A294" s="25">
        <v>2312</v>
      </c>
    </row>
    <row r="295" spans="1:1">
      <c r="A295" s="25">
        <v>2313</v>
      </c>
    </row>
    <row r="296" spans="1:1">
      <c r="A296" s="25">
        <v>2314</v>
      </c>
    </row>
    <row r="297" spans="1:1">
      <c r="A297" s="25">
        <v>2316</v>
      </c>
    </row>
    <row r="298" spans="1:1">
      <c r="A298" s="25">
        <v>2317</v>
      </c>
    </row>
    <row r="299" spans="1:1">
      <c r="A299" s="25">
        <v>2321</v>
      </c>
    </row>
    <row r="300" spans="1:1">
      <c r="A300" s="25">
        <v>2323</v>
      </c>
    </row>
    <row r="301" spans="1:1">
      <c r="A301" s="25">
        <v>2324</v>
      </c>
    </row>
    <row r="302" spans="1:1">
      <c r="A302" s="25">
        <v>2325</v>
      </c>
    </row>
    <row r="303" spans="1:1">
      <c r="A303" s="25">
        <v>2327</v>
      </c>
    </row>
    <row r="304" spans="1:1">
      <c r="A304" s="25">
        <v>2328</v>
      </c>
    </row>
    <row r="305" spans="1:1">
      <c r="A305" s="25">
        <v>2329</v>
      </c>
    </row>
    <row r="306" spans="1:1">
      <c r="A306" s="25">
        <v>2330</v>
      </c>
    </row>
    <row r="307" spans="1:1">
      <c r="A307" s="25">
        <v>2331</v>
      </c>
    </row>
    <row r="308" spans="1:1">
      <c r="A308" s="25">
        <v>2332</v>
      </c>
    </row>
    <row r="309" spans="1:1">
      <c r="A309" s="25">
        <v>2337</v>
      </c>
    </row>
    <row r="310" spans="1:1">
      <c r="A310" s="25">
        <v>2338</v>
      </c>
    </row>
    <row r="311" spans="1:1">
      <c r="A311" s="25">
        <v>2340</v>
      </c>
    </row>
    <row r="312" spans="1:1">
      <c r="A312" s="25">
        <v>2342</v>
      </c>
    </row>
    <row r="313" spans="1:1">
      <c r="A313" s="25">
        <v>2344</v>
      </c>
    </row>
    <row r="314" spans="1:1">
      <c r="A314" s="25">
        <v>2345</v>
      </c>
    </row>
    <row r="315" spans="1:1">
      <c r="A315" s="25">
        <v>2347</v>
      </c>
    </row>
    <row r="316" spans="1:1">
      <c r="A316" s="25">
        <v>2348</v>
      </c>
    </row>
    <row r="317" spans="1:1">
      <c r="A317" s="25">
        <v>2349</v>
      </c>
    </row>
    <row r="318" spans="1:1">
      <c r="A318" s="25">
        <v>2351</v>
      </c>
    </row>
    <row r="319" spans="1:1">
      <c r="A319" s="25">
        <v>2352</v>
      </c>
    </row>
    <row r="320" spans="1:1">
      <c r="A320" s="25">
        <v>2353</v>
      </c>
    </row>
    <row r="321" spans="1:1">
      <c r="A321" s="25">
        <v>2354</v>
      </c>
    </row>
    <row r="322" spans="1:1">
      <c r="A322" s="25">
        <v>2355</v>
      </c>
    </row>
    <row r="323" spans="1:1">
      <c r="A323" s="25">
        <v>2356</v>
      </c>
    </row>
    <row r="324" spans="1:1">
      <c r="A324" s="25">
        <v>2357</v>
      </c>
    </row>
    <row r="325" spans="1:1">
      <c r="A325" s="25">
        <v>2358</v>
      </c>
    </row>
    <row r="326" spans="1:1">
      <c r="A326" s="25">
        <v>2359</v>
      </c>
    </row>
    <row r="327" spans="1:1">
      <c r="A327" s="25">
        <v>2360</v>
      </c>
    </row>
    <row r="328" spans="1:1">
      <c r="A328" s="25">
        <v>2361</v>
      </c>
    </row>
    <row r="329" spans="1:1">
      <c r="A329" s="25">
        <v>2362</v>
      </c>
    </row>
    <row r="330" spans="1:1">
      <c r="A330" s="25">
        <v>2363</v>
      </c>
    </row>
    <row r="331" spans="1:1">
      <c r="A331" s="25">
        <v>2364</v>
      </c>
    </row>
    <row r="332" spans="1:1">
      <c r="A332" s="25">
        <v>2365</v>
      </c>
    </row>
    <row r="333" spans="1:1">
      <c r="A333" s="25">
        <v>2367</v>
      </c>
    </row>
    <row r="334" spans="1:1">
      <c r="A334" s="25">
        <v>2368</v>
      </c>
    </row>
    <row r="335" spans="1:1">
      <c r="A335" s="25">
        <v>2369</v>
      </c>
    </row>
    <row r="336" spans="1:1">
      <c r="A336" s="25">
        <v>2371</v>
      </c>
    </row>
    <row r="337" spans="1:1">
      <c r="A337" s="25">
        <v>2373</v>
      </c>
    </row>
    <row r="338" spans="1:1">
      <c r="A338" s="25">
        <v>2374</v>
      </c>
    </row>
    <row r="339" spans="1:1">
      <c r="A339" s="25">
        <v>2375</v>
      </c>
    </row>
    <row r="340" spans="1:1">
      <c r="A340" s="25">
        <v>2376</v>
      </c>
    </row>
    <row r="341" spans="1:1">
      <c r="A341" s="25">
        <v>2377</v>
      </c>
    </row>
    <row r="342" spans="1:1">
      <c r="A342" s="25">
        <v>2379</v>
      </c>
    </row>
    <row r="343" spans="1:1">
      <c r="A343" s="25">
        <v>2380</v>
      </c>
    </row>
    <row r="344" spans="1:1">
      <c r="A344" s="25">
        <v>2382</v>
      </c>
    </row>
    <row r="345" spans="1:1">
      <c r="A345" s="25">
        <v>2383</v>
      </c>
    </row>
    <row r="346" spans="1:1">
      <c r="A346" s="25">
        <v>2385</v>
      </c>
    </row>
    <row r="347" spans="1:1">
      <c r="A347" s="25">
        <v>2387</v>
      </c>
    </row>
    <row r="348" spans="1:1">
      <c r="A348" s="25">
        <v>2388</v>
      </c>
    </row>
    <row r="349" spans="1:1">
      <c r="A349" s="25">
        <v>2390</v>
      </c>
    </row>
    <row r="350" spans="1:1">
      <c r="A350" s="25">
        <v>2392</v>
      </c>
    </row>
    <row r="351" spans="1:1">
      <c r="A351" s="25">
        <v>2393</v>
      </c>
    </row>
    <row r="352" spans="1:1">
      <c r="A352" s="25">
        <v>2395</v>
      </c>
    </row>
    <row r="353" spans="1:1">
      <c r="A353" s="25">
        <v>2397</v>
      </c>
    </row>
    <row r="354" spans="1:1">
      <c r="A354" s="25">
        <v>2399</v>
      </c>
    </row>
    <row r="355" spans="1:1">
      <c r="A355" s="25">
        <v>2401</v>
      </c>
    </row>
    <row r="356" spans="1:1">
      <c r="A356" s="25">
        <v>2402</v>
      </c>
    </row>
    <row r="357" spans="1:1">
      <c r="A357" s="25">
        <v>2404</v>
      </c>
    </row>
    <row r="358" spans="1:1">
      <c r="A358" s="25">
        <v>2405</v>
      </c>
    </row>
    <row r="359" spans="1:1">
      <c r="A359" s="25">
        <v>2406</v>
      </c>
    </row>
    <row r="360" spans="1:1">
      <c r="A360" s="25">
        <v>2408</v>
      </c>
    </row>
    <row r="361" spans="1:1">
      <c r="A361" s="25">
        <v>2409</v>
      </c>
    </row>
    <row r="362" spans="1:1">
      <c r="A362" s="25">
        <v>2412</v>
      </c>
    </row>
    <row r="363" spans="1:1">
      <c r="A363" s="25">
        <v>2413</v>
      </c>
    </row>
    <row r="364" spans="1:1">
      <c r="A364" s="25">
        <v>2414</v>
      </c>
    </row>
    <row r="365" spans="1:1">
      <c r="A365" s="25">
        <v>2415</v>
      </c>
    </row>
    <row r="366" spans="1:1">
      <c r="A366" s="25">
        <v>2417</v>
      </c>
    </row>
    <row r="367" spans="1:1">
      <c r="A367" s="25">
        <v>2419</v>
      </c>
    </row>
    <row r="368" spans="1:1">
      <c r="A368" s="25">
        <v>2420</v>
      </c>
    </row>
    <row r="369" spans="1:1">
      <c r="A369" s="25">
        <v>2421</v>
      </c>
    </row>
    <row r="370" spans="1:1">
      <c r="A370" s="25">
        <v>2423</v>
      </c>
    </row>
    <row r="371" spans="1:1">
      <c r="A371" s="25">
        <v>2424</v>
      </c>
    </row>
    <row r="372" spans="1:1">
      <c r="A372" s="25">
        <v>2425</v>
      </c>
    </row>
    <row r="373" spans="1:1">
      <c r="A373" s="25">
        <v>2426</v>
      </c>
    </row>
    <row r="374" spans="1:1">
      <c r="A374" s="25">
        <v>2427</v>
      </c>
    </row>
    <row r="375" spans="1:1">
      <c r="A375" s="25">
        <v>2428</v>
      </c>
    </row>
    <row r="376" spans="1:1">
      <c r="A376" s="25">
        <v>2429</v>
      </c>
    </row>
    <row r="377" spans="1:1">
      <c r="A377" s="25">
        <v>2430</v>
      </c>
    </row>
    <row r="378" spans="1:1">
      <c r="A378" s="25">
        <v>2431</v>
      </c>
    </row>
    <row r="379" spans="1:1">
      <c r="A379" s="25">
        <v>2433</v>
      </c>
    </row>
    <row r="380" spans="1:1">
      <c r="A380" s="25">
        <v>2434</v>
      </c>
    </row>
    <row r="381" spans="1:1">
      <c r="A381" s="25">
        <v>2436</v>
      </c>
    </row>
    <row r="382" spans="1:1">
      <c r="A382" s="25">
        <v>2437</v>
      </c>
    </row>
    <row r="383" spans="1:1">
      <c r="A383" s="25">
        <v>2438</v>
      </c>
    </row>
    <row r="384" spans="1:1">
      <c r="A384" s="25">
        <v>2439</v>
      </c>
    </row>
    <row r="385" spans="1:1">
      <c r="A385" s="25">
        <v>2440</v>
      </c>
    </row>
    <row r="386" spans="1:1">
      <c r="A386" s="25">
        <v>2441</v>
      </c>
    </row>
    <row r="387" spans="1:1">
      <c r="A387" s="25">
        <v>2442</v>
      </c>
    </row>
    <row r="388" spans="1:1">
      <c r="A388" s="25">
        <v>2443</v>
      </c>
    </row>
    <row r="389" spans="1:1">
      <c r="A389" s="25">
        <v>2444</v>
      </c>
    </row>
    <row r="390" spans="1:1">
      <c r="A390" s="25">
        <v>2448</v>
      </c>
    </row>
    <row r="391" spans="1:1">
      <c r="A391" s="25">
        <v>2449</v>
      </c>
    </row>
    <row r="392" spans="1:1">
      <c r="A392" s="25">
        <v>2450</v>
      </c>
    </row>
    <row r="393" spans="1:1">
      <c r="A393" s="25">
        <v>2451</v>
      </c>
    </row>
    <row r="394" spans="1:1">
      <c r="A394" s="25">
        <v>2453</v>
      </c>
    </row>
    <row r="395" spans="1:1">
      <c r="A395" s="25">
        <v>2454</v>
      </c>
    </row>
    <row r="396" spans="1:1">
      <c r="A396" s="25">
        <v>2455</v>
      </c>
    </row>
    <row r="397" spans="1:1">
      <c r="A397" s="25">
        <v>2456</v>
      </c>
    </row>
    <row r="398" spans="1:1">
      <c r="A398" s="25">
        <v>2457</v>
      </c>
    </row>
    <row r="399" spans="1:1">
      <c r="A399" s="25">
        <v>2458</v>
      </c>
    </row>
    <row r="400" spans="1:1">
      <c r="A400" s="25">
        <v>2459</v>
      </c>
    </row>
    <row r="401" spans="1:1">
      <c r="A401" s="25">
        <v>2460</v>
      </c>
    </row>
    <row r="402" spans="1:1">
      <c r="A402" s="25">
        <v>2461</v>
      </c>
    </row>
    <row r="403" spans="1:1">
      <c r="A403" s="25">
        <v>2462</v>
      </c>
    </row>
    <row r="404" spans="1:1">
      <c r="A404" s="25">
        <v>2464</v>
      </c>
    </row>
    <row r="405" spans="1:1">
      <c r="A405" s="25">
        <v>2465</v>
      </c>
    </row>
    <row r="406" spans="1:1">
      <c r="A406" s="25">
        <v>2466</v>
      </c>
    </row>
    <row r="407" spans="1:1">
      <c r="A407" s="25">
        <v>2467</v>
      </c>
    </row>
    <row r="408" spans="1:1">
      <c r="A408" s="25">
        <v>2468</v>
      </c>
    </row>
    <row r="409" spans="1:1">
      <c r="A409" s="25">
        <v>2471</v>
      </c>
    </row>
    <row r="410" spans="1:1">
      <c r="A410" s="25">
        <v>2472</v>
      </c>
    </row>
    <row r="411" spans="1:1">
      <c r="A411" s="25">
        <v>2474</v>
      </c>
    </row>
    <row r="412" spans="1:1">
      <c r="A412" s="25">
        <v>2475</v>
      </c>
    </row>
    <row r="413" spans="1:1">
      <c r="A413" s="25">
        <v>2476</v>
      </c>
    </row>
    <row r="414" spans="1:1">
      <c r="A414" s="25">
        <v>2477</v>
      </c>
    </row>
    <row r="415" spans="1:1">
      <c r="A415" s="25">
        <v>2478</v>
      </c>
    </row>
    <row r="416" spans="1:1">
      <c r="A416" s="25">
        <v>2480</v>
      </c>
    </row>
    <row r="417" spans="1:1">
      <c r="A417" s="25">
        <v>2481</v>
      </c>
    </row>
    <row r="418" spans="1:1">
      <c r="A418" s="25">
        <v>2482</v>
      </c>
    </row>
    <row r="419" spans="1:1">
      <c r="A419" s="25">
        <v>2483</v>
      </c>
    </row>
    <row r="420" spans="1:1">
      <c r="A420" s="25">
        <v>2484</v>
      </c>
    </row>
    <row r="421" spans="1:1">
      <c r="A421" s="25">
        <v>2485</v>
      </c>
    </row>
    <row r="422" spans="1:1">
      <c r="A422" s="25">
        <v>2486</v>
      </c>
    </row>
    <row r="423" spans="1:1">
      <c r="A423" s="25">
        <v>2488</v>
      </c>
    </row>
    <row r="424" spans="1:1">
      <c r="A424" s="25">
        <v>2489</v>
      </c>
    </row>
    <row r="425" spans="1:1">
      <c r="A425" s="25">
        <v>2491</v>
      </c>
    </row>
    <row r="426" spans="1:1">
      <c r="A426" s="25">
        <v>2492</v>
      </c>
    </row>
    <row r="427" spans="1:1">
      <c r="A427" s="25">
        <v>2493</v>
      </c>
    </row>
    <row r="428" spans="1:1">
      <c r="A428" s="25">
        <v>2495</v>
      </c>
    </row>
    <row r="429" spans="1:1">
      <c r="A429" s="25">
        <v>2496</v>
      </c>
    </row>
    <row r="430" spans="1:1">
      <c r="A430" s="25">
        <v>2497</v>
      </c>
    </row>
    <row r="431" spans="1:1">
      <c r="A431" s="25">
        <v>2498</v>
      </c>
    </row>
    <row r="432" spans="1:1">
      <c r="A432" s="25">
        <v>2499</v>
      </c>
    </row>
    <row r="433" spans="1:1">
      <c r="A433" s="25">
        <v>2601</v>
      </c>
    </row>
    <row r="434" spans="1:1">
      <c r="A434" s="25">
        <v>2603</v>
      </c>
    </row>
    <row r="435" spans="1:1">
      <c r="A435" s="25">
        <v>2605</v>
      </c>
    </row>
    <row r="436" spans="1:1">
      <c r="A436" s="25">
        <v>2606</v>
      </c>
    </row>
    <row r="437" spans="1:1">
      <c r="A437" s="25">
        <v>2607</v>
      </c>
    </row>
    <row r="438" spans="1:1">
      <c r="A438" s="25">
        <v>2608</v>
      </c>
    </row>
    <row r="439" spans="1:1">
      <c r="A439" s="25">
        <v>2609</v>
      </c>
    </row>
    <row r="440" spans="1:1">
      <c r="A440" s="25">
        <v>2610</v>
      </c>
    </row>
    <row r="441" spans="1:1">
      <c r="A441" s="25">
        <v>2611</v>
      </c>
    </row>
    <row r="442" spans="1:1">
      <c r="A442" s="25">
        <v>2612</v>
      </c>
    </row>
    <row r="443" spans="1:1">
      <c r="A443" s="25">
        <v>2613</v>
      </c>
    </row>
    <row r="444" spans="1:1">
      <c r="A444" s="25">
        <v>2614</v>
      </c>
    </row>
    <row r="445" spans="1:1">
      <c r="A445" s="25">
        <v>2615</v>
      </c>
    </row>
    <row r="446" spans="1:1">
      <c r="A446" s="25">
        <v>2616</v>
      </c>
    </row>
    <row r="447" spans="1:1">
      <c r="A447" s="25">
        <v>2617</v>
      </c>
    </row>
    <row r="448" spans="1:1">
      <c r="A448" s="25">
        <v>2618</v>
      </c>
    </row>
    <row r="449" spans="1:1">
      <c r="A449" s="25">
        <v>2634</v>
      </c>
    </row>
    <row r="450" spans="1:1">
      <c r="A450" s="25">
        <v>2636</v>
      </c>
    </row>
    <row r="451" spans="1:1">
      <c r="A451" s="25">
        <v>2637</v>
      </c>
    </row>
    <row r="452" spans="1:1">
      <c r="A452" s="25">
        <v>2640</v>
      </c>
    </row>
    <row r="453" spans="1:1">
      <c r="A453" s="25">
        <v>2641</v>
      </c>
    </row>
    <row r="454" spans="1:1">
      <c r="A454" s="25">
        <v>2642</v>
      </c>
    </row>
    <row r="455" spans="1:1">
      <c r="A455" s="25">
        <v>2701</v>
      </c>
    </row>
    <row r="456" spans="1:1">
      <c r="A456" s="25">
        <v>2702</v>
      </c>
    </row>
    <row r="457" spans="1:1">
      <c r="A457" s="25">
        <v>2704</v>
      </c>
    </row>
    <row r="458" spans="1:1">
      <c r="A458" s="25">
        <v>2705</v>
      </c>
    </row>
    <row r="459" spans="1:1">
      <c r="A459" s="25">
        <v>2706</v>
      </c>
    </row>
    <row r="460" spans="1:1">
      <c r="A460" s="25">
        <v>2707</v>
      </c>
    </row>
    <row r="461" spans="1:1">
      <c r="A461" s="25">
        <v>2712</v>
      </c>
    </row>
    <row r="462" spans="1:1">
      <c r="A462" s="25">
        <v>2718</v>
      </c>
    </row>
    <row r="463" spans="1:1">
      <c r="A463" s="25">
        <v>2719</v>
      </c>
    </row>
    <row r="464" spans="1:1">
      <c r="A464" s="25">
        <v>2722</v>
      </c>
    </row>
    <row r="465" spans="1:1">
      <c r="A465" s="25">
        <v>2723</v>
      </c>
    </row>
    <row r="466" spans="1:1">
      <c r="A466" s="25">
        <v>2724</v>
      </c>
    </row>
    <row r="467" spans="1:1">
      <c r="A467" s="25">
        <v>2726</v>
      </c>
    </row>
    <row r="468" spans="1:1">
      <c r="A468" s="25">
        <v>2727</v>
      </c>
    </row>
    <row r="469" spans="1:1">
      <c r="A469" s="25">
        <v>2729</v>
      </c>
    </row>
    <row r="470" spans="1:1">
      <c r="A470" s="25">
        <v>2731</v>
      </c>
    </row>
    <row r="471" spans="1:1">
      <c r="A471" s="25">
        <v>2732</v>
      </c>
    </row>
    <row r="472" spans="1:1">
      <c r="A472" s="25">
        <v>2734</v>
      </c>
    </row>
    <row r="473" spans="1:1">
      <c r="A473" s="25">
        <v>2901</v>
      </c>
    </row>
    <row r="474" spans="1:1">
      <c r="A474" s="25">
        <v>2903</v>
      </c>
    </row>
    <row r="475" spans="1:1">
      <c r="A475" s="25">
        <v>2904</v>
      </c>
    </row>
    <row r="476" spans="1:1">
      <c r="A476" s="25">
        <v>2905</v>
      </c>
    </row>
    <row r="477" spans="1:1">
      <c r="A477" s="25">
        <v>2906</v>
      </c>
    </row>
    <row r="478" spans="1:1">
      <c r="A478" s="25">
        <v>2908</v>
      </c>
    </row>
    <row r="479" spans="1:1">
      <c r="A479" s="25">
        <v>2910</v>
      </c>
    </row>
    <row r="480" spans="1:1">
      <c r="A480" s="25">
        <v>2911</v>
      </c>
    </row>
    <row r="481" spans="1:1">
      <c r="A481" s="25">
        <v>2912</v>
      </c>
    </row>
    <row r="482" spans="1:1">
      <c r="A482" s="25">
        <v>2913</v>
      </c>
    </row>
    <row r="483" spans="1:1">
      <c r="A483" s="25">
        <v>2915</v>
      </c>
    </row>
    <row r="484" spans="1:1">
      <c r="A484" s="25">
        <v>2916</v>
      </c>
    </row>
    <row r="485" spans="1:1">
      <c r="A485" s="25">
        <v>2923</v>
      </c>
    </row>
    <row r="486" spans="1:1">
      <c r="A486" s="25">
        <v>2924</v>
      </c>
    </row>
    <row r="487" spans="1:1">
      <c r="A487" s="25">
        <v>2926</v>
      </c>
    </row>
    <row r="488" spans="1:1">
      <c r="A488" s="25">
        <v>2929</v>
      </c>
    </row>
    <row r="489" spans="1:1">
      <c r="A489" s="25">
        <v>3002</v>
      </c>
    </row>
    <row r="490" spans="1:1">
      <c r="A490" s="25">
        <v>3003</v>
      </c>
    </row>
    <row r="491" spans="1:1">
      <c r="A491" s="25">
        <v>3004</v>
      </c>
    </row>
    <row r="492" spans="1:1">
      <c r="A492" s="25">
        <v>3005</v>
      </c>
    </row>
    <row r="493" spans="1:1">
      <c r="A493" s="25">
        <v>3006</v>
      </c>
    </row>
    <row r="494" spans="1:1">
      <c r="A494" s="25">
        <v>3008</v>
      </c>
    </row>
    <row r="495" spans="1:1">
      <c r="A495" s="25">
        <v>3010</v>
      </c>
    </row>
    <row r="496" spans="1:1">
      <c r="A496" s="25">
        <v>3011</v>
      </c>
    </row>
    <row r="497" spans="1:1">
      <c r="A497" s="25">
        <v>3013</v>
      </c>
    </row>
    <row r="498" spans="1:1">
      <c r="A498" s="25">
        <v>3014</v>
      </c>
    </row>
    <row r="499" spans="1:1">
      <c r="A499" s="25">
        <v>3015</v>
      </c>
    </row>
    <row r="500" spans="1:1">
      <c r="A500" s="25">
        <v>3016</v>
      </c>
    </row>
    <row r="501" spans="1:1">
      <c r="A501" s="25">
        <v>3017</v>
      </c>
    </row>
    <row r="502" spans="1:1">
      <c r="A502" s="25">
        <v>3018</v>
      </c>
    </row>
    <row r="503" spans="1:1">
      <c r="A503" s="25">
        <v>3019</v>
      </c>
    </row>
    <row r="504" spans="1:1">
      <c r="A504" s="25">
        <v>3021</v>
      </c>
    </row>
    <row r="505" spans="1:1">
      <c r="A505" s="25">
        <v>3022</v>
      </c>
    </row>
    <row r="506" spans="1:1">
      <c r="A506" s="25">
        <v>3023</v>
      </c>
    </row>
    <row r="507" spans="1:1">
      <c r="A507" s="25">
        <v>3024</v>
      </c>
    </row>
    <row r="508" spans="1:1">
      <c r="A508" s="25">
        <v>3025</v>
      </c>
    </row>
    <row r="509" spans="1:1">
      <c r="A509" s="25">
        <v>3026</v>
      </c>
    </row>
    <row r="510" spans="1:1">
      <c r="A510" s="25">
        <v>3027</v>
      </c>
    </row>
    <row r="511" spans="1:1">
      <c r="A511" s="25">
        <v>3028</v>
      </c>
    </row>
    <row r="512" spans="1:1">
      <c r="A512" s="25">
        <v>3029</v>
      </c>
    </row>
    <row r="513" spans="1:1">
      <c r="A513" s="25">
        <v>3030</v>
      </c>
    </row>
    <row r="514" spans="1:1">
      <c r="A514" s="25">
        <v>3031</v>
      </c>
    </row>
    <row r="515" spans="1:1">
      <c r="A515" s="25">
        <v>3032</v>
      </c>
    </row>
    <row r="516" spans="1:1">
      <c r="A516" s="25">
        <v>3033</v>
      </c>
    </row>
    <row r="517" spans="1:1">
      <c r="A517" s="25">
        <v>3034</v>
      </c>
    </row>
    <row r="518" spans="1:1">
      <c r="A518" s="25">
        <v>3035</v>
      </c>
    </row>
    <row r="519" spans="1:1">
      <c r="A519" s="25">
        <v>3036</v>
      </c>
    </row>
    <row r="520" spans="1:1">
      <c r="A520" s="25">
        <v>3037</v>
      </c>
    </row>
    <row r="521" spans="1:1">
      <c r="A521" s="25">
        <v>3038</v>
      </c>
    </row>
    <row r="522" spans="1:1">
      <c r="A522" s="25">
        <v>3040</v>
      </c>
    </row>
    <row r="523" spans="1:1">
      <c r="A523" s="25">
        <v>3041</v>
      </c>
    </row>
    <row r="524" spans="1:1">
      <c r="A524" s="25">
        <v>3042</v>
      </c>
    </row>
    <row r="525" spans="1:1">
      <c r="A525" s="25">
        <v>3043</v>
      </c>
    </row>
    <row r="526" spans="1:1">
      <c r="A526" s="25">
        <v>3044</v>
      </c>
    </row>
    <row r="527" spans="1:1">
      <c r="A527" s="25">
        <v>3045</v>
      </c>
    </row>
    <row r="528" spans="1:1">
      <c r="A528" s="25">
        <v>3046</v>
      </c>
    </row>
    <row r="529" spans="1:1">
      <c r="A529" s="25">
        <v>3047</v>
      </c>
    </row>
    <row r="530" spans="1:1">
      <c r="A530" s="25">
        <v>3048</v>
      </c>
    </row>
    <row r="531" spans="1:1">
      <c r="A531" s="25">
        <v>3049</v>
      </c>
    </row>
    <row r="532" spans="1:1">
      <c r="A532" s="25">
        <v>3050</v>
      </c>
    </row>
    <row r="533" spans="1:1">
      <c r="A533" s="25">
        <v>3051</v>
      </c>
    </row>
    <row r="534" spans="1:1">
      <c r="A534" s="25">
        <v>3052</v>
      </c>
    </row>
    <row r="535" spans="1:1">
      <c r="A535" s="25">
        <v>3054</v>
      </c>
    </row>
    <row r="536" spans="1:1">
      <c r="A536" s="25">
        <v>3055</v>
      </c>
    </row>
    <row r="537" spans="1:1">
      <c r="A537" s="25">
        <v>3056</v>
      </c>
    </row>
    <row r="538" spans="1:1">
      <c r="A538" s="25">
        <v>3057</v>
      </c>
    </row>
    <row r="539" spans="1:1">
      <c r="A539" s="25">
        <v>3058</v>
      </c>
    </row>
    <row r="540" spans="1:1">
      <c r="A540" s="25">
        <v>3059</v>
      </c>
    </row>
    <row r="541" spans="1:1">
      <c r="A541" s="25">
        <v>3060</v>
      </c>
    </row>
    <row r="542" spans="1:1">
      <c r="A542" s="25">
        <v>3062</v>
      </c>
    </row>
    <row r="543" spans="1:1">
      <c r="A543" s="25">
        <v>3064</v>
      </c>
    </row>
    <row r="544" spans="1:1">
      <c r="A544" s="25">
        <v>3066</v>
      </c>
    </row>
    <row r="545" spans="1:1">
      <c r="A545" s="25">
        <v>3067</v>
      </c>
    </row>
    <row r="546" spans="1:1">
      <c r="A546" s="25">
        <v>3068</v>
      </c>
    </row>
    <row r="547" spans="1:1">
      <c r="A547" s="25">
        <v>3071</v>
      </c>
    </row>
    <row r="548" spans="1:1">
      <c r="A548" s="25">
        <v>3073</v>
      </c>
    </row>
    <row r="549" spans="1:1">
      <c r="A549" s="25">
        <v>3078</v>
      </c>
    </row>
    <row r="550" spans="1:1">
      <c r="A550" s="25">
        <v>3083</v>
      </c>
    </row>
    <row r="551" spans="1:1">
      <c r="A551" s="25">
        <v>3085</v>
      </c>
    </row>
    <row r="552" spans="1:1">
      <c r="A552" s="25">
        <v>3086</v>
      </c>
    </row>
    <row r="553" spans="1:1">
      <c r="A553" s="25">
        <v>3088</v>
      </c>
    </row>
    <row r="554" spans="1:1">
      <c r="A554" s="25">
        <v>3089</v>
      </c>
    </row>
    <row r="555" spans="1:1">
      <c r="A555" s="25">
        <v>3090</v>
      </c>
    </row>
    <row r="556" spans="1:1">
      <c r="A556" s="25">
        <v>3092</v>
      </c>
    </row>
    <row r="557" spans="1:1">
      <c r="A557" s="25">
        <v>3093</v>
      </c>
    </row>
    <row r="558" spans="1:1">
      <c r="A558" s="25">
        <v>3094</v>
      </c>
    </row>
    <row r="559" spans="1:1">
      <c r="A559" s="25">
        <v>3095</v>
      </c>
    </row>
    <row r="560" spans="1:1">
      <c r="A560" s="25">
        <v>3105</v>
      </c>
    </row>
    <row r="561" spans="1:1">
      <c r="A561" s="25">
        <v>3114</v>
      </c>
    </row>
    <row r="562" spans="1:1">
      <c r="A562" s="25">
        <v>3115</v>
      </c>
    </row>
    <row r="563" spans="1:1">
      <c r="A563" s="25">
        <v>3118</v>
      </c>
    </row>
    <row r="564" spans="1:1">
      <c r="A564" s="25">
        <v>3122</v>
      </c>
    </row>
    <row r="565" spans="1:1">
      <c r="A565" s="25">
        <v>3128</v>
      </c>
    </row>
    <row r="566" spans="1:1">
      <c r="A566" s="25">
        <v>3130</v>
      </c>
    </row>
    <row r="567" spans="1:1">
      <c r="A567" s="25">
        <v>3131</v>
      </c>
    </row>
    <row r="568" spans="1:1">
      <c r="A568" s="25">
        <v>3141</v>
      </c>
    </row>
    <row r="569" spans="1:1">
      <c r="A569" s="25">
        <v>3144</v>
      </c>
    </row>
    <row r="570" spans="1:1">
      <c r="A570" s="25">
        <v>3149</v>
      </c>
    </row>
    <row r="571" spans="1:1">
      <c r="A571" s="25">
        <v>3152</v>
      </c>
    </row>
    <row r="572" spans="1:1">
      <c r="A572" s="25">
        <v>3162</v>
      </c>
    </row>
    <row r="573" spans="1:1">
      <c r="A573" s="25">
        <v>3163</v>
      </c>
    </row>
    <row r="574" spans="1:1">
      <c r="A574" s="25">
        <v>3164</v>
      </c>
    </row>
    <row r="575" spans="1:1">
      <c r="A575" s="25">
        <v>3167</v>
      </c>
    </row>
    <row r="576" spans="1:1">
      <c r="A576" s="25">
        <v>3169</v>
      </c>
    </row>
    <row r="577" spans="1:1">
      <c r="A577" s="25">
        <v>3171</v>
      </c>
    </row>
    <row r="578" spans="1:1">
      <c r="A578" s="25">
        <v>3176</v>
      </c>
    </row>
    <row r="579" spans="1:1">
      <c r="A579" s="25">
        <v>3188</v>
      </c>
    </row>
    <row r="580" spans="1:1">
      <c r="A580" s="25">
        <v>3189</v>
      </c>
    </row>
    <row r="581" spans="1:1">
      <c r="A581" s="25">
        <v>3191</v>
      </c>
    </row>
    <row r="582" spans="1:1">
      <c r="A582" s="25">
        <v>3202</v>
      </c>
    </row>
    <row r="583" spans="1:1">
      <c r="A583" s="25">
        <v>3205</v>
      </c>
    </row>
    <row r="584" spans="1:1">
      <c r="A584" s="25">
        <v>3206</v>
      </c>
    </row>
    <row r="585" spans="1:1">
      <c r="A585" s="25">
        <v>3207</v>
      </c>
    </row>
    <row r="586" spans="1:1">
      <c r="A586" s="25">
        <v>3209</v>
      </c>
    </row>
    <row r="587" spans="1:1">
      <c r="A587" s="25">
        <v>3211</v>
      </c>
    </row>
    <row r="588" spans="1:1">
      <c r="A588" s="25">
        <v>3213</v>
      </c>
    </row>
    <row r="589" spans="1:1">
      <c r="A589" s="25">
        <v>3217</v>
      </c>
    </row>
    <row r="590" spans="1:1">
      <c r="A590" s="25">
        <v>3218</v>
      </c>
    </row>
    <row r="591" spans="1:1">
      <c r="A591" s="25">
        <v>3219</v>
      </c>
    </row>
    <row r="592" spans="1:1">
      <c r="A592" s="25">
        <v>3221</v>
      </c>
    </row>
    <row r="593" spans="1:1">
      <c r="A593" s="25">
        <v>3224</v>
      </c>
    </row>
    <row r="594" spans="1:1">
      <c r="A594" s="25">
        <v>3226</v>
      </c>
    </row>
    <row r="595" spans="1:1">
      <c r="A595" s="25">
        <v>3227</v>
      </c>
    </row>
    <row r="596" spans="1:1">
      <c r="A596" s="25">
        <v>3228</v>
      </c>
    </row>
    <row r="597" spans="1:1">
      <c r="A597" s="25">
        <v>3229</v>
      </c>
    </row>
    <row r="598" spans="1:1">
      <c r="A598" s="25">
        <v>3230</v>
      </c>
    </row>
    <row r="599" spans="1:1">
      <c r="A599" s="25">
        <v>3231</v>
      </c>
    </row>
    <row r="600" spans="1:1">
      <c r="A600" s="25">
        <v>3232</v>
      </c>
    </row>
    <row r="601" spans="1:1">
      <c r="A601" s="25">
        <v>3234</v>
      </c>
    </row>
    <row r="602" spans="1:1">
      <c r="A602" s="25">
        <v>3236</v>
      </c>
    </row>
    <row r="603" spans="1:1">
      <c r="A603" s="25">
        <v>3252</v>
      </c>
    </row>
    <row r="604" spans="1:1">
      <c r="A604" s="25">
        <v>3257</v>
      </c>
    </row>
    <row r="605" spans="1:1">
      <c r="A605" s="25">
        <v>3259</v>
      </c>
    </row>
    <row r="606" spans="1:1">
      <c r="A606" s="25">
        <v>3260</v>
      </c>
    </row>
    <row r="607" spans="1:1">
      <c r="A607" s="25">
        <v>3264</v>
      </c>
    </row>
    <row r="608" spans="1:1">
      <c r="A608" s="25">
        <v>3265</v>
      </c>
    </row>
    <row r="609" spans="1:1">
      <c r="A609" s="25">
        <v>3266</v>
      </c>
    </row>
    <row r="610" spans="1:1">
      <c r="A610" s="25">
        <v>3268</v>
      </c>
    </row>
    <row r="611" spans="1:1">
      <c r="A611" s="25">
        <v>3272</v>
      </c>
    </row>
    <row r="612" spans="1:1">
      <c r="A612" s="25">
        <v>3276</v>
      </c>
    </row>
    <row r="613" spans="1:1">
      <c r="A613" s="25">
        <v>3284</v>
      </c>
    </row>
    <row r="614" spans="1:1">
      <c r="A614" s="25">
        <v>3285</v>
      </c>
    </row>
    <row r="615" spans="1:1">
      <c r="A615" s="25">
        <v>3287</v>
      </c>
    </row>
    <row r="616" spans="1:1">
      <c r="A616" s="25">
        <v>3288</v>
      </c>
    </row>
    <row r="617" spans="1:1">
      <c r="A617" s="25">
        <v>3289</v>
      </c>
    </row>
    <row r="618" spans="1:1">
      <c r="A618" s="25">
        <v>3290</v>
      </c>
    </row>
    <row r="619" spans="1:1">
      <c r="A619" s="25">
        <v>3291</v>
      </c>
    </row>
    <row r="620" spans="1:1">
      <c r="A620" s="25">
        <v>3293</v>
      </c>
    </row>
    <row r="621" spans="1:1">
      <c r="A621" s="25">
        <v>3294</v>
      </c>
    </row>
    <row r="622" spans="1:1">
      <c r="A622" s="25">
        <v>3296</v>
      </c>
    </row>
    <row r="623" spans="1:1">
      <c r="A623" s="25">
        <v>3297</v>
      </c>
    </row>
    <row r="624" spans="1:1">
      <c r="A624" s="25">
        <v>3299</v>
      </c>
    </row>
    <row r="625" spans="1:1">
      <c r="A625" s="25">
        <v>3303</v>
      </c>
    </row>
    <row r="626" spans="1:1">
      <c r="A626" s="25">
        <v>3305</v>
      </c>
    </row>
    <row r="627" spans="1:1">
      <c r="A627" s="25">
        <v>3306</v>
      </c>
    </row>
    <row r="628" spans="1:1">
      <c r="A628" s="25">
        <v>3308</v>
      </c>
    </row>
    <row r="629" spans="1:1">
      <c r="A629" s="25">
        <v>3310</v>
      </c>
    </row>
    <row r="630" spans="1:1">
      <c r="A630" s="25">
        <v>3311</v>
      </c>
    </row>
    <row r="631" spans="1:1">
      <c r="A631" s="25">
        <v>3312</v>
      </c>
    </row>
    <row r="632" spans="1:1">
      <c r="A632" s="25">
        <v>3313</v>
      </c>
    </row>
    <row r="633" spans="1:1">
      <c r="A633" s="25">
        <v>3315</v>
      </c>
    </row>
    <row r="634" spans="1:1">
      <c r="A634" s="25">
        <v>3317</v>
      </c>
    </row>
    <row r="635" spans="1:1">
      <c r="A635" s="25">
        <v>3322</v>
      </c>
    </row>
    <row r="636" spans="1:1">
      <c r="A636" s="25">
        <v>3323</v>
      </c>
    </row>
    <row r="637" spans="1:1">
      <c r="A637" s="25">
        <v>3324</v>
      </c>
    </row>
    <row r="638" spans="1:1">
      <c r="A638" s="25">
        <v>3325</v>
      </c>
    </row>
    <row r="639" spans="1:1">
      <c r="A639" s="25">
        <v>3332</v>
      </c>
    </row>
    <row r="640" spans="1:1">
      <c r="A640" s="25">
        <v>3338</v>
      </c>
    </row>
    <row r="641" spans="1:1">
      <c r="A641" s="25">
        <v>3339</v>
      </c>
    </row>
    <row r="642" spans="1:1">
      <c r="A642" s="25">
        <v>3354</v>
      </c>
    </row>
    <row r="643" spans="1:1">
      <c r="A643" s="25">
        <v>3356</v>
      </c>
    </row>
    <row r="644" spans="1:1">
      <c r="A644" s="25">
        <v>3360</v>
      </c>
    </row>
    <row r="645" spans="1:1">
      <c r="A645" s="25">
        <v>3362</v>
      </c>
    </row>
    <row r="646" spans="1:1">
      <c r="A646" s="25">
        <v>3363</v>
      </c>
    </row>
    <row r="647" spans="1:1">
      <c r="A647" s="25">
        <v>3372</v>
      </c>
    </row>
    <row r="648" spans="1:1">
      <c r="A648" s="25">
        <v>3373</v>
      </c>
    </row>
    <row r="649" spans="1:1">
      <c r="A649" s="25">
        <v>3374</v>
      </c>
    </row>
    <row r="650" spans="1:1">
      <c r="A650" s="25">
        <v>3376</v>
      </c>
    </row>
    <row r="651" spans="1:1">
      <c r="A651" s="25">
        <v>3379</v>
      </c>
    </row>
    <row r="652" spans="1:1">
      <c r="A652" s="25">
        <v>3380</v>
      </c>
    </row>
    <row r="653" spans="1:1">
      <c r="A653" s="25">
        <v>3383</v>
      </c>
    </row>
    <row r="654" spans="1:1">
      <c r="A654" s="25">
        <v>3388</v>
      </c>
    </row>
    <row r="655" spans="1:1">
      <c r="A655" s="25">
        <v>3390</v>
      </c>
    </row>
    <row r="656" spans="1:1">
      <c r="A656" s="25">
        <v>3402</v>
      </c>
    </row>
    <row r="657" spans="1:1">
      <c r="A657" s="25">
        <v>3406</v>
      </c>
    </row>
    <row r="658" spans="1:1">
      <c r="A658" s="25">
        <v>3416</v>
      </c>
    </row>
    <row r="659" spans="1:1">
      <c r="A659" s="25">
        <v>3419</v>
      </c>
    </row>
    <row r="660" spans="1:1">
      <c r="A660" s="25">
        <v>3428</v>
      </c>
    </row>
    <row r="661" spans="1:1">
      <c r="A661" s="25">
        <v>3431</v>
      </c>
    </row>
    <row r="662" spans="1:1">
      <c r="A662" s="25">
        <v>3432</v>
      </c>
    </row>
    <row r="663" spans="1:1">
      <c r="A663" s="25">
        <v>3434</v>
      </c>
    </row>
    <row r="664" spans="1:1">
      <c r="A664" s="25">
        <v>3437</v>
      </c>
    </row>
    <row r="665" spans="1:1">
      <c r="A665" s="25">
        <v>3438</v>
      </c>
    </row>
    <row r="666" spans="1:1">
      <c r="A666" s="25">
        <v>3441</v>
      </c>
    </row>
    <row r="667" spans="1:1">
      <c r="A667" s="25">
        <v>3443</v>
      </c>
    </row>
    <row r="668" spans="1:1">
      <c r="A668" s="25">
        <v>3444</v>
      </c>
    </row>
    <row r="669" spans="1:1">
      <c r="A669" s="25">
        <v>3450</v>
      </c>
    </row>
    <row r="670" spans="1:1">
      <c r="A670" s="25">
        <v>3452</v>
      </c>
    </row>
    <row r="671" spans="1:1">
      <c r="A671" s="25">
        <v>3454</v>
      </c>
    </row>
    <row r="672" spans="1:1">
      <c r="A672" s="25">
        <v>3455</v>
      </c>
    </row>
    <row r="673" spans="1:1">
      <c r="A673" s="25">
        <v>3465</v>
      </c>
    </row>
    <row r="674" spans="1:1">
      <c r="A674" s="25">
        <v>3466</v>
      </c>
    </row>
    <row r="675" spans="1:1">
      <c r="A675" s="25">
        <v>3474</v>
      </c>
    </row>
    <row r="676" spans="1:1">
      <c r="A676" s="25">
        <v>3479</v>
      </c>
    </row>
    <row r="677" spans="1:1">
      <c r="A677" s="25">
        <v>3481</v>
      </c>
    </row>
    <row r="678" spans="1:1">
      <c r="A678" s="25">
        <v>3483</v>
      </c>
    </row>
    <row r="679" spans="1:1">
      <c r="A679" s="25">
        <v>3484</v>
      </c>
    </row>
    <row r="680" spans="1:1">
      <c r="A680" s="25">
        <v>3489</v>
      </c>
    </row>
    <row r="681" spans="1:1">
      <c r="A681" s="25">
        <v>3490</v>
      </c>
    </row>
    <row r="682" spans="1:1">
      <c r="A682" s="25">
        <v>3491</v>
      </c>
    </row>
    <row r="683" spans="1:1">
      <c r="A683" s="25">
        <v>3494</v>
      </c>
    </row>
    <row r="684" spans="1:1">
      <c r="A684" s="25">
        <v>3498</v>
      </c>
    </row>
    <row r="685" spans="1:1">
      <c r="A685" s="25">
        <v>3499</v>
      </c>
    </row>
    <row r="686" spans="1:1">
      <c r="A686" s="25">
        <v>3501</v>
      </c>
    </row>
    <row r="687" spans="1:1">
      <c r="A687" s="25">
        <v>3504</v>
      </c>
    </row>
    <row r="688" spans="1:1">
      <c r="A688" s="25">
        <v>3508</v>
      </c>
    </row>
    <row r="689" spans="1:1">
      <c r="A689" s="25">
        <v>3511</v>
      </c>
    </row>
    <row r="690" spans="1:1">
      <c r="A690" s="25">
        <v>3512</v>
      </c>
    </row>
    <row r="691" spans="1:1">
      <c r="A691" s="25">
        <v>3514</v>
      </c>
    </row>
    <row r="692" spans="1:1">
      <c r="A692" s="25">
        <v>3515</v>
      </c>
    </row>
    <row r="693" spans="1:1">
      <c r="A693" s="25">
        <v>3516</v>
      </c>
    </row>
    <row r="694" spans="1:1">
      <c r="A694" s="25">
        <v>3518</v>
      </c>
    </row>
    <row r="695" spans="1:1">
      <c r="A695" s="25">
        <v>3519</v>
      </c>
    </row>
    <row r="696" spans="1:1">
      <c r="A696" s="25">
        <v>3520</v>
      </c>
    </row>
    <row r="697" spans="1:1">
      <c r="A697" s="25">
        <v>3521</v>
      </c>
    </row>
    <row r="698" spans="1:1">
      <c r="A698" s="25">
        <v>3522</v>
      </c>
    </row>
    <row r="699" spans="1:1">
      <c r="A699" s="25">
        <v>3523</v>
      </c>
    </row>
    <row r="700" spans="1:1">
      <c r="A700" s="25">
        <v>3526</v>
      </c>
    </row>
    <row r="701" spans="1:1">
      <c r="A701" s="25">
        <v>3527</v>
      </c>
    </row>
    <row r="702" spans="1:1">
      <c r="A702" s="25">
        <v>3528</v>
      </c>
    </row>
    <row r="703" spans="1:1">
      <c r="A703" s="25">
        <v>3529</v>
      </c>
    </row>
    <row r="704" spans="1:1">
      <c r="A704" s="25">
        <v>3531</v>
      </c>
    </row>
    <row r="705" spans="1:1">
      <c r="A705" s="25">
        <v>3532</v>
      </c>
    </row>
    <row r="706" spans="1:1">
      <c r="A706" s="25">
        <v>3533</v>
      </c>
    </row>
    <row r="707" spans="1:1">
      <c r="A707" s="25">
        <v>3535</v>
      </c>
    </row>
    <row r="708" spans="1:1">
      <c r="A708" s="25">
        <v>3536</v>
      </c>
    </row>
    <row r="709" spans="1:1">
      <c r="A709" s="25">
        <v>3537</v>
      </c>
    </row>
    <row r="710" spans="1:1">
      <c r="A710" s="25">
        <v>3540</v>
      </c>
    </row>
    <row r="711" spans="1:1">
      <c r="A711" s="25">
        <v>3541</v>
      </c>
    </row>
    <row r="712" spans="1:1">
      <c r="A712" s="25">
        <v>3545</v>
      </c>
    </row>
    <row r="713" spans="1:1">
      <c r="A713" s="25">
        <v>3546</v>
      </c>
    </row>
    <row r="714" spans="1:1">
      <c r="A714" s="25">
        <v>3548</v>
      </c>
    </row>
    <row r="715" spans="1:1">
      <c r="A715" s="25">
        <v>3550</v>
      </c>
    </row>
    <row r="716" spans="1:1">
      <c r="A716" s="25">
        <v>3551</v>
      </c>
    </row>
    <row r="717" spans="1:1">
      <c r="A717" s="25">
        <v>3552</v>
      </c>
    </row>
    <row r="718" spans="1:1">
      <c r="A718" s="25">
        <v>3553</v>
      </c>
    </row>
    <row r="719" spans="1:1">
      <c r="A719" s="25">
        <v>3555</v>
      </c>
    </row>
    <row r="720" spans="1:1">
      <c r="A720" s="25">
        <v>3556</v>
      </c>
    </row>
    <row r="721" spans="1:1">
      <c r="A721" s="25">
        <v>3557</v>
      </c>
    </row>
    <row r="722" spans="1:1">
      <c r="A722" s="25">
        <v>3558</v>
      </c>
    </row>
    <row r="723" spans="1:1">
      <c r="A723" s="25">
        <v>3559</v>
      </c>
    </row>
    <row r="724" spans="1:1">
      <c r="A724" s="25">
        <v>3561</v>
      </c>
    </row>
    <row r="725" spans="1:1">
      <c r="A725" s="25">
        <v>3562</v>
      </c>
    </row>
    <row r="726" spans="1:1">
      <c r="A726" s="25">
        <v>3563</v>
      </c>
    </row>
    <row r="727" spans="1:1">
      <c r="A727" s="25">
        <v>3564</v>
      </c>
    </row>
    <row r="728" spans="1:1">
      <c r="A728" s="25">
        <v>3567</v>
      </c>
    </row>
    <row r="729" spans="1:1">
      <c r="A729" s="25">
        <v>3570</v>
      </c>
    </row>
    <row r="730" spans="1:1">
      <c r="A730" s="25">
        <v>3573</v>
      </c>
    </row>
    <row r="731" spans="1:1">
      <c r="A731" s="25">
        <v>3576</v>
      </c>
    </row>
    <row r="732" spans="1:1">
      <c r="A732" s="25">
        <v>3577</v>
      </c>
    </row>
    <row r="733" spans="1:1">
      <c r="A733" s="25">
        <v>3579</v>
      </c>
    </row>
    <row r="734" spans="1:1">
      <c r="A734" s="25">
        <v>3580</v>
      </c>
    </row>
    <row r="735" spans="1:1">
      <c r="A735" s="25">
        <v>3581</v>
      </c>
    </row>
    <row r="736" spans="1:1">
      <c r="A736" s="25">
        <v>3583</v>
      </c>
    </row>
    <row r="737" spans="1:1">
      <c r="A737" s="25">
        <v>3584</v>
      </c>
    </row>
    <row r="738" spans="1:1">
      <c r="A738" s="25">
        <v>3587</v>
      </c>
    </row>
    <row r="739" spans="1:1">
      <c r="A739" s="25">
        <v>3588</v>
      </c>
    </row>
    <row r="740" spans="1:1">
      <c r="A740" s="25">
        <v>3591</v>
      </c>
    </row>
    <row r="741" spans="1:1">
      <c r="A741" s="25">
        <v>3593</v>
      </c>
    </row>
    <row r="742" spans="1:1">
      <c r="A742" s="25">
        <v>3594</v>
      </c>
    </row>
    <row r="743" spans="1:1">
      <c r="A743" s="25">
        <v>3596</v>
      </c>
    </row>
    <row r="744" spans="1:1">
      <c r="A744" s="25">
        <v>3598</v>
      </c>
    </row>
    <row r="745" spans="1:1">
      <c r="A745" s="25">
        <v>3605</v>
      </c>
    </row>
    <row r="746" spans="1:1">
      <c r="A746" s="25">
        <v>3607</v>
      </c>
    </row>
    <row r="747" spans="1:1">
      <c r="A747" s="25">
        <v>3609</v>
      </c>
    </row>
    <row r="748" spans="1:1">
      <c r="A748" s="25">
        <v>3611</v>
      </c>
    </row>
    <row r="749" spans="1:1">
      <c r="A749" s="25">
        <v>3615</v>
      </c>
    </row>
    <row r="750" spans="1:1">
      <c r="A750" s="25">
        <v>3617</v>
      </c>
    </row>
    <row r="751" spans="1:1">
      <c r="A751" s="25">
        <v>3622</v>
      </c>
    </row>
    <row r="752" spans="1:1">
      <c r="A752" s="25">
        <v>3623</v>
      </c>
    </row>
    <row r="753" spans="1:1">
      <c r="A753" s="25">
        <v>3624</v>
      </c>
    </row>
    <row r="754" spans="1:1">
      <c r="A754" s="25">
        <v>3625</v>
      </c>
    </row>
    <row r="755" spans="1:1">
      <c r="A755" s="25">
        <v>3628</v>
      </c>
    </row>
    <row r="756" spans="1:1">
      <c r="A756" s="25">
        <v>3629</v>
      </c>
    </row>
    <row r="757" spans="1:1">
      <c r="A757" s="25">
        <v>3630</v>
      </c>
    </row>
    <row r="758" spans="1:1">
      <c r="A758" s="25">
        <v>3631</v>
      </c>
    </row>
    <row r="759" spans="1:1">
      <c r="A759" s="25">
        <v>3632</v>
      </c>
    </row>
    <row r="760" spans="1:1">
      <c r="A760" s="25">
        <v>3642</v>
      </c>
    </row>
    <row r="761" spans="1:1">
      <c r="A761" s="25">
        <v>3645</v>
      </c>
    </row>
    <row r="762" spans="1:1">
      <c r="A762" s="25">
        <v>3646</v>
      </c>
    </row>
    <row r="763" spans="1:1">
      <c r="A763" s="25">
        <v>3652</v>
      </c>
    </row>
    <row r="764" spans="1:1">
      <c r="A764" s="25">
        <v>3653</v>
      </c>
    </row>
    <row r="765" spans="1:1">
      <c r="A765" s="25">
        <v>3658</v>
      </c>
    </row>
    <row r="766" spans="1:1">
      <c r="A766" s="25">
        <v>3661</v>
      </c>
    </row>
    <row r="767" spans="1:1">
      <c r="A767" s="25">
        <v>3662</v>
      </c>
    </row>
    <row r="768" spans="1:1">
      <c r="A768" s="25">
        <v>3663</v>
      </c>
    </row>
    <row r="769" spans="1:1">
      <c r="A769" s="25">
        <v>3664</v>
      </c>
    </row>
    <row r="770" spans="1:1">
      <c r="A770" s="25">
        <v>3665</v>
      </c>
    </row>
    <row r="771" spans="1:1">
      <c r="A771" s="25">
        <v>3666</v>
      </c>
    </row>
    <row r="772" spans="1:1">
      <c r="A772" s="25">
        <v>3669</v>
      </c>
    </row>
    <row r="773" spans="1:1">
      <c r="A773" s="25">
        <v>3672</v>
      </c>
    </row>
    <row r="774" spans="1:1">
      <c r="A774" s="25">
        <v>3673</v>
      </c>
    </row>
    <row r="775" spans="1:1">
      <c r="A775" s="25">
        <v>3675</v>
      </c>
    </row>
    <row r="776" spans="1:1">
      <c r="A776" s="25">
        <v>3679</v>
      </c>
    </row>
    <row r="777" spans="1:1">
      <c r="A777" s="25">
        <v>3680</v>
      </c>
    </row>
    <row r="778" spans="1:1">
      <c r="A778" s="25">
        <v>3682</v>
      </c>
    </row>
    <row r="779" spans="1:1">
      <c r="A779" s="25">
        <v>3684</v>
      </c>
    </row>
    <row r="780" spans="1:1">
      <c r="A780" s="25">
        <v>3685</v>
      </c>
    </row>
    <row r="781" spans="1:1">
      <c r="A781" s="25">
        <v>3686</v>
      </c>
    </row>
    <row r="782" spans="1:1">
      <c r="A782" s="25">
        <v>3687</v>
      </c>
    </row>
    <row r="783" spans="1:1">
      <c r="A783" s="25">
        <v>3689</v>
      </c>
    </row>
    <row r="784" spans="1:1">
      <c r="A784" s="25">
        <v>3691</v>
      </c>
    </row>
    <row r="785" spans="1:1">
      <c r="A785" s="25">
        <v>3693</v>
      </c>
    </row>
    <row r="786" spans="1:1">
      <c r="A786" s="25">
        <v>3694</v>
      </c>
    </row>
    <row r="787" spans="1:1">
      <c r="A787" s="25">
        <v>3698</v>
      </c>
    </row>
    <row r="788" spans="1:1">
      <c r="A788" s="25">
        <v>3701</v>
      </c>
    </row>
    <row r="789" spans="1:1">
      <c r="A789" s="25">
        <v>3702</v>
      </c>
    </row>
    <row r="790" spans="1:1">
      <c r="A790" s="25">
        <v>3703</v>
      </c>
    </row>
    <row r="791" spans="1:1">
      <c r="A791" s="25">
        <v>3704</v>
      </c>
    </row>
    <row r="792" spans="1:1">
      <c r="A792" s="25">
        <v>3705</v>
      </c>
    </row>
    <row r="793" spans="1:1">
      <c r="A793" s="25">
        <v>3706</v>
      </c>
    </row>
    <row r="794" spans="1:1">
      <c r="A794" s="25">
        <v>3707</v>
      </c>
    </row>
    <row r="795" spans="1:1">
      <c r="A795" s="25">
        <v>4102</v>
      </c>
    </row>
    <row r="796" spans="1:1">
      <c r="A796" s="25">
        <v>4103</v>
      </c>
    </row>
    <row r="797" spans="1:1">
      <c r="A797" s="25">
        <v>4104</v>
      </c>
    </row>
    <row r="798" spans="1:1">
      <c r="A798" s="25">
        <v>4105</v>
      </c>
    </row>
    <row r="799" spans="1:1">
      <c r="A799" s="25">
        <v>4106</v>
      </c>
    </row>
    <row r="800" spans="1:1">
      <c r="A800" s="25">
        <v>4107</v>
      </c>
    </row>
    <row r="801" spans="1:1">
      <c r="A801" s="25">
        <v>4108</v>
      </c>
    </row>
    <row r="802" spans="1:1">
      <c r="A802" s="25">
        <v>4109</v>
      </c>
    </row>
    <row r="803" spans="1:1">
      <c r="A803" s="25">
        <v>4111</v>
      </c>
    </row>
    <row r="804" spans="1:1">
      <c r="A804" s="25">
        <v>4113</v>
      </c>
    </row>
    <row r="805" spans="1:1">
      <c r="A805" s="25">
        <v>4114</v>
      </c>
    </row>
    <row r="806" spans="1:1">
      <c r="A806" s="25">
        <v>4119</v>
      </c>
    </row>
    <row r="807" spans="1:1">
      <c r="A807" s="25">
        <v>4120</v>
      </c>
    </row>
    <row r="808" spans="1:1">
      <c r="A808" s="25">
        <v>4121</v>
      </c>
    </row>
    <row r="809" spans="1:1">
      <c r="A809" s="25">
        <v>4123</v>
      </c>
    </row>
    <row r="810" spans="1:1">
      <c r="A810" s="25">
        <v>4126</v>
      </c>
    </row>
    <row r="811" spans="1:1">
      <c r="A811" s="25">
        <v>4127</v>
      </c>
    </row>
    <row r="812" spans="1:1">
      <c r="A812" s="25">
        <v>4128</v>
      </c>
    </row>
    <row r="813" spans="1:1">
      <c r="A813" s="25">
        <v>4129</v>
      </c>
    </row>
    <row r="814" spans="1:1">
      <c r="A814" s="25">
        <v>4130</v>
      </c>
    </row>
    <row r="815" spans="1:1">
      <c r="A815" s="25">
        <v>4131</v>
      </c>
    </row>
    <row r="816" spans="1:1">
      <c r="A816" s="25">
        <v>4133</v>
      </c>
    </row>
    <row r="817" spans="1:1">
      <c r="A817" s="25">
        <v>4137</v>
      </c>
    </row>
    <row r="818" spans="1:1">
      <c r="A818" s="25">
        <v>4138</v>
      </c>
    </row>
    <row r="819" spans="1:1">
      <c r="A819" s="25">
        <v>4139</v>
      </c>
    </row>
    <row r="820" spans="1:1">
      <c r="A820" s="25">
        <v>4141</v>
      </c>
    </row>
    <row r="821" spans="1:1">
      <c r="A821" s="25">
        <v>4142</v>
      </c>
    </row>
    <row r="822" spans="1:1">
      <c r="A822" s="25">
        <v>4144</v>
      </c>
    </row>
    <row r="823" spans="1:1">
      <c r="A823" s="25">
        <v>4152</v>
      </c>
    </row>
    <row r="824" spans="1:1">
      <c r="A824" s="25">
        <v>4153</v>
      </c>
    </row>
    <row r="825" spans="1:1">
      <c r="A825" s="25">
        <v>4154</v>
      </c>
    </row>
    <row r="826" spans="1:1">
      <c r="A826" s="25">
        <v>4157</v>
      </c>
    </row>
    <row r="827" spans="1:1">
      <c r="A827" s="25">
        <v>4160</v>
      </c>
    </row>
    <row r="828" spans="1:1">
      <c r="A828" s="25">
        <v>4161</v>
      </c>
    </row>
    <row r="829" spans="1:1">
      <c r="A829" s="25">
        <v>4162</v>
      </c>
    </row>
    <row r="830" spans="1:1">
      <c r="A830" s="25">
        <v>4163</v>
      </c>
    </row>
    <row r="831" spans="1:1">
      <c r="A831" s="25">
        <v>4164</v>
      </c>
    </row>
    <row r="832" spans="1:1">
      <c r="A832" s="25">
        <v>4168</v>
      </c>
    </row>
    <row r="833" spans="1:1">
      <c r="A833" s="25">
        <v>4171</v>
      </c>
    </row>
    <row r="834" spans="1:1">
      <c r="A834" s="25">
        <v>4173</v>
      </c>
    </row>
    <row r="835" spans="1:1">
      <c r="A835" s="25">
        <v>4174</v>
      </c>
    </row>
    <row r="836" spans="1:1">
      <c r="A836" s="25">
        <v>4175</v>
      </c>
    </row>
    <row r="837" spans="1:1">
      <c r="A837" s="25">
        <v>4180</v>
      </c>
    </row>
    <row r="838" spans="1:1">
      <c r="A838" s="25">
        <v>4188</v>
      </c>
    </row>
    <row r="839" spans="1:1">
      <c r="A839" s="25">
        <v>4192</v>
      </c>
    </row>
    <row r="840" spans="1:1">
      <c r="A840" s="25">
        <v>4198</v>
      </c>
    </row>
    <row r="841" spans="1:1">
      <c r="A841" s="25">
        <v>4205</v>
      </c>
    </row>
    <row r="842" spans="1:1">
      <c r="A842" s="25">
        <v>4207</v>
      </c>
    </row>
    <row r="843" spans="1:1">
      <c r="A843" s="25">
        <v>4303</v>
      </c>
    </row>
    <row r="844" spans="1:1">
      <c r="A844" s="25">
        <v>4304</v>
      </c>
    </row>
    <row r="845" spans="1:1">
      <c r="A845" s="25">
        <v>4305</v>
      </c>
    </row>
    <row r="846" spans="1:1">
      <c r="A846" s="25">
        <v>4306</v>
      </c>
    </row>
    <row r="847" spans="1:1">
      <c r="A847" s="25">
        <v>4401</v>
      </c>
    </row>
    <row r="848" spans="1:1">
      <c r="A848" s="25">
        <v>4402</v>
      </c>
    </row>
    <row r="849" spans="1:1">
      <c r="A849" s="25">
        <v>4406</v>
      </c>
    </row>
    <row r="850" spans="1:1">
      <c r="A850" s="25">
        <v>4414</v>
      </c>
    </row>
    <row r="851" spans="1:1">
      <c r="A851" s="25">
        <v>4415</v>
      </c>
    </row>
    <row r="852" spans="1:1">
      <c r="A852" s="25">
        <v>4416</v>
      </c>
    </row>
    <row r="853" spans="1:1">
      <c r="A853" s="25">
        <v>4417</v>
      </c>
    </row>
    <row r="854" spans="1:1">
      <c r="A854" s="25">
        <v>4419</v>
      </c>
    </row>
    <row r="855" spans="1:1">
      <c r="A855" s="25">
        <v>4420</v>
      </c>
    </row>
    <row r="856" spans="1:1">
      <c r="A856" s="25">
        <v>4426</v>
      </c>
    </row>
    <row r="857" spans="1:1">
      <c r="A857" s="25">
        <v>4429</v>
      </c>
    </row>
    <row r="858" spans="1:1">
      <c r="A858" s="25">
        <v>4430</v>
      </c>
    </row>
    <row r="859" spans="1:1">
      <c r="A859" s="25">
        <v>4432</v>
      </c>
    </row>
    <row r="860" spans="1:1">
      <c r="A860" s="25">
        <v>4433</v>
      </c>
    </row>
    <row r="861" spans="1:1">
      <c r="A861" s="25">
        <v>4502</v>
      </c>
    </row>
    <row r="862" spans="1:1">
      <c r="A862" s="25">
        <v>4503</v>
      </c>
    </row>
    <row r="863" spans="1:1">
      <c r="A863" s="25">
        <v>4506</v>
      </c>
    </row>
    <row r="864" spans="1:1">
      <c r="A864" s="25">
        <v>4510</v>
      </c>
    </row>
    <row r="865" spans="1:1">
      <c r="A865" s="25">
        <v>4513</v>
      </c>
    </row>
    <row r="866" spans="1:1">
      <c r="A866" s="25">
        <v>4523</v>
      </c>
    </row>
    <row r="867" spans="1:1">
      <c r="A867" s="25">
        <v>4526</v>
      </c>
    </row>
    <row r="868" spans="1:1">
      <c r="A868" s="25">
        <v>4527</v>
      </c>
    </row>
    <row r="869" spans="1:1">
      <c r="A869" s="25">
        <v>4528</v>
      </c>
    </row>
    <row r="870" spans="1:1">
      <c r="A870" s="25">
        <v>4529</v>
      </c>
    </row>
    <row r="871" spans="1:1">
      <c r="A871" s="25">
        <v>4530</v>
      </c>
    </row>
    <row r="872" spans="1:1">
      <c r="A872" s="25">
        <v>4532</v>
      </c>
    </row>
    <row r="873" spans="1:1">
      <c r="A873" s="25">
        <v>4533</v>
      </c>
    </row>
    <row r="874" spans="1:1">
      <c r="A874" s="25">
        <v>4534</v>
      </c>
    </row>
    <row r="875" spans="1:1">
      <c r="A875" s="25">
        <v>4535</v>
      </c>
    </row>
    <row r="876" spans="1:1">
      <c r="A876" s="25">
        <v>4536</v>
      </c>
    </row>
    <row r="877" spans="1:1">
      <c r="A877" s="25">
        <v>4541</v>
      </c>
    </row>
    <row r="878" spans="1:1">
      <c r="A878" s="25">
        <v>4542</v>
      </c>
    </row>
    <row r="879" spans="1:1">
      <c r="A879" s="25">
        <v>4549</v>
      </c>
    </row>
    <row r="880" spans="1:1">
      <c r="A880" s="25">
        <v>4550</v>
      </c>
    </row>
    <row r="881" spans="1:1">
      <c r="A881" s="25">
        <v>4609</v>
      </c>
    </row>
    <row r="882" spans="1:1">
      <c r="A882" s="25">
        <v>4702</v>
      </c>
    </row>
    <row r="883" spans="1:1">
      <c r="A883" s="25">
        <v>4703</v>
      </c>
    </row>
    <row r="884" spans="1:1">
      <c r="A884" s="25">
        <v>4706</v>
      </c>
    </row>
    <row r="885" spans="1:1">
      <c r="A885" s="25">
        <v>4707</v>
      </c>
    </row>
    <row r="886" spans="1:1">
      <c r="A886" s="25">
        <v>4711</v>
      </c>
    </row>
    <row r="887" spans="1:1">
      <c r="A887" s="25">
        <v>4712</v>
      </c>
    </row>
    <row r="888" spans="1:1">
      <c r="A888" s="25">
        <v>4714</v>
      </c>
    </row>
    <row r="889" spans="1:1">
      <c r="A889" s="25">
        <v>4716</v>
      </c>
    </row>
    <row r="890" spans="1:1">
      <c r="A890" s="25">
        <v>4720</v>
      </c>
    </row>
    <row r="891" spans="1:1">
      <c r="A891" s="25">
        <v>4721</v>
      </c>
    </row>
    <row r="892" spans="1:1">
      <c r="A892" s="25">
        <v>4722</v>
      </c>
    </row>
    <row r="893" spans="1:1">
      <c r="A893" s="25">
        <v>4725</v>
      </c>
    </row>
    <row r="894" spans="1:1">
      <c r="A894" s="25">
        <v>4726</v>
      </c>
    </row>
    <row r="895" spans="1:1">
      <c r="A895" s="25">
        <v>4728</v>
      </c>
    </row>
    <row r="896" spans="1:1">
      <c r="A896" s="25">
        <v>4729</v>
      </c>
    </row>
    <row r="897" spans="1:1">
      <c r="A897" s="25">
        <v>4733</v>
      </c>
    </row>
    <row r="898" spans="1:1">
      <c r="A898" s="25">
        <v>4735</v>
      </c>
    </row>
    <row r="899" spans="1:1">
      <c r="A899" s="25">
        <v>4736</v>
      </c>
    </row>
    <row r="900" spans="1:1">
      <c r="A900" s="25">
        <v>4737</v>
      </c>
    </row>
    <row r="901" spans="1:1">
      <c r="A901" s="25">
        <v>4739</v>
      </c>
    </row>
    <row r="902" spans="1:1">
      <c r="A902" s="25">
        <v>4743</v>
      </c>
    </row>
    <row r="903" spans="1:1">
      <c r="A903" s="25">
        <v>4745</v>
      </c>
    </row>
    <row r="904" spans="1:1">
      <c r="A904" s="25">
        <v>4746</v>
      </c>
    </row>
    <row r="905" spans="1:1">
      <c r="A905" s="25">
        <v>4747</v>
      </c>
    </row>
    <row r="906" spans="1:1">
      <c r="A906" s="25">
        <v>4755</v>
      </c>
    </row>
    <row r="907" spans="1:1">
      <c r="A907" s="25">
        <v>4903</v>
      </c>
    </row>
    <row r="908" spans="1:1">
      <c r="A908" s="25">
        <v>4904</v>
      </c>
    </row>
    <row r="909" spans="1:1">
      <c r="A909" s="25">
        <v>4905</v>
      </c>
    </row>
    <row r="910" spans="1:1">
      <c r="A910" s="25">
        <v>4906</v>
      </c>
    </row>
    <row r="911" spans="1:1">
      <c r="A911" s="25">
        <v>4908</v>
      </c>
    </row>
    <row r="912" spans="1:1">
      <c r="A912" s="25">
        <v>4909</v>
      </c>
    </row>
    <row r="913" spans="1:1">
      <c r="A913" s="25">
        <v>4911</v>
      </c>
    </row>
    <row r="914" spans="1:1">
      <c r="A914" s="25">
        <v>4912</v>
      </c>
    </row>
    <row r="915" spans="1:1">
      <c r="A915" s="25">
        <v>4915</v>
      </c>
    </row>
    <row r="916" spans="1:1">
      <c r="A916" s="25">
        <v>4916</v>
      </c>
    </row>
    <row r="917" spans="1:1">
      <c r="A917" s="25">
        <v>4919</v>
      </c>
    </row>
    <row r="918" spans="1:1">
      <c r="A918" s="25">
        <v>4924</v>
      </c>
    </row>
    <row r="919" spans="1:1">
      <c r="A919" s="25">
        <v>4927</v>
      </c>
    </row>
    <row r="920" spans="1:1">
      <c r="A920" s="25">
        <v>4930</v>
      </c>
    </row>
    <row r="921" spans="1:1">
      <c r="A921" s="25">
        <v>4933</v>
      </c>
    </row>
    <row r="922" spans="1:1">
      <c r="A922" s="25">
        <v>4934</v>
      </c>
    </row>
    <row r="923" spans="1:1">
      <c r="A923" s="25">
        <v>4935</v>
      </c>
    </row>
    <row r="924" spans="1:1">
      <c r="A924" s="25">
        <v>4938</v>
      </c>
    </row>
    <row r="925" spans="1:1">
      <c r="A925" s="25">
        <v>4939</v>
      </c>
    </row>
    <row r="926" spans="1:1">
      <c r="A926" s="25">
        <v>4942</v>
      </c>
    </row>
    <row r="927" spans="1:1">
      <c r="A927" s="25">
        <v>4944</v>
      </c>
    </row>
    <row r="928" spans="1:1">
      <c r="A928" s="25">
        <v>4946</v>
      </c>
    </row>
    <row r="929" spans="1:1">
      <c r="A929" s="25">
        <v>4947</v>
      </c>
    </row>
    <row r="930" spans="1:1">
      <c r="A930" s="25">
        <v>4950</v>
      </c>
    </row>
    <row r="931" spans="1:1">
      <c r="A931" s="25">
        <v>4952</v>
      </c>
    </row>
    <row r="932" spans="1:1">
      <c r="A932" s="25">
        <v>4953</v>
      </c>
    </row>
    <row r="933" spans="1:1">
      <c r="A933" s="25">
        <v>4956</v>
      </c>
    </row>
    <row r="934" spans="1:1">
      <c r="A934" s="25">
        <v>4958</v>
      </c>
    </row>
    <row r="935" spans="1:1">
      <c r="A935" s="25">
        <v>4960</v>
      </c>
    </row>
    <row r="936" spans="1:1">
      <c r="A936" s="25">
        <v>4965</v>
      </c>
    </row>
    <row r="937" spans="1:1">
      <c r="A937" s="25">
        <v>4966</v>
      </c>
    </row>
    <row r="938" spans="1:1">
      <c r="A938" s="25">
        <v>4971</v>
      </c>
    </row>
    <row r="939" spans="1:1">
      <c r="A939" s="25">
        <v>4972</v>
      </c>
    </row>
    <row r="940" spans="1:1">
      <c r="A940" s="25">
        <v>4973</v>
      </c>
    </row>
    <row r="941" spans="1:1">
      <c r="A941" s="25">
        <v>4974</v>
      </c>
    </row>
    <row r="942" spans="1:1">
      <c r="A942" s="25">
        <v>4976</v>
      </c>
    </row>
    <row r="943" spans="1:1">
      <c r="A943" s="25">
        <v>4977</v>
      </c>
    </row>
    <row r="944" spans="1:1">
      <c r="A944" s="25">
        <v>4979</v>
      </c>
    </row>
    <row r="945" spans="1:1">
      <c r="A945" s="25">
        <v>4984</v>
      </c>
    </row>
    <row r="946" spans="1:1">
      <c r="A946" s="25">
        <v>4987</v>
      </c>
    </row>
    <row r="947" spans="1:1">
      <c r="A947" s="25">
        <v>4991</v>
      </c>
    </row>
    <row r="948" spans="1:1">
      <c r="A948" s="25">
        <v>4994</v>
      </c>
    </row>
    <row r="949" spans="1:1">
      <c r="A949" s="25">
        <v>4995</v>
      </c>
    </row>
    <row r="950" spans="1:1">
      <c r="A950" s="25">
        <v>4999</v>
      </c>
    </row>
    <row r="951" spans="1:1">
      <c r="A951" s="25">
        <v>5007</v>
      </c>
    </row>
    <row r="952" spans="1:1">
      <c r="A952" s="25">
        <v>5009</v>
      </c>
    </row>
    <row r="953" spans="1:1">
      <c r="A953" s="25">
        <v>5011</v>
      </c>
    </row>
    <row r="954" spans="1:1">
      <c r="A954" s="25">
        <v>5013</v>
      </c>
    </row>
    <row r="955" spans="1:1">
      <c r="A955" s="25">
        <v>5014</v>
      </c>
    </row>
    <row r="956" spans="1:1">
      <c r="A956" s="25">
        <v>5015</v>
      </c>
    </row>
    <row r="957" spans="1:1">
      <c r="A957" s="25">
        <v>5016</v>
      </c>
    </row>
    <row r="958" spans="1:1">
      <c r="A958" s="25">
        <v>5102</v>
      </c>
    </row>
    <row r="959" spans="1:1">
      <c r="A959" s="25">
        <v>5201</v>
      </c>
    </row>
    <row r="960" spans="1:1">
      <c r="A960" s="25">
        <v>5202</v>
      </c>
    </row>
    <row r="961" spans="1:1">
      <c r="A961" s="25">
        <v>5203</v>
      </c>
    </row>
    <row r="962" spans="1:1">
      <c r="A962" s="25">
        <v>5205</v>
      </c>
    </row>
    <row r="963" spans="1:1">
      <c r="A963" s="25">
        <v>5206</v>
      </c>
    </row>
    <row r="964" spans="1:1">
      <c r="A964" s="25">
        <v>5209</v>
      </c>
    </row>
    <row r="965" spans="1:1">
      <c r="A965" s="25">
        <v>5210</v>
      </c>
    </row>
    <row r="966" spans="1:1">
      <c r="A966" s="25">
        <v>5211</v>
      </c>
    </row>
    <row r="967" spans="1:1">
      <c r="A967" s="25">
        <v>5212</v>
      </c>
    </row>
    <row r="968" spans="1:1">
      <c r="A968" s="25">
        <v>5213</v>
      </c>
    </row>
    <row r="969" spans="1:1">
      <c r="A969" s="25">
        <v>5215</v>
      </c>
    </row>
    <row r="970" spans="1:1">
      <c r="A970" s="25">
        <v>5225</v>
      </c>
    </row>
    <row r="971" spans="1:1">
      <c r="A971" s="25">
        <v>5227</v>
      </c>
    </row>
    <row r="972" spans="1:1">
      <c r="A972" s="25">
        <v>5230</v>
      </c>
    </row>
    <row r="973" spans="1:1">
      <c r="A973" s="25">
        <v>5234</v>
      </c>
    </row>
    <row r="974" spans="1:1">
      <c r="A974" s="25">
        <v>5243</v>
      </c>
    </row>
    <row r="975" spans="1:1">
      <c r="A975" s="25">
        <v>5251</v>
      </c>
    </row>
    <row r="976" spans="1:1">
      <c r="A976" s="25">
        <v>5259</v>
      </c>
    </row>
    <row r="977" spans="1:1">
      <c r="A977" s="25">
        <v>5263</v>
      </c>
    </row>
    <row r="978" spans="1:1">
      <c r="A978" s="25">
        <v>5264</v>
      </c>
    </row>
    <row r="979" spans="1:1">
      <c r="A979" s="25">
        <v>5266</v>
      </c>
    </row>
    <row r="980" spans="1:1">
      <c r="A980" s="25">
        <v>5269</v>
      </c>
    </row>
    <row r="981" spans="1:1">
      <c r="A981" s="25">
        <v>5272</v>
      </c>
    </row>
    <row r="982" spans="1:1">
      <c r="A982" s="25">
        <v>5274</v>
      </c>
    </row>
    <row r="983" spans="1:1">
      <c r="A983" s="25">
        <v>5276</v>
      </c>
    </row>
    <row r="984" spans="1:1">
      <c r="A984" s="25">
        <v>5278</v>
      </c>
    </row>
    <row r="985" spans="1:1">
      <c r="A985" s="25">
        <v>5284</v>
      </c>
    </row>
    <row r="986" spans="1:1">
      <c r="A986" s="25">
        <v>5285</v>
      </c>
    </row>
    <row r="987" spans="1:1">
      <c r="A987" s="25">
        <v>5287</v>
      </c>
    </row>
    <row r="988" spans="1:1">
      <c r="A988" s="25">
        <v>5288</v>
      </c>
    </row>
    <row r="989" spans="1:1">
      <c r="A989" s="25">
        <v>5289</v>
      </c>
    </row>
    <row r="990" spans="1:1">
      <c r="A990" s="25">
        <v>5291</v>
      </c>
    </row>
    <row r="991" spans="1:1">
      <c r="A991" s="25">
        <v>5301</v>
      </c>
    </row>
    <row r="992" spans="1:1">
      <c r="A992" s="25">
        <v>5302</v>
      </c>
    </row>
    <row r="993" spans="1:1">
      <c r="A993" s="25">
        <v>5304</v>
      </c>
    </row>
    <row r="994" spans="1:1">
      <c r="A994" s="25">
        <v>5305</v>
      </c>
    </row>
    <row r="995" spans="1:1">
      <c r="A995" s="25">
        <v>5306</v>
      </c>
    </row>
    <row r="996" spans="1:1">
      <c r="A996" s="25">
        <v>5309</v>
      </c>
    </row>
    <row r="997" spans="1:1">
      <c r="A997" s="25">
        <v>5310</v>
      </c>
    </row>
    <row r="998" spans="1:1">
      <c r="A998" s="25">
        <v>5312</v>
      </c>
    </row>
    <row r="999" spans="1:1">
      <c r="A999" s="25">
        <v>5314</v>
      </c>
    </row>
    <row r="1000" spans="1:1">
      <c r="A1000" s="25">
        <v>5315</v>
      </c>
    </row>
    <row r="1001" spans="1:1">
      <c r="A1001" s="25">
        <v>5317</v>
      </c>
    </row>
    <row r="1002" spans="1:1">
      <c r="A1002" s="25">
        <v>5321</v>
      </c>
    </row>
    <row r="1003" spans="1:1">
      <c r="A1003" s="25">
        <v>5324</v>
      </c>
    </row>
    <row r="1004" spans="1:1">
      <c r="A1004" s="25">
        <v>5328</v>
      </c>
    </row>
    <row r="1005" spans="1:1">
      <c r="A1005" s="25">
        <v>5340</v>
      </c>
    </row>
    <row r="1006" spans="1:1">
      <c r="A1006" s="25">
        <v>5344</v>
      </c>
    </row>
    <row r="1007" spans="1:1">
      <c r="A1007" s="25">
        <v>5345</v>
      </c>
    </row>
    <row r="1008" spans="1:1">
      <c r="A1008" s="25">
        <v>5347</v>
      </c>
    </row>
    <row r="1009" spans="1:1">
      <c r="A1009" s="25">
        <v>5348</v>
      </c>
    </row>
    <row r="1010" spans="1:1">
      <c r="A1010" s="25">
        <v>5349</v>
      </c>
    </row>
    <row r="1011" spans="1:1">
      <c r="A1011" s="25">
        <v>5351</v>
      </c>
    </row>
    <row r="1012" spans="1:1">
      <c r="A1012" s="25">
        <v>5353</v>
      </c>
    </row>
    <row r="1013" spans="1:1">
      <c r="A1013" s="25">
        <v>5355</v>
      </c>
    </row>
    <row r="1014" spans="1:1">
      <c r="A1014" s="25">
        <v>5356</v>
      </c>
    </row>
    <row r="1015" spans="1:1">
      <c r="A1015" s="25">
        <v>5364</v>
      </c>
    </row>
    <row r="1016" spans="1:1">
      <c r="A1016" s="25">
        <v>5371</v>
      </c>
    </row>
    <row r="1017" spans="1:1">
      <c r="A1017" s="25">
        <v>5381</v>
      </c>
    </row>
    <row r="1018" spans="1:1">
      <c r="A1018" s="25">
        <v>5383</v>
      </c>
    </row>
    <row r="1019" spans="1:1">
      <c r="A1019" s="25">
        <v>5384</v>
      </c>
    </row>
    <row r="1020" spans="1:1">
      <c r="A1020" s="25">
        <v>5386</v>
      </c>
    </row>
    <row r="1021" spans="1:1">
      <c r="A1021" s="25">
        <v>5388</v>
      </c>
    </row>
    <row r="1022" spans="1:1">
      <c r="A1022" s="25">
        <v>5392</v>
      </c>
    </row>
    <row r="1023" spans="1:1">
      <c r="A1023" s="25">
        <v>5395</v>
      </c>
    </row>
    <row r="1024" spans="1:1">
      <c r="A1024" s="25">
        <v>5398</v>
      </c>
    </row>
    <row r="1025" spans="1:1">
      <c r="A1025" s="25">
        <v>5403</v>
      </c>
    </row>
    <row r="1026" spans="1:1">
      <c r="A1026" s="25">
        <v>5410</v>
      </c>
    </row>
    <row r="1027" spans="1:1">
      <c r="A1027" s="25">
        <v>5425</v>
      </c>
    </row>
    <row r="1028" spans="1:1">
      <c r="A1028" s="25">
        <v>5426</v>
      </c>
    </row>
    <row r="1029" spans="1:1">
      <c r="A1029" s="25">
        <v>5432</v>
      </c>
    </row>
    <row r="1030" spans="1:1">
      <c r="A1030" s="25">
        <v>5434</v>
      </c>
    </row>
    <row r="1031" spans="1:1">
      <c r="A1031" s="25">
        <v>5438</v>
      </c>
    </row>
    <row r="1032" spans="1:1">
      <c r="A1032" s="25">
        <v>5439</v>
      </c>
    </row>
    <row r="1033" spans="1:1">
      <c r="A1033" s="25">
        <v>5443</v>
      </c>
    </row>
    <row r="1034" spans="1:1">
      <c r="A1034" s="25">
        <v>5450</v>
      </c>
    </row>
    <row r="1035" spans="1:1">
      <c r="A1035" s="25">
        <v>5452</v>
      </c>
    </row>
    <row r="1036" spans="1:1">
      <c r="A1036" s="25">
        <v>5455</v>
      </c>
    </row>
    <row r="1037" spans="1:1">
      <c r="A1037" s="25">
        <v>5457</v>
      </c>
    </row>
    <row r="1038" spans="1:1">
      <c r="A1038" s="25">
        <v>5460</v>
      </c>
    </row>
    <row r="1039" spans="1:1">
      <c r="A1039" s="25">
        <v>5464</v>
      </c>
    </row>
    <row r="1040" spans="1:1">
      <c r="A1040" s="25">
        <v>5465</v>
      </c>
    </row>
    <row r="1041" spans="1:1">
      <c r="A1041" s="25">
        <v>5466</v>
      </c>
    </row>
    <row r="1042" spans="1:1">
      <c r="A1042" s="25">
        <v>5468</v>
      </c>
    </row>
    <row r="1043" spans="1:1">
      <c r="A1043" s="25">
        <v>5469</v>
      </c>
    </row>
    <row r="1044" spans="1:1">
      <c r="A1044" s="25">
        <v>5471</v>
      </c>
    </row>
    <row r="1045" spans="1:1">
      <c r="A1045" s="25">
        <v>5474</v>
      </c>
    </row>
    <row r="1046" spans="1:1">
      <c r="A1046" s="25">
        <v>5475</v>
      </c>
    </row>
    <row r="1047" spans="1:1">
      <c r="A1047" s="25">
        <v>5478</v>
      </c>
    </row>
    <row r="1048" spans="1:1">
      <c r="A1048" s="25">
        <v>5480</v>
      </c>
    </row>
    <row r="1049" spans="1:1">
      <c r="A1049" s="25">
        <v>5481</v>
      </c>
    </row>
    <row r="1050" spans="1:1">
      <c r="A1050" s="25">
        <v>5483</v>
      </c>
    </row>
    <row r="1051" spans="1:1">
      <c r="A1051" s="25">
        <v>5484</v>
      </c>
    </row>
    <row r="1052" spans="1:1">
      <c r="A1052" s="25">
        <v>5487</v>
      </c>
    </row>
    <row r="1053" spans="1:1">
      <c r="A1053" s="25">
        <v>5488</v>
      </c>
    </row>
    <row r="1054" spans="1:1">
      <c r="A1054" s="25">
        <v>5489</v>
      </c>
    </row>
    <row r="1055" spans="1:1">
      <c r="A1055" s="25">
        <v>5490</v>
      </c>
    </row>
    <row r="1056" spans="1:1">
      <c r="A1056" s="25">
        <v>5491</v>
      </c>
    </row>
    <row r="1057" spans="1:1">
      <c r="A1057" s="25">
        <v>5493</v>
      </c>
    </row>
    <row r="1058" spans="1:1">
      <c r="A1058" s="25">
        <v>5498</v>
      </c>
    </row>
    <row r="1059" spans="1:1">
      <c r="A1059" s="25">
        <v>5601</v>
      </c>
    </row>
    <row r="1060" spans="1:1">
      <c r="A1060" s="25">
        <v>5603</v>
      </c>
    </row>
    <row r="1061" spans="1:1">
      <c r="A1061" s="25">
        <v>5604</v>
      </c>
    </row>
    <row r="1062" spans="1:1">
      <c r="A1062" s="25">
        <v>5607</v>
      </c>
    </row>
    <row r="1063" spans="1:1">
      <c r="A1063" s="25">
        <v>5608</v>
      </c>
    </row>
    <row r="1064" spans="1:1">
      <c r="A1064" s="25">
        <v>5609</v>
      </c>
    </row>
    <row r="1065" spans="1:1">
      <c r="A1065" s="25">
        <v>5701</v>
      </c>
    </row>
    <row r="1066" spans="1:1">
      <c r="A1066" s="25">
        <v>5703</v>
      </c>
    </row>
    <row r="1067" spans="1:1">
      <c r="A1067" s="25">
        <v>5704</v>
      </c>
    </row>
    <row r="1068" spans="1:1">
      <c r="A1068" s="25">
        <v>5706</v>
      </c>
    </row>
    <row r="1069" spans="1:1">
      <c r="A1069" s="25">
        <v>5902</v>
      </c>
    </row>
    <row r="1070" spans="1:1">
      <c r="A1070" s="25">
        <v>5903</v>
      </c>
    </row>
    <row r="1071" spans="1:1">
      <c r="A1071" s="25">
        <v>5904</v>
      </c>
    </row>
    <row r="1072" spans="1:1">
      <c r="A1072" s="25">
        <v>5905</v>
      </c>
    </row>
    <row r="1073" spans="1:1">
      <c r="A1073" s="25">
        <v>5906</v>
      </c>
    </row>
    <row r="1074" spans="1:1">
      <c r="A1074" s="25">
        <v>5907</v>
      </c>
    </row>
    <row r="1075" spans="1:1">
      <c r="A1075" s="25">
        <v>6101</v>
      </c>
    </row>
    <row r="1076" spans="1:1">
      <c r="A1076" s="25">
        <v>6103</v>
      </c>
    </row>
    <row r="1077" spans="1:1">
      <c r="A1077" s="25">
        <v>6104</v>
      </c>
    </row>
    <row r="1078" spans="1:1">
      <c r="A1078" s="25">
        <v>6105</v>
      </c>
    </row>
    <row r="1079" spans="1:1">
      <c r="A1079" s="25">
        <v>6107</v>
      </c>
    </row>
    <row r="1080" spans="1:1">
      <c r="A1080" s="25">
        <v>6108</v>
      </c>
    </row>
    <row r="1081" spans="1:1">
      <c r="A1081" s="25">
        <v>6109</v>
      </c>
    </row>
    <row r="1082" spans="1:1">
      <c r="A1082" s="25">
        <v>6111</v>
      </c>
    </row>
    <row r="1083" spans="1:1">
      <c r="A1083" s="25">
        <v>6112</v>
      </c>
    </row>
    <row r="1084" spans="1:1">
      <c r="A1084" s="25">
        <v>6113</v>
      </c>
    </row>
    <row r="1085" spans="1:1">
      <c r="A1085" s="25">
        <v>6114</v>
      </c>
    </row>
    <row r="1086" spans="1:1">
      <c r="A1086" s="25">
        <v>6115</v>
      </c>
    </row>
    <row r="1087" spans="1:1">
      <c r="A1087" s="25">
        <v>6116</v>
      </c>
    </row>
    <row r="1088" spans="1:1">
      <c r="A1088" s="25">
        <v>6117</v>
      </c>
    </row>
    <row r="1089" spans="1:1">
      <c r="A1089" s="25">
        <v>6118</v>
      </c>
    </row>
    <row r="1090" spans="1:1">
      <c r="A1090" s="25">
        <v>6120</v>
      </c>
    </row>
    <row r="1091" spans="1:1">
      <c r="A1091" s="25">
        <v>6121</v>
      </c>
    </row>
    <row r="1092" spans="1:1">
      <c r="A1092" s="25">
        <v>6122</v>
      </c>
    </row>
    <row r="1093" spans="1:1">
      <c r="A1093" s="25">
        <v>6123</v>
      </c>
    </row>
    <row r="1094" spans="1:1">
      <c r="A1094" s="25">
        <v>6124</v>
      </c>
    </row>
    <row r="1095" spans="1:1">
      <c r="A1095" s="25">
        <v>6125</v>
      </c>
    </row>
    <row r="1096" spans="1:1">
      <c r="A1096" s="25">
        <v>6126</v>
      </c>
    </row>
    <row r="1097" spans="1:1">
      <c r="A1097" s="25">
        <v>6127</v>
      </c>
    </row>
    <row r="1098" spans="1:1">
      <c r="A1098" s="25">
        <v>6128</v>
      </c>
    </row>
    <row r="1099" spans="1:1">
      <c r="A1099" s="25">
        <v>6129</v>
      </c>
    </row>
    <row r="1100" spans="1:1">
      <c r="A1100" s="25">
        <v>6130</v>
      </c>
    </row>
    <row r="1101" spans="1:1">
      <c r="A1101" s="25">
        <v>6131</v>
      </c>
    </row>
    <row r="1102" spans="1:1">
      <c r="A1102" s="25">
        <v>6133</v>
      </c>
    </row>
    <row r="1103" spans="1:1">
      <c r="A1103" s="25">
        <v>6134</v>
      </c>
    </row>
    <row r="1104" spans="1:1">
      <c r="A1104" s="25">
        <v>6135</v>
      </c>
    </row>
    <row r="1105" spans="1:1">
      <c r="A1105" s="25">
        <v>6136</v>
      </c>
    </row>
    <row r="1106" spans="1:1">
      <c r="A1106" s="25">
        <v>6138</v>
      </c>
    </row>
    <row r="1107" spans="1:1">
      <c r="A1107" s="25">
        <v>6139</v>
      </c>
    </row>
    <row r="1108" spans="1:1">
      <c r="A1108" s="25">
        <v>6140</v>
      </c>
    </row>
    <row r="1109" spans="1:1">
      <c r="A1109" s="25">
        <v>6141</v>
      </c>
    </row>
    <row r="1110" spans="1:1">
      <c r="A1110" s="25">
        <v>6142</v>
      </c>
    </row>
    <row r="1111" spans="1:1">
      <c r="A1111" s="25">
        <v>6143</v>
      </c>
    </row>
    <row r="1112" spans="1:1">
      <c r="A1112" s="25">
        <v>6144</v>
      </c>
    </row>
    <row r="1113" spans="1:1">
      <c r="A1113" s="25">
        <v>6145</v>
      </c>
    </row>
    <row r="1114" spans="1:1">
      <c r="A1114" s="25">
        <v>6146</v>
      </c>
    </row>
    <row r="1115" spans="1:1">
      <c r="A1115" s="25">
        <v>6147</v>
      </c>
    </row>
    <row r="1116" spans="1:1">
      <c r="A1116" s="25">
        <v>6148</v>
      </c>
    </row>
    <row r="1117" spans="1:1">
      <c r="A1117" s="25">
        <v>6150</v>
      </c>
    </row>
    <row r="1118" spans="1:1">
      <c r="A1118" s="25">
        <v>6151</v>
      </c>
    </row>
    <row r="1119" spans="1:1">
      <c r="A1119" s="25">
        <v>6152</v>
      </c>
    </row>
    <row r="1120" spans="1:1">
      <c r="A1120" s="25">
        <v>6153</v>
      </c>
    </row>
    <row r="1121" spans="1:1">
      <c r="A1121" s="25">
        <v>6154</v>
      </c>
    </row>
    <row r="1122" spans="1:1">
      <c r="A1122" s="25">
        <v>6155</v>
      </c>
    </row>
    <row r="1123" spans="1:1">
      <c r="A1123" s="25">
        <v>6156</v>
      </c>
    </row>
    <row r="1124" spans="1:1">
      <c r="A1124" s="25">
        <v>6158</v>
      </c>
    </row>
    <row r="1125" spans="1:1">
      <c r="A1125" s="25">
        <v>6160</v>
      </c>
    </row>
    <row r="1126" spans="1:1">
      <c r="A1126" s="25">
        <v>6161</v>
      </c>
    </row>
    <row r="1127" spans="1:1">
      <c r="A1127" s="25">
        <v>6163</v>
      </c>
    </row>
    <row r="1128" spans="1:1">
      <c r="A1128" s="25">
        <v>6164</v>
      </c>
    </row>
    <row r="1129" spans="1:1">
      <c r="A1129" s="25">
        <v>6165</v>
      </c>
    </row>
    <row r="1130" spans="1:1">
      <c r="A1130" s="25">
        <v>6166</v>
      </c>
    </row>
    <row r="1131" spans="1:1">
      <c r="A1131" s="25">
        <v>6167</v>
      </c>
    </row>
    <row r="1132" spans="1:1">
      <c r="A1132" s="25">
        <v>6168</v>
      </c>
    </row>
    <row r="1133" spans="1:1">
      <c r="A1133" s="25">
        <v>6169</v>
      </c>
    </row>
    <row r="1134" spans="1:1">
      <c r="A1134" s="25">
        <v>6170</v>
      </c>
    </row>
    <row r="1135" spans="1:1">
      <c r="A1135" s="25">
        <v>6171</v>
      </c>
    </row>
    <row r="1136" spans="1:1">
      <c r="A1136" s="25">
        <v>6172</v>
      </c>
    </row>
    <row r="1137" spans="1:1">
      <c r="A1137" s="25">
        <v>6173</v>
      </c>
    </row>
    <row r="1138" spans="1:1">
      <c r="A1138" s="25">
        <v>6174</v>
      </c>
    </row>
    <row r="1139" spans="1:1">
      <c r="A1139" s="25">
        <v>6175</v>
      </c>
    </row>
    <row r="1140" spans="1:1">
      <c r="A1140" s="25">
        <v>6176</v>
      </c>
    </row>
    <row r="1141" spans="1:1">
      <c r="A1141" s="25">
        <v>6177</v>
      </c>
    </row>
    <row r="1142" spans="1:1">
      <c r="A1142" s="25">
        <v>6179</v>
      </c>
    </row>
    <row r="1143" spans="1:1">
      <c r="A1143" s="25">
        <v>6180</v>
      </c>
    </row>
    <row r="1144" spans="1:1">
      <c r="A1144" s="25">
        <v>6182</v>
      </c>
    </row>
    <row r="1145" spans="1:1">
      <c r="A1145" s="25">
        <v>6183</v>
      </c>
    </row>
    <row r="1146" spans="1:1">
      <c r="A1146" s="25">
        <v>6184</v>
      </c>
    </row>
    <row r="1147" spans="1:1">
      <c r="A1147" s="25">
        <v>6185</v>
      </c>
    </row>
    <row r="1148" spans="1:1">
      <c r="A1148" s="25">
        <v>6186</v>
      </c>
    </row>
    <row r="1149" spans="1:1">
      <c r="A1149" s="25">
        <v>6187</v>
      </c>
    </row>
    <row r="1150" spans="1:1">
      <c r="A1150" s="25">
        <v>6188</v>
      </c>
    </row>
    <row r="1151" spans="1:1">
      <c r="A1151" s="25">
        <v>6189</v>
      </c>
    </row>
    <row r="1152" spans="1:1">
      <c r="A1152" s="25">
        <v>6190</v>
      </c>
    </row>
    <row r="1153" spans="1:1">
      <c r="A1153" s="25">
        <v>6191</v>
      </c>
    </row>
    <row r="1154" spans="1:1">
      <c r="A1154" s="25">
        <v>6192</v>
      </c>
    </row>
    <row r="1155" spans="1:1">
      <c r="A1155" s="25">
        <v>6194</v>
      </c>
    </row>
    <row r="1156" spans="1:1">
      <c r="A1156" s="25">
        <v>6195</v>
      </c>
    </row>
    <row r="1157" spans="1:1">
      <c r="A1157" s="25">
        <v>6196</v>
      </c>
    </row>
    <row r="1158" spans="1:1">
      <c r="A1158" s="25">
        <v>6197</v>
      </c>
    </row>
    <row r="1159" spans="1:1">
      <c r="A1159" s="25">
        <v>6198</v>
      </c>
    </row>
    <row r="1160" spans="1:1">
      <c r="A1160" s="25">
        <v>6199</v>
      </c>
    </row>
    <row r="1161" spans="1:1">
      <c r="A1161" s="25">
        <v>6201</v>
      </c>
    </row>
    <row r="1162" spans="1:1">
      <c r="A1162" s="25">
        <v>6202</v>
      </c>
    </row>
    <row r="1163" spans="1:1">
      <c r="A1163" s="25">
        <v>6203</v>
      </c>
    </row>
    <row r="1164" spans="1:1">
      <c r="A1164" s="25">
        <v>6204</v>
      </c>
    </row>
    <row r="1165" spans="1:1">
      <c r="A1165" s="25">
        <v>6205</v>
      </c>
    </row>
    <row r="1166" spans="1:1">
      <c r="A1166" s="25">
        <v>6206</v>
      </c>
    </row>
    <row r="1167" spans="1:1">
      <c r="A1167" s="25">
        <v>6207</v>
      </c>
    </row>
    <row r="1168" spans="1:1">
      <c r="A1168" s="25">
        <v>6208</v>
      </c>
    </row>
    <row r="1169" spans="1:1">
      <c r="A1169" s="25">
        <v>6209</v>
      </c>
    </row>
    <row r="1170" spans="1:1">
      <c r="A1170" s="25">
        <v>6210</v>
      </c>
    </row>
    <row r="1171" spans="1:1">
      <c r="A1171" s="25">
        <v>6211</v>
      </c>
    </row>
    <row r="1172" spans="1:1">
      <c r="A1172" s="25">
        <v>6212</v>
      </c>
    </row>
    <row r="1173" spans="1:1">
      <c r="A1173" s="25">
        <v>6213</v>
      </c>
    </row>
    <row r="1174" spans="1:1">
      <c r="A1174" s="25">
        <v>6214</v>
      </c>
    </row>
    <row r="1175" spans="1:1">
      <c r="A1175" s="25">
        <v>6215</v>
      </c>
    </row>
    <row r="1176" spans="1:1">
      <c r="A1176" s="25">
        <v>6216</v>
      </c>
    </row>
    <row r="1177" spans="1:1">
      <c r="A1177" s="25">
        <v>6217</v>
      </c>
    </row>
    <row r="1178" spans="1:1">
      <c r="A1178" s="25">
        <v>6218</v>
      </c>
    </row>
    <row r="1179" spans="1:1">
      <c r="A1179" s="25">
        <v>6219</v>
      </c>
    </row>
    <row r="1180" spans="1:1">
      <c r="A1180" s="25">
        <v>6220</v>
      </c>
    </row>
    <row r="1181" spans="1:1">
      <c r="A1181" s="25">
        <v>6221</v>
      </c>
    </row>
    <row r="1182" spans="1:1">
      <c r="A1182" s="25">
        <v>6222</v>
      </c>
    </row>
    <row r="1183" spans="1:1">
      <c r="A1183" s="25">
        <v>6223</v>
      </c>
    </row>
    <row r="1184" spans="1:1">
      <c r="A1184" s="25">
        <v>6224</v>
      </c>
    </row>
    <row r="1185" spans="1:1">
      <c r="A1185" s="25">
        <v>6225</v>
      </c>
    </row>
    <row r="1186" spans="1:1">
      <c r="A1186" s="25">
        <v>6226</v>
      </c>
    </row>
    <row r="1187" spans="1:1">
      <c r="A1187" s="25">
        <v>6227</v>
      </c>
    </row>
    <row r="1188" spans="1:1">
      <c r="A1188" s="25">
        <v>6228</v>
      </c>
    </row>
    <row r="1189" spans="1:1">
      <c r="A1189" s="25">
        <v>6229</v>
      </c>
    </row>
    <row r="1190" spans="1:1">
      <c r="A1190" s="25">
        <v>6230</v>
      </c>
    </row>
    <row r="1191" spans="1:1">
      <c r="A1191" s="25">
        <v>6231</v>
      </c>
    </row>
    <row r="1192" spans="1:1">
      <c r="A1192" s="25">
        <v>6233</v>
      </c>
    </row>
    <row r="1193" spans="1:1">
      <c r="A1193" s="25">
        <v>6234</v>
      </c>
    </row>
    <row r="1194" spans="1:1">
      <c r="A1194" s="25">
        <v>6235</v>
      </c>
    </row>
    <row r="1195" spans="1:1">
      <c r="A1195" s="25">
        <v>6236</v>
      </c>
    </row>
    <row r="1196" spans="1:1">
      <c r="A1196" s="25">
        <v>6237</v>
      </c>
    </row>
    <row r="1197" spans="1:1">
      <c r="A1197" s="25">
        <v>6238</v>
      </c>
    </row>
    <row r="1198" spans="1:1">
      <c r="A1198" s="25">
        <v>6239</v>
      </c>
    </row>
    <row r="1199" spans="1:1">
      <c r="A1199" s="25">
        <v>6240</v>
      </c>
    </row>
    <row r="1200" spans="1:1">
      <c r="A1200" s="25">
        <v>6241</v>
      </c>
    </row>
    <row r="1201" spans="1:1">
      <c r="A1201" s="25">
        <v>6243</v>
      </c>
    </row>
    <row r="1202" spans="1:1">
      <c r="A1202" s="25">
        <v>6244</v>
      </c>
    </row>
    <row r="1203" spans="1:1">
      <c r="A1203" s="25">
        <v>6245</v>
      </c>
    </row>
    <row r="1204" spans="1:1">
      <c r="A1204" s="25">
        <v>6246</v>
      </c>
    </row>
    <row r="1205" spans="1:1">
      <c r="A1205" s="25">
        <v>6247</v>
      </c>
    </row>
    <row r="1206" spans="1:1">
      <c r="A1206" s="25">
        <v>6248</v>
      </c>
    </row>
    <row r="1207" spans="1:1">
      <c r="A1207" s="25">
        <v>6250</v>
      </c>
    </row>
    <row r="1208" spans="1:1">
      <c r="A1208" s="25">
        <v>6251</v>
      </c>
    </row>
    <row r="1209" spans="1:1">
      <c r="A1209" s="25">
        <v>6257</v>
      </c>
    </row>
    <row r="1210" spans="1:1">
      <c r="A1210" s="25">
        <v>6259</v>
      </c>
    </row>
    <row r="1211" spans="1:1">
      <c r="A1211" s="25">
        <v>6261</v>
      </c>
    </row>
    <row r="1212" spans="1:1">
      <c r="A1212" s="25">
        <v>6263</v>
      </c>
    </row>
    <row r="1213" spans="1:1">
      <c r="A1213" s="25">
        <v>6264</v>
      </c>
    </row>
    <row r="1214" spans="1:1">
      <c r="A1214" s="25">
        <v>6265</v>
      </c>
    </row>
    <row r="1215" spans="1:1">
      <c r="A1215" s="25">
        <v>6266</v>
      </c>
    </row>
    <row r="1216" spans="1:1">
      <c r="A1216" s="25">
        <v>6269</v>
      </c>
    </row>
    <row r="1217" spans="1:1">
      <c r="A1217" s="25">
        <v>6270</v>
      </c>
    </row>
    <row r="1218" spans="1:1">
      <c r="A1218" s="25">
        <v>6271</v>
      </c>
    </row>
    <row r="1219" spans="1:1">
      <c r="A1219" s="25">
        <v>6274</v>
      </c>
    </row>
    <row r="1220" spans="1:1">
      <c r="A1220" s="25">
        <v>6275</v>
      </c>
    </row>
    <row r="1221" spans="1:1">
      <c r="A1221" s="25">
        <v>6276</v>
      </c>
    </row>
    <row r="1222" spans="1:1">
      <c r="A1222" s="25">
        <v>6277</v>
      </c>
    </row>
    <row r="1223" spans="1:1">
      <c r="A1223" s="25">
        <v>6278</v>
      </c>
    </row>
    <row r="1224" spans="1:1">
      <c r="A1224" s="25">
        <v>6279</v>
      </c>
    </row>
    <row r="1225" spans="1:1">
      <c r="A1225" s="25">
        <v>6281</v>
      </c>
    </row>
    <row r="1226" spans="1:1">
      <c r="A1226" s="25">
        <v>6282</v>
      </c>
    </row>
    <row r="1227" spans="1:1">
      <c r="A1227" s="25">
        <v>6283</v>
      </c>
    </row>
    <row r="1228" spans="1:1">
      <c r="A1228" s="25">
        <v>6284</v>
      </c>
    </row>
    <row r="1229" spans="1:1">
      <c r="A1229" s="25">
        <v>6285</v>
      </c>
    </row>
    <row r="1230" spans="1:1">
      <c r="A1230" s="25">
        <v>6286</v>
      </c>
    </row>
    <row r="1231" spans="1:1">
      <c r="A1231" s="25">
        <v>6287</v>
      </c>
    </row>
    <row r="1232" spans="1:1">
      <c r="A1232" s="25">
        <v>6289</v>
      </c>
    </row>
    <row r="1233" spans="1:1">
      <c r="A1233" s="25">
        <v>6290</v>
      </c>
    </row>
    <row r="1234" spans="1:1">
      <c r="A1234" s="25">
        <v>6291</v>
      </c>
    </row>
    <row r="1235" spans="1:1">
      <c r="A1235" s="25">
        <v>6292</v>
      </c>
    </row>
    <row r="1236" spans="1:1">
      <c r="A1236" s="25">
        <v>6294</v>
      </c>
    </row>
    <row r="1237" spans="1:1">
      <c r="A1237" s="25">
        <v>6298</v>
      </c>
    </row>
    <row r="1238" spans="1:1">
      <c r="A1238" s="25">
        <v>6404</v>
      </c>
    </row>
    <row r="1239" spans="1:1">
      <c r="A1239" s="25">
        <v>6405</v>
      </c>
    </row>
    <row r="1240" spans="1:1">
      <c r="A1240" s="25">
        <v>6409</v>
      </c>
    </row>
    <row r="1241" spans="1:1">
      <c r="A1241" s="25">
        <v>6411</v>
      </c>
    </row>
    <row r="1242" spans="1:1">
      <c r="A1242" s="25">
        <v>6412</v>
      </c>
    </row>
    <row r="1243" spans="1:1">
      <c r="A1243" s="25">
        <v>6414</v>
      </c>
    </row>
    <row r="1244" spans="1:1">
      <c r="A1244" s="25">
        <v>6415</v>
      </c>
    </row>
    <row r="1245" spans="1:1">
      <c r="A1245" s="25">
        <v>6419</v>
      </c>
    </row>
    <row r="1246" spans="1:1">
      <c r="A1246" s="25">
        <v>6422</v>
      </c>
    </row>
    <row r="1247" spans="1:1">
      <c r="A1247" s="25">
        <v>6426</v>
      </c>
    </row>
    <row r="1248" spans="1:1">
      <c r="A1248" s="25">
        <v>6431</v>
      </c>
    </row>
    <row r="1249" spans="1:1">
      <c r="A1249" s="25">
        <v>6449</v>
      </c>
    </row>
    <row r="1250" spans="1:1">
      <c r="A1250" s="25">
        <v>6451</v>
      </c>
    </row>
    <row r="1251" spans="1:1">
      <c r="A1251" s="25">
        <v>6452</v>
      </c>
    </row>
    <row r="1252" spans="1:1">
      <c r="A1252" s="25">
        <v>6504</v>
      </c>
    </row>
    <row r="1253" spans="1:1">
      <c r="A1253" s="25">
        <v>6505</v>
      </c>
    </row>
    <row r="1254" spans="1:1">
      <c r="A1254" s="25">
        <v>6506</v>
      </c>
    </row>
    <row r="1255" spans="1:1">
      <c r="A1255" s="25">
        <v>6508</v>
      </c>
    </row>
    <row r="1256" spans="1:1">
      <c r="A1256" s="25">
        <v>6509</v>
      </c>
    </row>
    <row r="1257" spans="1:1">
      <c r="A1257" s="25">
        <v>6603</v>
      </c>
    </row>
    <row r="1258" spans="1:1">
      <c r="A1258" s="25">
        <v>6605</v>
      </c>
    </row>
    <row r="1259" spans="1:1">
      <c r="A1259" s="25">
        <v>6609</v>
      </c>
    </row>
    <row r="1260" spans="1:1">
      <c r="A1260" s="25">
        <v>6702</v>
      </c>
    </row>
    <row r="1261" spans="1:1">
      <c r="A1261" s="25">
        <v>6803</v>
      </c>
    </row>
    <row r="1262" spans="1:1">
      <c r="A1262" s="25">
        <v>8011</v>
      </c>
    </row>
    <row r="1263" spans="1:1">
      <c r="A1263" s="25">
        <v>8016</v>
      </c>
    </row>
    <row r="1264" spans="1:1">
      <c r="A1264" s="25">
        <v>8021</v>
      </c>
    </row>
    <row r="1265" spans="1:1">
      <c r="A1265" s="25">
        <v>8024</v>
      </c>
    </row>
    <row r="1266" spans="1:1">
      <c r="A1266" s="25">
        <v>8032</v>
      </c>
    </row>
    <row r="1267" spans="1:1">
      <c r="A1267" s="25">
        <v>8033</v>
      </c>
    </row>
    <row r="1268" spans="1:1">
      <c r="A1268" s="25">
        <v>8034</v>
      </c>
    </row>
    <row r="1269" spans="1:1">
      <c r="A1269" s="25">
        <v>8038</v>
      </c>
    </row>
    <row r="1270" spans="1:1">
      <c r="A1270" s="25">
        <v>8039</v>
      </c>
    </row>
    <row r="1271" spans="1:1">
      <c r="A1271" s="25">
        <v>8040</v>
      </c>
    </row>
    <row r="1272" spans="1:1">
      <c r="A1272" s="25">
        <v>8042</v>
      </c>
    </row>
    <row r="1273" spans="1:1">
      <c r="A1273" s="25">
        <v>8043</v>
      </c>
    </row>
    <row r="1274" spans="1:1">
      <c r="A1274" s="25">
        <v>8044</v>
      </c>
    </row>
    <row r="1275" spans="1:1">
      <c r="A1275" s="25">
        <v>8046</v>
      </c>
    </row>
    <row r="1276" spans="1:1">
      <c r="A1276" s="25">
        <v>8047</v>
      </c>
    </row>
    <row r="1277" spans="1:1">
      <c r="A1277" s="25">
        <v>8048</v>
      </c>
    </row>
    <row r="1278" spans="1:1">
      <c r="A1278" s="25">
        <v>8049</v>
      </c>
    </row>
    <row r="1279" spans="1:1">
      <c r="A1279" s="25">
        <v>8050</v>
      </c>
    </row>
    <row r="1280" spans="1:1">
      <c r="A1280" s="25">
        <v>8053</v>
      </c>
    </row>
    <row r="1281" spans="1:1">
      <c r="A1281" s="25">
        <v>8054</v>
      </c>
    </row>
    <row r="1282" spans="1:1">
      <c r="A1282" s="25">
        <v>8059</v>
      </c>
    </row>
    <row r="1283" spans="1:1">
      <c r="A1283" s="25">
        <v>8064</v>
      </c>
    </row>
    <row r="1284" spans="1:1">
      <c r="A1284" s="25">
        <v>8066</v>
      </c>
    </row>
    <row r="1285" spans="1:1">
      <c r="A1285" s="25">
        <v>8067</v>
      </c>
    </row>
    <row r="1286" spans="1:1">
      <c r="A1286" s="25">
        <v>8068</v>
      </c>
    </row>
    <row r="1287" spans="1:1">
      <c r="A1287" s="25">
        <v>8069</v>
      </c>
    </row>
    <row r="1288" spans="1:1">
      <c r="A1288" s="25">
        <v>8070</v>
      </c>
    </row>
    <row r="1289" spans="1:1">
      <c r="A1289" s="25">
        <v>8071</v>
      </c>
    </row>
    <row r="1290" spans="1:1">
      <c r="A1290" s="25">
        <v>8072</v>
      </c>
    </row>
    <row r="1291" spans="1:1">
      <c r="A1291" s="25">
        <v>8074</v>
      </c>
    </row>
    <row r="1292" spans="1:1">
      <c r="A1292" s="25">
        <v>8076</v>
      </c>
    </row>
    <row r="1293" spans="1:1">
      <c r="A1293" s="25">
        <v>8077</v>
      </c>
    </row>
    <row r="1294" spans="1:1">
      <c r="A1294" s="25">
        <v>8079</v>
      </c>
    </row>
    <row r="1295" spans="1:1">
      <c r="A1295" s="25">
        <v>8080</v>
      </c>
    </row>
    <row r="1296" spans="1:1">
      <c r="A1296" s="25">
        <v>8081</v>
      </c>
    </row>
    <row r="1297" spans="1:1">
      <c r="A1297" s="25">
        <v>8082</v>
      </c>
    </row>
    <row r="1298" spans="1:1">
      <c r="A1298" s="25">
        <v>8083</v>
      </c>
    </row>
    <row r="1299" spans="1:1">
      <c r="A1299" s="25">
        <v>8084</v>
      </c>
    </row>
    <row r="1300" spans="1:1">
      <c r="A1300" s="25">
        <v>8085</v>
      </c>
    </row>
    <row r="1301" spans="1:1">
      <c r="A1301" s="25">
        <v>8086</v>
      </c>
    </row>
    <row r="1302" spans="1:1">
      <c r="A1302" s="25">
        <v>8087</v>
      </c>
    </row>
    <row r="1303" spans="1:1">
      <c r="A1303" s="25">
        <v>8088</v>
      </c>
    </row>
    <row r="1304" spans="1:1">
      <c r="A1304" s="25">
        <v>8091</v>
      </c>
    </row>
    <row r="1305" spans="1:1">
      <c r="A1305" s="25">
        <v>8092</v>
      </c>
    </row>
    <row r="1306" spans="1:1">
      <c r="A1306" s="25">
        <v>8093</v>
      </c>
    </row>
    <row r="1307" spans="1:1">
      <c r="A1307" s="25">
        <v>8096</v>
      </c>
    </row>
    <row r="1308" spans="1:1">
      <c r="A1308" s="25">
        <v>8097</v>
      </c>
    </row>
    <row r="1309" spans="1:1">
      <c r="A1309" s="25">
        <v>8099</v>
      </c>
    </row>
    <row r="1310" spans="1:1">
      <c r="A1310" s="25">
        <v>8101</v>
      </c>
    </row>
    <row r="1311" spans="1:1">
      <c r="A1311" s="25">
        <v>8103</v>
      </c>
    </row>
    <row r="1312" spans="1:1">
      <c r="A1312" s="25">
        <v>8105</v>
      </c>
    </row>
    <row r="1313" spans="1:1">
      <c r="A1313" s="25">
        <v>8107</v>
      </c>
    </row>
    <row r="1314" spans="1:1">
      <c r="A1314" s="25">
        <v>8109</v>
      </c>
    </row>
    <row r="1315" spans="1:1">
      <c r="A1315" s="25">
        <v>8110</v>
      </c>
    </row>
    <row r="1316" spans="1:1">
      <c r="A1316" s="25">
        <v>8111</v>
      </c>
    </row>
    <row r="1317" spans="1:1">
      <c r="A1317" s="25">
        <v>8112</v>
      </c>
    </row>
    <row r="1318" spans="1:1">
      <c r="A1318" s="25">
        <v>8114</v>
      </c>
    </row>
    <row r="1319" spans="1:1">
      <c r="A1319" s="25">
        <v>8121</v>
      </c>
    </row>
    <row r="1320" spans="1:1">
      <c r="A1320" s="25">
        <v>8131</v>
      </c>
    </row>
    <row r="1321" spans="1:1">
      <c r="A1321" s="25">
        <v>8147</v>
      </c>
    </row>
    <row r="1322" spans="1:1">
      <c r="A1322" s="25">
        <v>8150</v>
      </c>
    </row>
    <row r="1323" spans="1:1">
      <c r="A1323" s="25">
        <v>8155</v>
      </c>
    </row>
    <row r="1324" spans="1:1">
      <c r="A1324" s="25">
        <v>8163</v>
      </c>
    </row>
    <row r="1325" spans="1:1">
      <c r="A1325" s="25">
        <v>8171</v>
      </c>
    </row>
    <row r="1326" spans="1:1">
      <c r="A1326" s="25">
        <v>8176</v>
      </c>
    </row>
    <row r="1327" spans="1:1">
      <c r="A1327" s="25">
        <v>8182</v>
      </c>
    </row>
    <row r="1328" spans="1:1">
      <c r="A1328" s="25">
        <v>8183</v>
      </c>
    </row>
    <row r="1329" spans="1:1">
      <c r="A1329" s="25">
        <v>8201</v>
      </c>
    </row>
    <row r="1330" spans="1:1">
      <c r="A1330" s="25">
        <v>8210</v>
      </c>
    </row>
    <row r="1331" spans="1:1">
      <c r="A1331" s="25">
        <v>8213</v>
      </c>
    </row>
    <row r="1332" spans="1:1">
      <c r="A1332" s="25">
        <v>8215</v>
      </c>
    </row>
    <row r="1333" spans="1:1">
      <c r="A1333" s="25">
        <v>8222</v>
      </c>
    </row>
    <row r="1334" spans="1:1">
      <c r="A1334" s="25">
        <v>8234</v>
      </c>
    </row>
    <row r="1335" spans="1:1">
      <c r="A1335" s="25">
        <v>8240</v>
      </c>
    </row>
    <row r="1336" spans="1:1">
      <c r="A1336" s="25">
        <v>8249</v>
      </c>
    </row>
    <row r="1337" spans="1:1">
      <c r="A1337" s="25">
        <v>8255</v>
      </c>
    </row>
    <row r="1338" spans="1:1">
      <c r="A1338" s="25">
        <v>8261</v>
      </c>
    </row>
    <row r="1339" spans="1:1">
      <c r="A1339" s="25">
        <v>8266</v>
      </c>
    </row>
    <row r="1340" spans="1:1">
      <c r="A1340" s="25">
        <v>8271</v>
      </c>
    </row>
    <row r="1341" spans="1:1">
      <c r="A1341" s="25">
        <v>8277</v>
      </c>
    </row>
    <row r="1342" spans="1:1">
      <c r="A1342" s="25">
        <v>8287</v>
      </c>
    </row>
    <row r="1343" spans="1:1">
      <c r="A1343" s="25">
        <v>8289</v>
      </c>
    </row>
    <row r="1344" spans="1:1">
      <c r="A1344" s="25">
        <v>8291</v>
      </c>
    </row>
    <row r="1345" spans="1:1">
      <c r="A1345" s="25">
        <v>8299</v>
      </c>
    </row>
    <row r="1346" spans="1:1">
      <c r="A1346" s="25">
        <v>8341</v>
      </c>
    </row>
    <row r="1347" spans="1:1">
      <c r="A1347" s="25">
        <v>8349</v>
      </c>
    </row>
    <row r="1348" spans="1:1">
      <c r="A1348" s="25">
        <v>8354</v>
      </c>
    </row>
    <row r="1349" spans="1:1">
      <c r="A1349" s="25">
        <v>8358</v>
      </c>
    </row>
    <row r="1350" spans="1:1">
      <c r="A1350" s="25">
        <v>8374</v>
      </c>
    </row>
    <row r="1351" spans="1:1">
      <c r="A1351" s="25">
        <v>8383</v>
      </c>
    </row>
    <row r="1352" spans="1:1">
      <c r="A1352" s="25">
        <v>8390</v>
      </c>
    </row>
    <row r="1353" spans="1:1">
      <c r="A1353" s="25">
        <v>8401</v>
      </c>
    </row>
    <row r="1354" spans="1:1">
      <c r="A1354" s="25">
        <v>8403</v>
      </c>
    </row>
    <row r="1355" spans="1:1">
      <c r="A1355" s="25">
        <v>8404</v>
      </c>
    </row>
    <row r="1356" spans="1:1">
      <c r="A1356" s="25">
        <v>8406</v>
      </c>
    </row>
    <row r="1357" spans="1:1">
      <c r="A1357" s="25">
        <v>8409</v>
      </c>
    </row>
    <row r="1358" spans="1:1">
      <c r="A1358" s="25">
        <v>8410</v>
      </c>
    </row>
    <row r="1359" spans="1:1">
      <c r="A1359" s="25">
        <v>8411</v>
      </c>
    </row>
    <row r="1360" spans="1:1">
      <c r="A1360" s="25">
        <v>8416</v>
      </c>
    </row>
    <row r="1361" spans="1:1">
      <c r="A1361" s="25">
        <v>8418</v>
      </c>
    </row>
    <row r="1362" spans="1:1">
      <c r="A1362" s="25">
        <v>8420</v>
      </c>
    </row>
    <row r="1363" spans="1:1">
      <c r="A1363" s="25">
        <v>8421</v>
      </c>
    </row>
    <row r="1364" spans="1:1">
      <c r="A1364" s="25">
        <v>8422</v>
      </c>
    </row>
    <row r="1365" spans="1:1">
      <c r="A1365" s="25">
        <v>8423</v>
      </c>
    </row>
    <row r="1366" spans="1:1">
      <c r="A1366" s="25">
        <v>8424</v>
      </c>
    </row>
    <row r="1367" spans="1:1">
      <c r="A1367" s="25">
        <v>8426</v>
      </c>
    </row>
    <row r="1368" spans="1:1">
      <c r="A1368" s="25">
        <v>8427</v>
      </c>
    </row>
    <row r="1369" spans="1:1">
      <c r="A1369" s="25">
        <v>8429</v>
      </c>
    </row>
    <row r="1370" spans="1:1">
      <c r="A1370" s="25">
        <v>8431</v>
      </c>
    </row>
    <row r="1371" spans="1:1">
      <c r="A1371" s="25">
        <v>8432</v>
      </c>
    </row>
    <row r="1372" spans="1:1">
      <c r="A1372" s="25">
        <v>8433</v>
      </c>
    </row>
    <row r="1373" spans="1:1">
      <c r="A1373" s="25">
        <v>8435</v>
      </c>
    </row>
    <row r="1374" spans="1:1">
      <c r="A1374" s="25">
        <v>8436</v>
      </c>
    </row>
    <row r="1375" spans="1:1">
      <c r="A1375" s="25">
        <v>8443</v>
      </c>
    </row>
    <row r="1376" spans="1:1">
      <c r="A1376" s="25">
        <v>8446</v>
      </c>
    </row>
    <row r="1377" spans="1:1">
      <c r="A1377" s="25">
        <v>8450</v>
      </c>
    </row>
    <row r="1378" spans="1:1">
      <c r="A1378" s="25">
        <v>8454</v>
      </c>
    </row>
    <row r="1379" spans="1:1">
      <c r="A1379" s="25">
        <v>8905</v>
      </c>
    </row>
    <row r="1380" spans="1:1">
      <c r="A1380" s="25">
        <v>8906</v>
      </c>
    </row>
    <row r="1381" spans="1:1">
      <c r="A1381" s="25">
        <v>8908</v>
      </c>
    </row>
    <row r="1382" spans="1:1">
      <c r="A1382" s="25">
        <v>8913</v>
      </c>
    </row>
    <row r="1383" spans="1:1">
      <c r="A1383" s="25">
        <v>8916</v>
      </c>
    </row>
    <row r="1384" spans="1:1">
      <c r="A1384" s="25">
        <v>8917</v>
      </c>
    </row>
    <row r="1385" spans="1:1">
      <c r="A1385" s="25">
        <v>8921</v>
      </c>
    </row>
    <row r="1386" spans="1:1">
      <c r="A1386" s="25">
        <v>8923</v>
      </c>
    </row>
    <row r="1387" spans="1:1">
      <c r="A1387" s="25">
        <v>8924</v>
      </c>
    </row>
    <row r="1388" spans="1:1">
      <c r="A1388" s="25">
        <v>8925</v>
      </c>
    </row>
    <row r="1389" spans="1:1">
      <c r="A1389" s="25">
        <v>8926</v>
      </c>
    </row>
    <row r="1390" spans="1:1">
      <c r="A1390" s="25">
        <v>8927</v>
      </c>
    </row>
    <row r="1391" spans="1:1">
      <c r="A1391" s="25">
        <v>8928</v>
      </c>
    </row>
    <row r="1392" spans="1:1">
      <c r="A1392" s="25">
        <v>8929</v>
      </c>
    </row>
    <row r="1393" spans="1:1">
      <c r="A1393" s="25">
        <v>8930</v>
      </c>
    </row>
    <row r="1394" spans="1:1">
      <c r="A1394" s="25">
        <v>8931</v>
      </c>
    </row>
    <row r="1395" spans="1:1">
      <c r="A1395" s="25">
        <v>8932</v>
      </c>
    </row>
    <row r="1396" spans="1:1">
      <c r="A1396" s="25">
        <v>8933</v>
      </c>
    </row>
    <row r="1397" spans="1:1">
      <c r="A1397" s="25">
        <v>8934</v>
      </c>
    </row>
    <row r="1398" spans="1:1">
      <c r="A1398" s="25">
        <v>8935</v>
      </c>
    </row>
    <row r="1399" spans="1:1">
      <c r="A1399" s="25">
        <v>8936</v>
      </c>
    </row>
    <row r="1400" spans="1:1">
      <c r="A1400" s="25">
        <v>8937</v>
      </c>
    </row>
    <row r="1401" spans="1:1">
      <c r="A1401" s="25">
        <v>8938</v>
      </c>
    </row>
    <row r="1402" spans="1:1">
      <c r="A1402" s="25">
        <v>8940</v>
      </c>
    </row>
    <row r="1403" spans="1:1">
      <c r="A1403" s="25">
        <v>8941</v>
      </c>
    </row>
    <row r="1404" spans="1:1">
      <c r="A1404" s="25">
        <v>8942</v>
      </c>
    </row>
    <row r="1405" spans="1:1">
      <c r="A1405" s="25">
        <v>8996</v>
      </c>
    </row>
    <row r="1406" spans="1:1">
      <c r="A1406" s="25">
        <v>9802</v>
      </c>
    </row>
    <row r="1407" spans="1:1">
      <c r="A1407" s="25">
        <v>9902</v>
      </c>
    </row>
    <row r="1408" spans="1:1">
      <c r="A1408" s="25">
        <v>9904</v>
      </c>
    </row>
    <row r="1409" spans="1:1">
      <c r="A1409" s="25">
        <v>9905</v>
      </c>
    </row>
    <row r="1410" spans="1:1">
      <c r="A1410" s="25">
        <v>9906</v>
      </c>
    </row>
    <row r="1411" spans="1:1">
      <c r="A1411" s="25">
        <v>9907</v>
      </c>
    </row>
    <row r="1412" spans="1:1">
      <c r="A1412" s="25">
        <v>9908</v>
      </c>
    </row>
    <row r="1413" spans="1:1">
      <c r="A1413" s="25">
        <v>9910</v>
      </c>
    </row>
    <row r="1414" spans="1:1">
      <c r="A1414" s="25">
        <v>9911</v>
      </c>
    </row>
    <row r="1415" spans="1:1">
      <c r="A1415" s="25">
        <v>9912</v>
      </c>
    </row>
    <row r="1416" spans="1:1">
      <c r="A1416" s="25">
        <v>9914</v>
      </c>
    </row>
    <row r="1417" spans="1:1">
      <c r="A1417" s="25">
        <v>9917</v>
      </c>
    </row>
    <row r="1418" spans="1:1">
      <c r="A1418" s="25">
        <v>9918</v>
      </c>
    </row>
    <row r="1419" spans="1:1">
      <c r="A1419" s="25">
        <v>9919</v>
      </c>
    </row>
    <row r="1420" spans="1:1">
      <c r="A1420" s="25">
        <v>9921</v>
      </c>
    </row>
    <row r="1421" spans="1:1">
      <c r="A1421" s="25">
        <v>9924</v>
      </c>
    </row>
    <row r="1422" spans="1:1">
      <c r="A1422" s="25">
        <v>9925</v>
      </c>
    </row>
    <row r="1423" spans="1:1">
      <c r="A1423" s="25">
        <v>9926</v>
      </c>
    </row>
    <row r="1424" spans="1:1">
      <c r="A1424" s="25">
        <v>9927</v>
      </c>
    </row>
    <row r="1425" spans="1:1">
      <c r="A1425" s="25">
        <v>9928</v>
      </c>
    </row>
    <row r="1426" spans="1:1">
      <c r="A1426" s="25">
        <v>9929</v>
      </c>
    </row>
    <row r="1427" spans="1:1">
      <c r="A1427" s="25">
        <v>9930</v>
      </c>
    </row>
    <row r="1428" spans="1:1">
      <c r="A1428" s="25">
        <v>9931</v>
      </c>
    </row>
    <row r="1429" spans="1:1">
      <c r="A1429" s="25">
        <v>9933</v>
      </c>
    </row>
    <row r="1430" spans="1:1">
      <c r="A1430" s="25">
        <v>9934</v>
      </c>
    </row>
    <row r="1431" spans="1:1">
      <c r="A1431" s="25">
        <v>9935</v>
      </c>
    </row>
    <row r="1432" spans="1:1">
      <c r="A1432" s="25">
        <v>9937</v>
      </c>
    </row>
    <row r="1433" spans="1:1">
      <c r="A1433" s="25">
        <v>9938</v>
      </c>
    </row>
    <row r="1434" spans="1:1">
      <c r="A1434" s="25">
        <v>9939</v>
      </c>
    </row>
    <row r="1435" spans="1:1">
      <c r="A1435" s="25">
        <v>9940</v>
      </c>
    </row>
    <row r="1436" spans="1:1">
      <c r="A1436" s="25">
        <v>9941</v>
      </c>
    </row>
    <row r="1437" spans="1:1">
      <c r="A1437" s="25">
        <v>9942</v>
      </c>
    </row>
    <row r="1438" spans="1:1">
      <c r="A1438" s="25">
        <v>9943</v>
      </c>
    </row>
    <row r="1439" spans="1:1">
      <c r="A1439" s="25">
        <v>9944</v>
      </c>
    </row>
    <row r="1440" spans="1:1">
      <c r="A1440" s="25">
        <v>9945</v>
      </c>
    </row>
    <row r="1441" spans="1:1">
      <c r="A1441" s="25">
        <v>9946</v>
      </c>
    </row>
    <row r="1442" spans="1:1">
      <c r="A1442" s="25">
        <v>9949</v>
      </c>
    </row>
    <row r="1443" spans="1:1">
      <c r="A1443" s="25">
        <v>9950</v>
      </c>
    </row>
    <row r="1444" spans="1:1">
      <c r="A1444" s="25">
        <v>9951</v>
      </c>
    </row>
    <row r="1445" spans="1:1">
      <c r="A1445" s="25">
        <v>9955</v>
      </c>
    </row>
    <row r="1446" spans="1:1">
      <c r="A1446" s="25">
        <v>9958</v>
      </c>
    </row>
    <row r="1447" spans="1:1">
      <c r="A1447" s="25">
        <v>9960</v>
      </c>
    </row>
    <row r="1448" spans="1:1">
      <c r="A1448" s="25">
        <v>9962</v>
      </c>
    </row>
  </sheetData>
  <sortState ref="B2:D1448">
    <sortCondition descending="1" ref="D2:D1448"/>
  </sortState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C3" r:id="rId7"/>
    <hyperlink ref="C4" r:id="rId8"/>
    <hyperlink ref="C5" r:id="rId9"/>
    <hyperlink ref="C6" r:id="rId10"/>
    <hyperlink ref="C7" r:id="rId11"/>
    <hyperlink ref="C8" r:id="rId12"/>
    <hyperlink ref="C9" r:id="rId13"/>
    <hyperlink ref="C10" r:id="rId14"/>
    <hyperlink ref="C11" r:id="rId15"/>
    <hyperlink ref="C12" r:id="rId16"/>
    <hyperlink ref="C13" r:id="rId17"/>
    <hyperlink ref="C14" r:id="rId18"/>
    <hyperlink ref="C15" r:id="rId19"/>
    <hyperlink ref="C16" r:id="rId20"/>
    <hyperlink ref="C17" r:id="rId21"/>
    <hyperlink ref="C18" r:id="rId22"/>
    <hyperlink ref="C19" r:id="rId23"/>
    <hyperlink ref="C20" r:id="rId24"/>
    <hyperlink ref="C21" r:id="rId25"/>
    <hyperlink ref="C22" r:id="rId26"/>
    <hyperlink ref="C23" r:id="rId27"/>
    <hyperlink ref="C24" r:id="rId28"/>
    <hyperlink ref="C25" r:id="rId29"/>
    <hyperlink ref="C26" r:id="rId30"/>
    <hyperlink ref="C27" r:id="rId31"/>
    <hyperlink ref="C28" r:id="rId32"/>
    <hyperlink ref="C29" r:id="rId33"/>
    <hyperlink ref="C30" r:id="rId34"/>
    <hyperlink ref="C31" r:id="rId35"/>
    <hyperlink ref="C32" r:id="rId36"/>
    <hyperlink ref="C33" r:id="rId37"/>
    <hyperlink ref="C34" r:id="rId38"/>
    <hyperlink ref="C35" r:id="rId39"/>
    <hyperlink ref="C36" r:id="rId40"/>
    <hyperlink ref="C37" r:id="rId41"/>
    <hyperlink ref="C38" r:id="rId42"/>
    <hyperlink ref="C39" r:id="rId43"/>
    <hyperlink ref="C40" r:id="rId44"/>
    <hyperlink ref="C41" r:id="rId45"/>
    <hyperlink ref="C42" r:id="rId46"/>
    <hyperlink ref="C43" r:id="rId47"/>
    <hyperlink ref="C44" r:id="rId48"/>
  </hyperlinks>
  <pageMargins left="0.7" right="0.7" top="0.75" bottom="0.75" header="0.3" footer="0.3"/>
  <pageSetup paperSize="9" orientation="portrait" r:id="rId49"/>
  <drawing r:id="rId50"/>
  <legacyDrawing r:id="rId51"/>
  <controls>
    <mc:AlternateContent xmlns:mc="http://schemas.openxmlformats.org/markup-compatibility/2006">
      <mc:Choice Requires="x14">
        <control shapeId="4121" r:id="rId52" name="CommandButton9">
          <controlPr defaultSize="0" autoLine="0" r:id="rId53">
            <anchor moveWithCells="1">
              <from>
                <xdr:col>14</xdr:col>
                <xdr:colOff>57150</xdr:colOff>
                <xdr:row>0</xdr:row>
                <xdr:rowOff>19050</xdr:rowOff>
              </from>
              <to>
                <xdr:col>15</xdr:col>
                <xdr:colOff>0</xdr:colOff>
                <xdr:row>0</xdr:row>
                <xdr:rowOff>419100</xdr:rowOff>
              </to>
            </anchor>
          </controlPr>
        </control>
      </mc:Choice>
      <mc:Fallback>
        <control shapeId="4121" r:id="rId52" name="CommandButton9"/>
      </mc:Fallback>
    </mc:AlternateContent>
    <mc:AlternateContent xmlns:mc="http://schemas.openxmlformats.org/markup-compatibility/2006">
      <mc:Choice Requires="x14">
        <control shapeId="4113" r:id="rId54" name="CommandButton17">
          <controlPr defaultSize="0" autoLine="0" r:id="rId55">
            <anchor moveWithCells="1">
              <from>
                <xdr:col>11</xdr:col>
                <xdr:colOff>57150</xdr:colOff>
                <xdr:row>0</xdr:row>
                <xdr:rowOff>19050</xdr:rowOff>
              </from>
              <to>
                <xdr:col>12</xdr:col>
                <xdr:colOff>0</xdr:colOff>
                <xdr:row>0</xdr:row>
                <xdr:rowOff>419100</xdr:rowOff>
              </to>
            </anchor>
          </controlPr>
        </control>
      </mc:Choice>
      <mc:Fallback>
        <control shapeId="4113" r:id="rId54" name="CommandButton17"/>
      </mc:Fallback>
    </mc:AlternateContent>
    <mc:AlternateContent xmlns:mc="http://schemas.openxmlformats.org/markup-compatibility/2006">
      <mc:Choice Requires="x14">
        <control shapeId="4112" r:id="rId56" name="CommandButton16">
          <controlPr defaultSize="0" autoLine="0" r:id="rId57">
            <anchor moveWithCells="1">
              <from>
                <xdr:col>4</xdr:col>
                <xdr:colOff>47625</xdr:colOff>
                <xdr:row>0</xdr:row>
                <xdr:rowOff>19050</xdr:rowOff>
              </from>
              <to>
                <xdr:col>4</xdr:col>
                <xdr:colOff>809625</xdr:colOff>
                <xdr:row>1</xdr:row>
                <xdr:rowOff>9525</xdr:rowOff>
              </to>
            </anchor>
          </controlPr>
        </control>
      </mc:Choice>
      <mc:Fallback>
        <control shapeId="4112" r:id="rId56" name="CommandButton16"/>
      </mc:Fallback>
    </mc:AlternateContent>
    <mc:AlternateContent xmlns:mc="http://schemas.openxmlformats.org/markup-compatibility/2006">
      <mc:Choice Requires="x14">
        <control shapeId="4111" r:id="rId58" name="CommandButton15">
          <controlPr defaultSize="0" autoLine="0" r:id="rId59">
            <anchor moveWithCells="1">
              <from>
                <xdr:col>12</xdr:col>
                <xdr:colOff>38100</xdr:colOff>
                <xdr:row>0</xdr:row>
                <xdr:rowOff>9525</xdr:rowOff>
              </from>
              <to>
                <xdr:col>12</xdr:col>
                <xdr:colOff>800100</xdr:colOff>
                <xdr:row>0</xdr:row>
                <xdr:rowOff>419100</xdr:rowOff>
              </to>
            </anchor>
          </controlPr>
        </control>
      </mc:Choice>
      <mc:Fallback>
        <control shapeId="4111" r:id="rId58" name="CommandButton15"/>
      </mc:Fallback>
    </mc:AlternateContent>
    <mc:AlternateContent xmlns:mc="http://schemas.openxmlformats.org/markup-compatibility/2006">
      <mc:Choice Requires="x14">
        <control shapeId="4109" r:id="rId60" name="CommandButton1">
          <controlPr defaultSize="0" autoLine="0" r:id="rId6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3</xdr:col>
                <xdr:colOff>19050</xdr:colOff>
                <xdr:row>1</xdr:row>
                <xdr:rowOff>9525</xdr:rowOff>
              </to>
            </anchor>
          </controlPr>
        </control>
      </mc:Choice>
      <mc:Fallback>
        <control shapeId="4109" r:id="rId60" name="CommandButton1"/>
      </mc:Fallback>
    </mc:AlternateContent>
    <mc:AlternateContent xmlns:mc="http://schemas.openxmlformats.org/markup-compatibility/2006">
      <mc:Choice Requires="x14">
        <control shapeId="4108" r:id="rId62" name="CommandButton13">
          <controlPr defaultSize="0" autoLine="0" r:id="rId63">
            <anchor moveWithCells="1">
              <from>
                <xdr:col>7</xdr:col>
                <xdr:colOff>38100</xdr:colOff>
                <xdr:row>0</xdr:row>
                <xdr:rowOff>19050</xdr:rowOff>
              </from>
              <to>
                <xdr:col>7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08" r:id="rId62" name="CommandButton13"/>
      </mc:Fallback>
    </mc:AlternateContent>
    <mc:AlternateContent xmlns:mc="http://schemas.openxmlformats.org/markup-compatibility/2006">
      <mc:Choice Requires="x14">
        <control shapeId="4107" r:id="rId64" name="CommandButton12">
          <controlPr defaultSize="0" autoLine="0" r:id="rId65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7" r:id="rId64" name="CommandButton12"/>
      </mc:Fallback>
    </mc:AlternateContent>
    <mc:AlternateContent xmlns:mc="http://schemas.openxmlformats.org/markup-compatibility/2006">
      <mc:Choice Requires="x14">
        <control shapeId="4105" r:id="rId66" name="CommandButton10">
          <controlPr defaultSize="0" autoLine="0" r:id="rId67">
            <anchor moveWithCells="1">
              <from>
                <xdr:col>10</xdr:col>
                <xdr:colOff>19050</xdr:colOff>
                <xdr:row>0</xdr:row>
                <xdr:rowOff>19050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4105" r:id="rId66" name="CommandButton10"/>
      </mc:Fallback>
    </mc:AlternateContent>
    <mc:AlternateContent xmlns:mc="http://schemas.openxmlformats.org/markup-compatibility/2006">
      <mc:Choice Requires="x14">
        <control shapeId="4099" r:id="rId68" name="CommandButton4">
          <controlPr defaultSize="0" autoLine="0" r:id="rId69">
            <anchor moveWithCells="1">
              <from>
                <xdr:col>6</xdr:col>
                <xdr:colOff>57150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4099" r:id="rId68" name="CommandButton4"/>
      </mc:Fallback>
    </mc:AlternateContent>
    <mc:AlternateContent xmlns:mc="http://schemas.openxmlformats.org/markup-compatibility/2006">
      <mc:Choice Requires="x14">
        <control shapeId="4098" r:id="rId70" name="CommandButton3">
          <controlPr defaultSize="0" autoLine="0" r:id="rId71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8" r:id="rId70" name="CommandButton3"/>
      </mc:Fallback>
    </mc:AlternateContent>
    <mc:AlternateContent xmlns:mc="http://schemas.openxmlformats.org/markup-compatibility/2006">
      <mc:Choice Requires="x14">
        <control shapeId="4097" r:id="rId72" name="CommandButton2">
          <controlPr defaultSize="0" autoLine="0" r:id="rId73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097" r:id="rId72" name="CommandButton2"/>
      </mc:Fallback>
    </mc:AlternateContent>
    <mc:AlternateContent xmlns:mc="http://schemas.openxmlformats.org/markup-compatibility/2006">
      <mc:Choice Requires="x14">
        <control shapeId="4114" r:id="rId74" name="CommandButton5">
          <controlPr defaultSize="0" autoLine="0" r:id="rId75">
            <anchor moveWithCells="1">
              <from>
                <xdr:col>8</xdr:col>
                <xdr:colOff>38100</xdr:colOff>
                <xdr:row>0</xdr:row>
                <xdr:rowOff>9525</xdr:rowOff>
              </from>
              <to>
                <xdr:col>8</xdr:col>
                <xdr:colOff>800100</xdr:colOff>
                <xdr:row>1</xdr:row>
                <xdr:rowOff>0</xdr:rowOff>
              </to>
            </anchor>
          </controlPr>
        </control>
      </mc:Choice>
      <mc:Fallback>
        <control shapeId="4114" r:id="rId74" name="CommandButton5"/>
      </mc:Fallback>
    </mc:AlternateContent>
    <mc:AlternateContent xmlns:mc="http://schemas.openxmlformats.org/markup-compatibility/2006">
      <mc:Choice Requires="x14">
        <control shapeId="4116" r:id="rId76" name="CommandButton6">
          <controlPr defaultSize="0" autoLine="0" r:id="rId77">
            <anchor moveWithCells="1">
              <from>
                <xdr:col>9</xdr:col>
                <xdr:colOff>38100</xdr:colOff>
                <xdr:row>0</xdr:row>
                <xdr:rowOff>9525</xdr:rowOff>
              </from>
              <to>
                <xdr:col>9</xdr:col>
                <xdr:colOff>800100</xdr:colOff>
                <xdr:row>1</xdr:row>
                <xdr:rowOff>0</xdr:rowOff>
              </to>
            </anchor>
          </controlPr>
        </control>
      </mc:Choice>
      <mc:Fallback>
        <control shapeId="4116" r:id="rId76" name="CommandButton6"/>
      </mc:Fallback>
    </mc:AlternateContent>
    <mc:AlternateContent xmlns:mc="http://schemas.openxmlformats.org/markup-compatibility/2006">
      <mc:Choice Requires="x14">
        <control shapeId="4117" r:id="rId78" name="CommandButton7">
          <controlPr defaultSize="0" autoLine="0" r:id="rId79">
            <anchor moveWithCells="1">
              <from>
                <xdr:col>1</xdr:col>
                <xdr:colOff>533400</xdr:colOff>
                <xdr:row>0</xdr:row>
                <xdr:rowOff>19050</xdr:rowOff>
              </from>
              <to>
                <xdr:col>1</xdr:col>
                <xdr:colOff>800100</xdr:colOff>
                <xdr:row>1</xdr:row>
                <xdr:rowOff>9525</xdr:rowOff>
              </to>
            </anchor>
          </controlPr>
        </control>
      </mc:Choice>
      <mc:Fallback>
        <control shapeId="4117" r:id="rId78" name="CommandButton7"/>
      </mc:Fallback>
    </mc:AlternateContent>
    <mc:AlternateContent xmlns:mc="http://schemas.openxmlformats.org/markup-compatibility/2006">
      <mc:Choice Requires="x14">
        <control shapeId="4119" r:id="rId80" name="CommandButton8">
          <controlPr defaultSize="0" autoLine="0" r:id="rId81">
            <anchor moveWithCells="1">
              <from>
                <xdr:col>13</xdr:col>
                <xdr:colOff>57150</xdr:colOff>
                <xdr:row>0</xdr:row>
                <xdr:rowOff>19050</xdr:rowOff>
              </from>
              <to>
                <xdr:col>14</xdr:col>
                <xdr:colOff>0</xdr:colOff>
                <xdr:row>0</xdr:row>
                <xdr:rowOff>419100</xdr:rowOff>
              </to>
            </anchor>
          </controlPr>
        </control>
      </mc:Choice>
      <mc:Fallback>
        <control shapeId="4119" r:id="rId80" name="CommandButton8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35"/>
  <sheetViews>
    <sheetView zoomScale="80" zoomScaleNormal="8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R1" sqref="R1:V1"/>
    </sheetView>
  </sheetViews>
  <sheetFormatPr defaultColWidth="9" defaultRowHeight="16.5"/>
  <cols>
    <col min="1" max="1" width="1.75" style="1" customWidth="1"/>
    <col min="2" max="2" width="11.125" style="1" customWidth="1"/>
    <col min="3" max="3" width="12.875" style="39" customWidth="1"/>
    <col min="4" max="4" width="12.125" style="1" customWidth="1"/>
    <col min="5" max="5" width="12.875" style="39" customWidth="1"/>
    <col min="6" max="6" width="12.125" style="1" customWidth="1"/>
    <col min="7" max="7" width="12.875" style="39" customWidth="1"/>
    <col min="8" max="8" width="9" style="1"/>
    <col min="9" max="9" width="1.375" style="1" customWidth="1"/>
    <col min="10" max="10" width="9" style="1"/>
    <col min="11" max="15" width="12.875" style="1" customWidth="1"/>
    <col min="16" max="16" width="10.5" style="1" customWidth="1"/>
    <col min="17" max="17" width="0.875" style="1" customWidth="1"/>
    <col min="18" max="21" width="9" style="1" customWidth="1"/>
    <col min="22" max="22" width="5.75" style="1" customWidth="1"/>
    <col min="23" max="16384" width="9" style="1"/>
  </cols>
  <sheetData>
    <row r="1" spans="1:22" s="29" customFormat="1" ht="28.5" customHeight="1" thickBot="1">
      <c r="A1" s="27"/>
      <c r="B1" s="27"/>
      <c r="C1" s="28" t="s">
        <v>2588</v>
      </c>
      <c r="D1" s="27"/>
      <c r="E1" s="28" t="s">
        <v>2589</v>
      </c>
      <c r="F1" s="27"/>
      <c r="G1" s="28" t="s">
        <v>2582</v>
      </c>
      <c r="R1" s="490" t="s">
        <v>1836</v>
      </c>
      <c r="S1" s="491"/>
      <c r="T1" s="491"/>
      <c r="U1" s="491"/>
      <c r="V1" s="492"/>
    </row>
    <row r="2" spans="1:22" s="29" customFormat="1" ht="9.75" customHeight="1">
      <c r="A2" s="30"/>
      <c r="B2" s="30"/>
      <c r="C2" s="31"/>
      <c r="D2" s="30"/>
      <c r="E2" s="32"/>
      <c r="F2" s="30"/>
      <c r="G2" s="33"/>
      <c r="H2" s="30"/>
      <c r="I2" s="30"/>
      <c r="J2" s="30"/>
      <c r="K2" s="30"/>
      <c r="L2" s="30"/>
      <c r="M2" s="30"/>
      <c r="N2" s="30"/>
      <c r="O2" s="30"/>
      <c r="P2" s="30"/>
      <c r="R2" s="34"/>
      <c r="S2" s="35"/>
      <c r="T2" s="35"/>
      <c r="U2" s="35"/>
      <c r="V2" s="36"/>
    </row>
    <row r="3" spans="1:22" ht="19.5">
      <c r="A3" s="37"/>
      <c r="B3" s="489" t="s">
        <v>200</v>
      </c>
      <c r="C3" s="489"/>
      <c r="D3" s="489"/>
      <c r="E3" s="489"/>
      <c r="F3" s="489"/>
      <c r="G3" s="489"/>
      <c r="H3" s="489"/>
      <c r="I3" s="37"/>
      <c r="J3" s="489" t="s">
        <v>201</v>
      </c>
      <c r="K3" s="489"/>
      <c r="L3" s="489"/>
      <c r="M3" s="489"/>
      <c r="N3" s="489"/>
      <c r="O3" s="489"/>
      <c r="P3" s="489"/>
      <c r="R3" s="495" t="s">
        <v>1841</v>
      </c>
      <c r="S3" s="458"/>
      <c r="T3" s="95" t="s">
        <v>1842</v>
      </c>
      <c r="U3" s="95" t="s">
        <v>1844</v>
      </c>
      <c r="V3" s="95" t="s">
        <v>1843</v>
      </c>
    </row>
    <row r="4" spans="1:22">
      <c r="A4" s="37"/>
      <c r="B4" s="37"/>
      <c r="C4" s="38"/>
      <c r="D4" s="37"/>
      <c r="E4" s="38"/>
      <c r="F4" s="37"/>
      <c r="G4" s="38"/>
      <c r="H4" s="37"/>
      <c r="I4" s="37"/>
      <c r="J4" s="37"/>
      <c r="K4" s="37"/>
      <c r="L4" s="37"/>
      <c r="M4" s="37"/>
      <c r="N4" s="37"/>
      <c r="O4" s="37"/>
      <c r="P4" s="37"/>
      <c r="R4" s="89">
        <f>IF(C1&lt;&gt;"",PK!A2," ")</f>
        <v>3324</v>
      </c>
      <c r="S4" s="90" t="str">
        <f>LEFT(C1,2)</f>
        <v>雙鴻</v>
      </c>
      <c r="T4" s="96">
        <f>ROUND(PK!L11,2)</f>
        <v>-0.88</v>
      </c>
      <c r="U4" s="97">
        <f>VLOOKUP(R4,收盤價!A:C,3,0)</f>
        <v>75</v>
      </c>
      <c r="V4" s="98">
        <f>ROUND(U4/T4,2)</f>
        <v>-85.23</v>
      </c>
    </row>
    <row r="5" spans="1:22">
      <c r="A5" s="37"/>
      <c r="B5" s="37"/>
      <c r="C5" s="38"/>
      <c r="D5" s="37"/>
      <c r="E5" s="38"/>
      <c r="F5" s="37"/>
      <c r="G5" s="38"/>
      <c r="H5" s="37"/>
      <c r="I5" s="37"/>
      <c r="J5" s="37"/>
      <c r="K5" s="37"/>
      <c r="L5" s="37"/>
      <c r="M5" s="37"/>
      <c r="N5" s="37"/>
      <c r="O5" s="37"/>
      <c r="P5" s="37"/>
      <c r="R5" s="91">
        <f>IF(E1&lt;&gt;"",PK!A3,"")</f>
        <v>3017</v>
      </c>
      <c r="S5" s="92" t="str">
        <f>LEFT(E1,2)</f>
        <v>奇鋐</v>
      </c>
      <c r="T5" s="96">
        <f>ROUND(PK!L12,2)</f>
        <v>1.76</v>
      </c>
      <c r="U5" s="97">
        <f>VLOOKUP(R5,收盤價!A:C,3,0)</f>
        <v>29.8</v>
      </c>
      <c r="V5" s="98">
        <f>ROUND(U5/T5,2)</f>
        <v>16.93</v>
      </c>
    </row>
    <row r="6" spans="1:22">
      <c r="A6" s="37"/>
      <c r="B6" s="37"/>
      <c r="C6" s="38"/>
      <c r="D6" s="37"/>
      <c r="E6" s="38"/>
      <c r="F6" s="37"/>
      <c r="G6" s="38"/>
      <c r="H6" s="37"/>
      <c r="I6" s="37"/>
      <c r="J6" s="37"/>
      <c r="K6" s="37"/>
      <c r="L6" s="37"/>
      <c r="M6" s="37"/>
      <c r="N6" s="37"/>
      <c r="O6" s="37"/>
      <c r="P6" s="37"/>
      <c r="R6" s="93">
        <f>PK!A4</f>
        <v>6230</v>
      </c>
      <c r="S6" s="94" t="str">
        <f>LEFT(G1,2)</f>
        <v>超眾</v>
      </c>
      <c r="T6" s="96">
        <f>ROUND(PK!L13,2)</f>
        <v>7.29</v>
      </c>
      <c r="U6" s="97">
        <f>VLOOKUP(R6,收盤價!A:C,3,0)</f>
        <v>161.5</v>
      </c>
      <c r="V6" s="98">
        <f>ROUND(U6/T6,0)</f>
        <v>22</v>
      </c>
    </row>
    <row r="7" spans="1:22">
      <c r="A7" s="37"/>
      <c r="B7" s="37"/>
      <c r="C7" s="38"/>
      <c r="D7" s="37"/>
      <c r="E7" s="38"/>
      <c r="F7" s="37"/>
      <c r="G7" s="38"/>
      <c r="H7" s="37"/>
      <c r="I7" s="37"/>
      <c r="J7" s="37"/>
      <c r="K7" s="37"/>
      <c r="L7" s="37"/>
      <c r="M7" s="37"/>
      <c r="N7" s="37"/>
      <c r="O7" s="37"/>
      <c r="P7" s="37"/>
      <c r="R7" s="62"/>
      <c r="S7" s="493"/>
      <c r="T7" s="493"/>
      <c r="U7" s="493"/>
      <c r="V7" s="494"/>
    </row>
    <row r="8" spans="1:22">
      <c r="A8" s="37"/>
      <c r="B8" s="37"/>
      <c r="C8" s="38"/>
      <c r="D8" s="37"/>
      <c r="E8" s="38"/>
      <c r="F8" s="37"/>
      <c r="G8" s="38"/>
      <c r="H8" s="37"/>
      <c r="I8" s="37"/>
      <c r="J8" s="37"/>
      <c r="K8" s="37"/>
      <c r="L8" s="37"/>
      <c r="M8" s="37"/>
      <c r="N8" s="37"/>
      <c r="O8" s="37"/>
      <c r="P8" s="37"/>
      <c r="R8" s="62"/>
      <c r="S8" s="63"/>
      <c r="T8" s="63"/>
      <c r="U8" s="63"/>
      <c r="V8" s="64"/>
    </row>
    <row r="9" spans="1:22">
      <c r="A9" s="37"/>
      <c r="B9" s="37"/>
      <c r="C9" s="38"/>
      <c r="D9" s="37"/>
      <c r="E9" s="38"/>
      <c r="F9" s="37"/>
      <c r="G9" s="38"/>
      <c r="H9" s="37"/>
      <c r="I9" s="37"/>
      <c r="J9" s="37"/>
      <c r="K9" s="37"/>
      <c r="L9" s="37"/>
      <c r="M9" s="37"/>
      <c r="N9" s="37"/>
      <c r="O9" s="37"/>
      <c r="P9" s="37"/>
      <c r="R9" s="62"/>
      <c r="S9" s="63"/>
      <c r="T9" s="63"/>
      <c r="U9" s="63"/>
      <c r="V9" s="64"/>
    </row>
    <row r="10" spans="1:22">
      <c r="A10" s="37"/>
      <c r="B10" s="37"/>
      <c r="C10" s="38"/>
      <c r="D10" s="37"/>
      <c r="E10" s="38"/>
      <c r="F10" s="37"/>
      <c r="G10" s="38"/>
      <c r="H10" s="37"/>
      <c r="I10" s="37"/>
      <c r="J10" s="37"/>
      <c r="K10" s="37"/>
      <c r="L10" s="37"/>
      <c r="M10" s="37"/>
      <c r="N10" s="37"/>
      <c r="O10" s="37"/>
      <c r="P10" s="37"/>
      <c r="R10" s="62"/>
      <c r="S10" s="63"/>
      <c r="T10" s="63"/>
      <c r="U10" s="63"/>
      <c r="V10" s="64"/>
    </row>
    <row r="11" spans="1:22">
      <c r="A11" s="37"/>
      <c r="B11" s="37"/>
      <c r="C11" s="38"/>
      <c r="D11" s="37"/>
      <c r="E11" s="38"/>
      <c r="F11" s="37"/>
      <c r="G11" s="38"/>
      <c r="H11" s="37"/>
      <c r="I11" s="37"/>
      <c r="J11" s="37"/>
      <c r="K11" s="37"/>
      <c r="L11" s="37"/>
      <c r="M11" s="37"/>
      <c r="N11" s="37"/>
      <c r="O11" s="37"/>
      <c r="P11" s="37"/>
      <c r="R11" s="62"/>
      <c r="S11" s="63"/>
      <c r="T11" s="63"/>
      <c r="U11" s="63"/>
      <c r="V11" s="64"/>
    </row>
    <row r="12" spans="1:22" ht="17.25" thickBot="1">
      <c r="A12" s="37"/>
      <c r="B12" s="37"/>
      <c r="C12" s="38"/>
      <c r="D12" s="37"/>
      <c r="E12" s="38"/>
      <c r="F12" s="37"/>
      <c r="G12" s="38"/>
      <c r="H12" s="37"/>
      <c r="I12" s="37"/>
      <c r="J12" s="37"/>
      <c r="K12" s="37"/>
      <c r="L12" s="37"/>
      <c r="M12" s="37"/>
      <c r="N12" s="37"/>
      <c r="O12" s="37"/>
      <c r="P12" s="37"/>
      <c r="R12" s="65"/>
      <c r="S12" s="66"/>
      <c r="T12" s="66"/>
      <c r="U12" s="66"/>
      <c r="V12" s="67"/>
    </row>
    <row r="13" spans="1:22" ht="17.25" thickBot="1">
      <c r="A13" s="37"/>
      <c r="B13" s="37"/>
      <c r="C13" s="38"/>
      <c r="D13" s="37"/>
      <c r="E13" s="38"/>
      <c r="F13" s="37"/>
      <c r="G13" s="38"/>
      <c r="H13" s="37"/>
      <c r="I13" s="37"/>
      <c r="J13" s="37"/>
      <c r="K13" s="37"/>
      <c r="L13" s="37"/>
      <c r="M13" s="37"/>
      <c r="N13" s="37"/>
      <c r="O13" s="37"/>
      <c r="P13" s="37"/>
      <c r="R13" s="37"/>
      <c r="S13" s="37"/>
      <c r="T13" s="37"/>
      <c r="U13" s="37"/>
      <c r="V13" s="37"/>
    </row>
    <row r="14" spans="1:22" ht="19.5">
      <c r="A14" s="37"/>
      <c r="B14" s="489" t="s">
        <v>1838</v>
      </c>
      <c r="C14" s="489"/>
      <c r="D14" s="489"/>
      <c r="E14" s="489"/>
      <c r="F14" s="489"/>
      <c r="G14" s="489"/>
      <c r="H14" s="489"/>
      <c r="I14" s="37"/>
      <c r="J14" s="489" t="s">
        <v>202</v>
      </c>
      <c r="K14" s="489"/>
      <c r="L14" s="489"/>
      <c r="M14" s="489"/>
      <c r="N14" s="489"/>
      <c r="O14" s="489"/>
      <c r="P14" s="489"/>
      <c r="R14" s="68"/>
      <c r="S14" s="69"/>
      <c r="T14" s="69"/>
      <c r="U14" s="69"/>
      <c r="V14" s="70"/>
    </row>
    <row r="15" spans="1:22">
      <c r="A15" s="37"/>
      <c r="B15" s="37"/>
      <c r="C15" s="38"/>
      <c r="D15" s="37"/>
      <c r="E15" s="38"/>
      <c r="F15" s="37"/>
      <c r="G15" s="38"/>
      <c r="H15" s="37"/>
      <c r="I15" s="37"/>
      <c r="J15" s="37"/>
      <c r="K15" s="37"/>
      <c r="L15" s="37"/>
      <c r="M15" s="37"/>
      <c r="N15" s="37"/>
      <c r="O15" s="37"/>
      <c r="P15" s="37"/>
      <c r="R15" s="62"/>
      <c r="S15" s="63"/>
      <c r="T15" s="63"/>
      <c r="U15" s="63"/>
      <c r="V15" s="64"/>
    </row>
    <row r="16" spans="1:22">
      <c r="A16" s="37"/>
      <c r="B16" s="37"/>
      <c r="C16" s="38"/>
      <c r="D16" s="37"/>
      <c r="E16" s="38"/>
      <c r="F16" s="37"/>
      <c r="G16" s="38"/>
      <c r="H16" s="37"/>
      <c r="I16" s="37"/>
      <c r="J16" s="37"/>
      <c r="K16" s="37"/>
      <c r="L16" s="37"/>
      <c r="M16" s="37"/>
      <c r="N16" s="37"/>
      <c r="O16" s="37"/>
      <c r="P16" s="37"/>
      <c r="R16" s="62"/>
      <c r="S16" s="63"/>
      <c r="T16" s="63"/>
      <c r="U16" s="63"/>
      <c r="V16" s="64"/>
    </row>
    <row r="17" spans="1:22">
      <c r="A17" s="37"/>
      <c r="B17" s="37"/>
      <c r="C17" s="38"/>
      <c r="D17" s="37"/>
      <c r="E17" s="38"/>
      <c r="F17" s="37"/>
      <c r="G17" s="38"/>
      <c r="H17" s="37"/>
      <c r="I17" s="37"/>
      <c r="J17" s="37"/>
      <c r="K17" s="37"/>
      <c r="L17" s="37"/>
      <c r="M17" s="37"/>
      <c r="N17" s="37"/>
      <c r="O17" s="37"/>
      <c r="P17" s="37"/>
      <c r="R17" s="62"/>
      <c r="S17" s="63"/>
      <c r="T17" s="63"/>
      <c r="U17" s="63"/>
      <c r="V17" s="64"/>
    </row>
    <row r="18" spans="1:22">
      <c r="A18" s="37"/>
      <c r="B18" s="37"/>
      <c r="C18" s="38"/>
      <c r="D18" s="37"/>
      <c r="E18" s="38"/>
      <c r="F18" s="37"/>
      <c r="G18" s="38"/>
      <c r="H18" s="37"/>
      <c r="I18" s="37"/>
      <c r="J18" s="37"/>
      <c r="K18" s="37"/>
      <c r="L18" s="37"/>
      <c r="M18" s="37"/>
      <c r="N18" s="37"/>
      <c r="O18" s="37"/>
      <c r="P18" s="37"/>
      <c r="R18" s="62"/>
      <c r="S18" s="63"/>
      <c r="T18" s="63"/>
      <c r="U18" s="63"/>
      <c r="V18" s="64"/>
    </row>
    <row r="19" spans="1:22">
      <c r="A19" s="37"/>
      <c r="B19" s="37"/>
      <c r="C19" s="38"/>
      <c r="D19" s="37"/>
      <c r="E19" s="38"/>
      <c r="F19" s="37"/>
      <c r="G19" s="38"/>
      <c r="H19" s="37"/>
      <c r="I19" s="37"/>
      <c r="J19" s="37"/>
      <c r="K19" s="37"/>
      <c r="L19" s="37"/>
      <c r="M19" s="37"/>
      <c r="N19" s="37"/>
      <c r="O19" s="37"/>
      <c r="P19" s="37"/>
      <c r="R19" s="62"/>
      <c r="S19" s="63"/>
      <c r="T19" s="63"/>
      <c r="U19" s="63"/>
      <c r="V19" s="64"/>
    </row>
    <row r="20" spans="1:22">
      <c r="A20" s="37"/>
      <c r="B20" s="37"/>
      <c r="C20" s="38"/>
      <c r="D20" s="37"/>
      <c r="E20" s="38"/>
      <c r="F20" s="37"/>
      <c r="G20" s="38"/>
      <c r="H20" s="37"/>
      <c r="I20" s="37"/>
      <c r="J20" s="37"/>
      <c r="K20" s="37"/>
      <c r="L20" s="37"/>
      <c r="M20" s="37"/>
      <c r="N20" s="37"/>
      <c r="O20" s="37"/>
      <c r="P20" s="37"/>
      <c r="R20" s="62"/>
      <c r="S20" s="63"/>
      <c r="T20" s="63"/>
      <c r="U20" s="63"/>
      <c r="V20" s="64"/>
    </row>
    <row r="21" spans="1:22">
      <c r="A21" s="37"/>
      <c r="B21" s="37"/>
      <c r="C21" s="38"/>
      <c r="D21" s="37"/>
      <c r="E21" s="38"/>
      <c r="F21" s="37"/>
      <c r="G21" s="38"/>
      <c r="H21" s="37"/>
      <c r="I21" s="37"/>
      <c r="J21" s="37"/>
      <c r="K21" s="37"/>
      <c r="L21" s="37"/>
      <c r="M21" s="37"/>
      <c r="N21" s="37"/>
      <c r="O21" s="37"/>
      <c r="P21" s="37"/>
      <c r="R21" s="62"/>
      <c r="S21" s="63"/>
      <c r="T21" s="63"/>
      <c r="U21" s="63"/>
      <c r="V21" s="64"/>
    </row>
    <row r="22" spans="1:22">
      <c r="A22" s="37"/>
      <c r="B22" s="37"/>
      <c r="C22" s="38"/>
      <c r="D22" s="37"/>
      <c r="E22" s="38"/>
      <c r="F22" s="37"/>
      <c r="G22" s="38"/>
      <c r="H22" s="37"/>
      <c r="I22" s="37"/>
      <c r="J22" s="37"/>
      <c r="K22" s="37"/>
      <c r="L22" s="37"/>
      <c r="M22" s="37"/>
      <c r="N22" s="37"/>
      <c r="O22" s="37"/>
      <c r="P22" s="37"/>
      <c r="R22" s="62"/>
      <c r="S22" s="63"/>
      <c r="T22" s="63"/>
      <c r="U22" s="63"/>
      <c r="V22" s="64"/>
    </row>
    <row r="23" spans="1:22">
      <c r="A23" s="37"/>
      <c r="B23" s="37"/>
      <c r="C23" s="38"/>
      <c r="D23" s="37"/>
      <c r="E23" s="38"/>
      <c r="F23" s="37"/>
      <c r="G23" s="38"/>
      <c r="H23" s="37"/>
      <c r="I23" s="37"/>
      <c r="J23" s="37"/>
      <c r="K23" s="37"/>
      <c r="L23" s="37"/>
      <c r="M23" s="37"/>
      <c r="N23" s="37"/>
      <c r="O23" s="37"/>
      <c r="P23" s="37"/>
      <c r="R23" s="62"/>
      <c r="S23" s="63"/>
      <c r="T23" s="63"/>
      <c r="U23" s="63"/>
      <c r="V23" s="64"/>
    </row>
    <row r="24" spans="1:22">
      <c r="A24" s="37"/>
      <c r="B24" s="37"/>
      <c r="C24" s="38"/>
      <c r="D24" s="37"/>
      <c r="E24" s="38"/>
      <c r="F24" s="37"/>
      <c r="G24" s="38"/>
      <c r="H24" s="37"/>
      <c r="I24" s="37"/>
      <c r="J24" s="37"/>
      <c r="K24" s="37"/>
      <c r="L24" s="37"/>
      <c r="M24" s="37"/>
      <c r="N24" s="37"/>
      <c r="O24" s="37"/>
      <c r="P24" s="37"/>
      <c r="R24" s="62"/>
      <c r="S24" s="63"/>
      <c r="T24" s="63"/>
      <c r="U24" s="63"/>
      <c r="V24" s="64"/>
    </row>
    <row r="25" spans="1:22" ht="19.5">
      <c r="A25" s="37"/>
      <c r="B25" s="489" t="s">
        <v>1837</v>
      </c>
      <c r="C25" s="489"/>
      <c r="D25" s="489"/>
      <c r="E25" s="489"/>
      <c r="F25" s="489"/>
      <c r="G25" s="489"/>
      <c r="H25" s="489"/>
      <c r="I25" s="37"/>
      <c r="J25" s="489" t="s">
        <v>1840</v>
      </c>
      <c r="K25" s="489"/>
      <c r="L25" s="489"/>
      <c r="M25" s="489"/>
      <c r="N25" s="489"/>
      <c r="O25" s="489"/>
      <c r="P25" s="489"/>
      <c r="R25" s="34"/>
      <c r="S25" s="35"/>
      <c r="T25" s="35"/>
      <c r="U25" s="35"/>
      <c r="V25" s="36"/>
    </row>
    <row r="26" spans="1:22">
      <c r="A26" s="37"/>
      <c r="B26" s="37"/>
      <c r="C26" s="38"/>
      <c r="D26" s="37"/>
      <c r="E26" s="38"/>
      <c r="F26" s="37"/>
      <c r="G26" s="38"/>
      <c r="H26" s="37"/>
      <c r="I26" s="37"/>
      <c r="J26" s="37"/>
      <c r="K26" s="37"/>
      <c r="L26" s="37"/>
      <c r="M26" s="37"/>
      <c r="N26" s="37"/>
      <c r="O26" s="37"/>
      <c r="P26" s="37"/>
      <c r="R26" s="34"/>
      <c r="S26" s="71"/>
      <c r="T26" s="35"/>
      <c r="U26" s="71"/>
      <c r="V26" s="36"/>
    </row>
    <row r="27" spans="1:22">
      <c r="A27" s="37"/>
      <c r="B27" s="37"/>
      <c r="C27" s="38"/>
      <c r="D27" s="37"/>
      <c r="E27" s="38"/>
      <c r="F27" s="37"/>
      <c r="G27" s="38"/>
      <c r="H27" s="37"/>
      <c r="I27" s="37"/>
      <c r="J27" s="37"/>
      <c r="K27" s="37"/>
      <c r="L27" s="37"/>
      <c r="M27" s="37"/>
      <c r="N27" s="37"/>
      <c r="O27" s="37"/>
      <c r="P27" s="37"/>
      <c r="R27" s="34"/>
      <c r="S27" s="35"/>
      <c r="T27" s="35"/>
      <c r="U27" s="35"/>
      <c r="V27" s="36"/>
    </row>
    <row r="28" spans="1:22">
      <c r="A28" s="37"/>
      <c r="B28" s="37"/>
      <c r="C28" s="38"/>
      <c r="D28" s="37"/>
      <c r="E28" s="38"/>
      <c r="F28" s="37"/>
      <c r="G28" s="38"/>
      <c r="H28" s="37"/>
      <c r="I28" s="37"/>
      <c r="J28" s="37"/>
      <c r="K28" s="37"/>
      <c r="L28" s="37"/>
      <c r="M28" s="37"/>
      <c r="N28" s="37"/>
      <c r="O28" s="37"/>
      <c r="P28" s="37"/>
      <c r="R28" s="34"/>
      <c r="S28" s="35"/>
      <c r="T28" s="35"/>
      <c r="U28" s="35"/>
      <c r="V28" s="36"/>
    </row>
    <row r="29" spans="1:22">
      <c r="A29" s="37"/>
      <c r="B29" s="37"/>
      <c r="C29" s="38"/>
      <c r="D29" s="37"/>
      <c r="E29" s="38"/>
      <c r="F29" s="37"/>
      <c r="G29" s="38"/>
      <c r="H29" s="37"/>
      <c r="I29" s="37"/>
      <c r="J29" s="37"/>
      <c r="K29" s="37"/>
      <c r="L29" s="37"/>
      <c r="M29" s="37"/>
      <c r="N29" s="37"/>
      <c r="O29" s="37"/>
      <c r="P29" s="37"/>
      <c r="R29" s="34"/>
      <c r="S29" s="35"/>
      <c r="T29" s="35"/>
      <c r="U29" s="35"/>
      <c r="V29" s="36"/>
    </row>
    <row r="30" spans="1:22">
      <c r="A30" s="37"/>
      <c r="B30" s="37"/>
      <c r="C30" s="38"/>
      <c r="D30" s="37"/>
      <c r="E30" s="38"/>
      <c r="F30" s="37"/>
      <c r="G30" s="38"/>
      <c r="H30" s="37"/>
      <c r="I30" s="37"/>
      <c r="J30" s="37"/>
      <c r="K30" s="37"/>
      <c r="L30" s="37"/>
      <c r="M30" s="37"/>
      <c r="N30" s="37"/>
      <c r="O30" s="37"/>
      <c r="P30" s="37"/>
      <c r="R30" s="34"/>
      <c r="S30" s="35"/>
      <c r="T30" s="35"/>
      <c r="U30" s="35"/>
      <c r="V30" s="36"/>
    </row>
    <row r="31" spans="1:22">
      <c r="A31" s="37"/>
      <c r="B31" s="37"/>
      <c r="C31" s="38"/>
      <c r="D31" s="37"/>
      <c r="E31" s="38"/>
      <c r="F31" s="37"/>
      <c r="G31" s="38"/>
      <c r="H31" s="37"/>
      <c r="I31" s="37"/>
      <c r="J31" s="37"/>
      <c r="K31" s="37"/>
      <c r="L31" s="37"/>
      <c r="M31" s="37"/>
      <c r="N31" s="37"/>
      <c r="O31" s="37"/>
      <c r="P31" s="37"/>
      <c r="R31" s="34"/>
      <c r="S31" s="35"/>
      <c r="T31" s="35"/>
      <c r="U31" s="35"/>
      <c r="V31" s="36"/>
    </row>
    <row r="32" spans="1:22">
      <c r="A32" s="37"/>
      <c r="B32" s="37"/>
      <c r="C32" s="38"/>
      <c r="D32" s="37"/>
      <c r="E32" s="38"/>
      <c r="F32" s="37"/>
      <c r="G32" s="38"/>
      <c r="H32" s="37"/>
      <c r="I32" s="37"/>
      <c r="J32" s="37"/>
      <c r="K32" s="37"/>
      <c r="L32" s="37"/>
      <c r="M32" s="37"/>
      <c r="N32" s="37"/>
      <c r="O32" s="37"/>
      <c r="P32" s="37"/>
      <c r="R32" s="34"/>
      <c r="S32" s="35"/>
      <c r="T32" s="35"/>
      <c r="U32" s="35"/>
      <c r="V32" s="36"/>
    </row>
    <row r="33" spans="1:22">
      <c r="A33" s="37"/>
      <c r="B33" s="37"/>
      <c r="C33" s="38"/>
      <c r="D33" s="37"/>
      <c r="E33" s="38"/>
      <c r="F33" s="37"/>
      <c r="G33" s="38"/>
      <c r="H33" s="37"/>
      <c r="I33" s="37"/>
      <c r="J33" s="37"/>
      <c r="K33" s="37"/>
      <c r="L33" s="37"/>
      <c r="M33" s="37"/>
      <c r="N33" s="37"/>
      <c r="O33" s="37"/>
      <c r="P33" s="37"/>
      <c r="R33" s="34"/>
      <c r="S33" s="35"/>
      <c r="T33" s="35"/>
      <c r="U33" s="35"/>
      <c r="V33" s="36"/>
    </row>
    <row r="34" spans="1:22">
      <c r="A34" s="37"/>
      <c r="B34" s="37"/>
      <c r="C34" s="38"/>
      <c r="D34" s="37"/>
      <c r="E34" s="38"/>
      <c r="F34" s="37"/>
      <c r="G34" s="38"/>
      <c r="H34" s="37"/>
      <c r="I34" s="37"/>
      <c r="J34" s="37"/>
      <c r="K34" s="37"/>
      <c r="L34" s="37"/>
      <c r="M34" s="37"/>
      <c r="N34" s="37"/>
      <c r="O34" s="37"/>
      <c r="P34" s="37"/>
      <c r="R34" s="34"/>
      <c r="S34" s="35"/>
      <c r="T34" s="35"/>
      <c r="U34" s="35"/>
      <c r="V34" s="36"/>
    </row>
    <row r="35" spans="1:22" ht="17.25" thickBot="1">
      <c r="A35" s="37"/>
      <c r="B35" s="37"/>
      <c r="C35" s="38"/>
      <c r="D35" s="37"/>
      <c r="E35" s="38"/>
      <c r="F35" s="37"/>
      <c r="G35" s="38"/>
      <c r="H35" s="37"/>
      <c r="I35" s="37"/>
      <c r="J35" s="37"/>
      <c r="K35" s="37"/>
      <c r="L35" s="37"/>
      <c r="M35" s="37"/>
      <c r="N35" s="37"/>
      <c r="O35" s="37"/>
      <c r="P35" s="37"/>
      <c r="R35" s="59"/>
      <c r="S35" s="60"/>
      <c r="T35" s="60"/>
      <c r="U35" s="60"/>
      <c r="V35" s="61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178" r:id="rId4" name="CommandButton7">
          <controlPr defaultSize="0" autoLine="0" r:id="rId5">
            <anchor moveWithCells="1">
              <from>
                <xdr:col>9</xdr:col>
                <xdr:colOff>38100</xdr:colOff>
                <xdr:row>0</xdr:row>
                <xdr:rowOff>38100</xdr:rowOff>
              </from>
              <to>
                <xdr:col>10</xdr:col>
                <xdr:colOff>561975</xdr:colOff>
                <xdr:row>0</xdr:row>
                <xdr:rowOff>342900</xdr:rowOff>
              </to>
            </anchor>
          </controlPr>
        </control>
      </mc:Choice>
      <mc:Fallback>
        <control shapeId="7178" r:id="rId4" name="CommandButton7"/>
      </mc:Fallback>
    </mc:AlternateContent>
    <mc:AlternateContent xmlns:mc="http://schemas.openxmlformats.org/markup-compatibility/2006">
      <mc:Choice Requires="x14">
        <control shapeId="7176" r:id="rId6" name="CommandButton5">
          <controlPr defaultSize="0" autoLine="0" r:id="rId7">
            <anchor moveWithCells="1">
              <from>
                <xdr:col>14</xdr:col>
                <xdr:colOff>552450</xdr:colOff>
                <xdr:row>0</xdr:row>
                <xdr:rowOff>38100</xdr:rowOff>
              </from>
              <to>
                <xdr:col>15</xdr:col>
                <xdr:colOff>781050</xdr:colOff>
                <xdr:row>0</xdr:row>
                <xdr:rowOff>342900</xdr:rowOff>
              </to>
            </anchor>
          </controlPr>
        </control>
      </mc:Choice>
      <mc:Fallback>
        <control shapeId="7176" r:id="rId6" name="CommandButton5"/>
      </mc:Fallback>
    </mc:AlternateContent>
    <mc:AlternateContent xmlns:mc="http://schemas.openxmlformats.org/markup-compatibility/2006">
      <mc:Choice Requires="x14">
        <control shapeId="7175" r:id="rId8" name="CommandButton4">
          <controlPr defaultSize="0" autoLine="0" r:id="rId9">
            <anchor moveWithCells="1">
              <from>
                <xdr:col>13</xdr:col>
                <xdr:colOff>276225</xdr:colOff>
                <xdr:row>0</xdr:row>
                <xdr:rowOff>38100</xdr:rowOff>
              </from>
              <to>
                <xdr:col>14</xdr:col>
                <xdr:colOff>504825</xdr:colOff>
                <xdr:row>0</xdr:row>
                <xdr:rowOff>342900</xdr:rowOff>
              </to>
            </anchor>
          </controlPr>
        </control>
      </mc:Choice>
      <mc:Fallback>
        <control shapeId="7175" r:id="rId8" name="CommandButton4"/>
      </mc:Fallback>
    </mc:AlternateContent>
    <mc:AlternateContent xmlns:mc="http://schemas.openxmlformats.org/markup-compatibility/2006">
      <mc:Choice Requires="x14">
        <control shapeId="7174" r:id="rId10" name="CommandButton3">
          <controlPr defaultSize="0" autoLine="0" r:id="rId11">
            <anchor moveWithCells="1">
              <from>
                <xdr:col>12</xdr:col>
                <xdr:colOff>0</xdr:colOff>
                <xdr:row>0</xdr:row>
                <xdr:rowOff>38100</xdr:rowOff>
              </from>
              <to>
                <xdr:col>13</xdr:col>
                <xdr:colOff>228600</xdr:colOff>
                <xdr:row>0</xdr:row>
                <xdr:rowOff>342900</xdr:rowOff>
              </to>
            </anchor>
          </controlPr>
        </control>
      </mc:Choice>
      <mc:Fallback>
        <control shapeId="7174" r:id="rId10" name="CommandButton3"/>
      </mc:Fallback>
    </mc:AlternateContent>
    <mc:AlternateContent xmlns:mc="http://schemas.openxmlformats.org/markup-compatibility/2006">
      <mc:Choice Requires="x14">
        <control shapeId="7173" r:id="rId12" name="CommandButton2">
          <controlPr defaultSize="0" autoLine="0" r:id="rId13">
            <anchor moveWithCells="1">
              <from>
                <xdr:col>10</xdr:col>
                <xdr:colOff>676275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7173" r:id="rId12" name="CommandButton2"/>
      </mc:Fallback>
    </mc:AlternateContent>
    <mc:AlternateContent xmlns:mc="http://schemas.openxmlformats.org/markup-compatibility/2006">
      <mc:Choice Requires="x14">
        <control shapeId="7172" r:id="rId14" name="CommandButton1">
          <controlPr defaultSize="0" autoLine="0" autoPict="0" r:id="rId15">
            <anchor moveWithCells="1">
              <from>
                <xdr:col>7</xdr:col>
                <xdr:colOff>9525</xdr:colOff>
                <xdr:row>0</xdr:row>
                <xdr:rowOff>38100</xdr:rowOff>
              </from>
              <to>
                <xdr:col>8</xdr:col>
                <xdr:colOff>9525</xdr:colOff>
                <xdr:row>0</xdr:row>
                <xdr:rowOff>342900</xdr:rowOff>
              </to>
            </anchor>
          </controlPr>
        </control>
      </mc:Choice>
      <mc:Fallback>
        <control shapeId="7172" r:id="rId14" name="CommandButton1"/>
      </mc:Fallback>
    </mc:AlternateContent>
    <mc:AlternateContent xmlns:mc="http://schemas.openxmlformats.org/markup-compatibility/2006">
      <mc:Choice Requires="x14">
        <control shapeId="7171" r:id="rId16" name="ComboBox3">
          <controlPr defaultSize="0" autoLine="0" r:id="rId17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5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7171" r:id="rId16" name="ComboBox3"/>
      </mc:Fallback>
    </mc:AlternateContent>
    <mc:AlternateContent xmlns:mc="http://schemas.openxmlformats.org/markup-compatibility/2006">
      <mc:Choice Requires="x14">
        <control shapeId="7170" r:id="rId18" name="ComboBox2">
          <controlPr defaultSize="0" autoLine="0" r:id="rId19">
            <anchor moveWithCells="1">
              <from>
                <xdr:col>3</xdr:col>
                <xdr:colOff>47625</xdr:colOff>
                <xdr:row>0</xdr:row>
                <xdr:rowOff>47625</xdr:rowOff>
              </from>
              <to>
                <xdr:col>3</xdr:col>
                <xdr:colOff>914400</xdr:colOff>
                <xdr:row>1</xdr:row>
                <xdr:rowOff>0</xdr:rowOff>
              </to>
            </anchor>
          </controlPr>
        </control>
      </mc:Choice>
      <mc:Fallback>
        <control shapeId="7170" r:id="rId18" name="ComboBox2"/>
      </mc:Fallback>
    </mc:AlternateContent>
    <mc:AlternateContent xmlns:mc="http://schemas.openxmlformats.org/markup-compatibility/2006">
      <mc:Choice Requires="x14">
        <control shapeId="7169" r:id="rId20" name="ComboBox1">
          <controlPr defaultSize="0" autoLine="0" r:id="rId21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7169" r:id="rId20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10350"/>
  <sheetViews>
    <sheetView zoomScale="90" zoomScaleNormal="90" workbookViewId="0">
      <pane xSplit="10" ySplit="1" topLeftCell="K188" activePane="bottomRight" state="frozen"/>
      <selection pane="topRight" activeCell="K1" sqref="K1"/>
      <selection pane="bottomLeft" activeCell="A2" sqref="A2"/>
      <selection pane="bottomRight" activeCell="L7" sqref="L7"/>
    </sheetView>
  </sheetViews>
  <sheetFormatPr defaultColWidth="9" defaultRowHeight="16.5"/>
  <cols>
    <col min="1" max="1" width="12.5" style="23" customWidth="1"/>
    <col min="2" max="2" width="9.5" style="23" customWidth="1"/>
    <col min="3" max="10" width="15.125" style="23" customWidth="1"/>
    <col min="11" max="13" width="12.5" style="23" customWidth="1"/>
    <col min="14" max="16384" width="9" style="23"/>
  </cols>
  <sheetData>
    <row r="1" spans="1:11" s="17" customFormat="1" ht="39">
      <c r="A1" s="41" t="s">
        <v>3883</v>
      </c>
      <c r="B1" s="42" t="s">
        <v>4067</v>
      </c>
      <c r="C1" s="42" t="s">
        <v>222</v>
      </c>
      <c r="D1" s="42" t="s">
        <v>223</v>
      </c>
      <c r="E1" s="42" t="s">
        <v>224</v>
      </c>
      <c r="F1" s="43" t="s">
        <v>227</v>
      </c>
      <c r="G1" s="43" t="s">
        <v>226</v>
      </c>
      <c r="H1" s="43" t="s">
        <v>221</v>
      </c>
      <c r="I1" s="43" t="s">
        <v>225</v>
      </c>
      <c r="J1" s="44" t="s">
        <v>228</v>
      </c>
    </row>
    <row r="2" spans="1:11" customFormat="1">
      <c r="A2">
        <v>9962</v>
      </c>
      <c r="B2" t="s">
        <v>3902</v>
      </c>
      <c r="C2" s="40">
        <v>98154</v>
      </c>
      <c r="D2" s="40">
        <v>103102</v>
      </c>
      <c r="E2" s="40">
        <v>140824</v>
      </c>
      <c r="F2">
        <v>-4.79</v>
      </c>
      <c r="G2">
        <v>-30.3</v>
      </c>
      <c r="H2" s="40">
        <v>201256</v>
      </c>
      <c r="I2" s="40">
        <v>328649</v>
      </c>
      <c r="J2">
        <v>-38.76</v>
      </c>
      <c r="K2">
        <v>0</v>
      </c>
    </row>
    <row r="3" spans="1:11" customFormat="1">
      <c r="A3">
        <v>9951</v>
      </c>
      <c r="B3" t="s">
        <v>3890</v>
      </c>
      <c r="C3" s="40">
        <v>293943</v>
      </c>
      <c r="D3" s="40">
        <v>340061</v>
      </c>
      <c r="E3" s="40">
        <v>251041</v>
      </c>
      <c r="F3">
        <v>-13.56</v>
      </c>
      <c r="G3">
        <v>17.079999999999998</v>
      </c>
      <c r="H3" s="40">
        <v>634004</v>
      </c>
      <c r="I3" s="40">
        <v>536031</v>
      </c>
      <c r="J3">
        <v>18.27</v>
      </c>
      <c r="K3">
        <v>0</v>
      </c>
    </row>
    <row r="4" spans="1:11" customFormat="1">
      <c r="A4">
        <v>8942</v>
      </c>
      <c r="B4" t="s">
        <v>1823</v>
      </c>
      <c r="C4" s="40">
        <v>321304</v>
      </c>
      <c r="D4" s="40">
        <v>482300</v>
      </c>
      <c r="E4" s="40">
        <v>336135</v>
      </c>
      <c r="F4">
        <v>-33.380000000000003</v>
      </c>
      <c r="G4">
        <v>-4.41</v>
      </c>
      <c r="H4" s="40">
        <v>803604</v>
      </c>
      <c r="I4" s="40">
        <v>812412</v>
      </c>
      <c r="J4">
        <v>-1.08</v>
      </c>
      <c r="K4">
        <v>0</v>
      </c>
    </row>
    <row r="5" spans="1:11" customFormat="1">
      <c r="A5">
        <v>8938</v>
      </c>
      <c r="B5" t="s">
        <v>514</v>
      </c>
      <c r="C5" s="40">
        <v>628549</v>
      </c>
      <c r="D5" s="40">
        <v>1089225</v>
      </c>
      <c r="E5" s="40">
        <v>627336</v>
      </c>
      <c r="F5">
        <v>-42.29</v>
      </c>
      <c r="G5">
        <v>0.19</v>
      </c>
      <c r="H5" s="40">
        <v>1717774</v>
      </c>
      <c r="I5" s="40">
        <v>1883315</v>
      </c>
      <c r="J5">
        <v>-8.7799999999999994</v>
      </c>
      <c r="K5">
        <v>0</v>
      </c>
    </row>
    <row r="6" spans="1:11" customFormat="1">
      <c r="A6">
        <v>8935</v>
      </c>
      <c r="B6" t="s">
        <v>513</v>
      </c>
      <c r="C6" s="40">
        <v>50693</v>
      </c>
      <c r="D6" s="40">
        <v>74362</v>
      </c>
      <c r="E6" s="40">
        <v>48059</v>
      </c>
      <c r="F6">
        <v>-31.82</v>
      </c>
      <c r="G6">
        <v>5.48</v>
      </c>
      <c r="H6" s="40">
        <v>125055</v>
      </c>
      <c r="I6" s="40">
        <v>132161</v>
      </c>
      <c r="J6">
        <v>-5.37</v>
      </c>
      <c r="K6">
        <v>0</v>
      </c>
    </row>
    <row r="7" spans="1:11" customFormat="1">
      <c r="A7">
        <v>8931</v>
      </c>
      <c r="B7" t="s">
        <v>4118</v>
      </c>
      <c r="C7" s="40">
        <v>97107</v>
      </c>
      <c r="D7" s="40">
        <v>105945</v>
      </c>
      <c r="E7" s="40">
        <v>91573</v>
      </c>
      <c r="F7">
        <v>-8.34</v>
      </c>
      <c r="G7">
        <v>6.04</v>
      </c>
      <c r="H7" s="40">
        <v>203052</v>
      </c>
      <c r="I7" s="40">
        <v>212561</v>
      </c>
      <c r="J7">
        <v>-4.47</v>
      </c>
      <c r="K7">
        <v>0</v>
      </c>
    </row>
    <row r="8" spans="1:11" customFormat="1">
      <c r="A8">
        <v>8930</v>
      </c>
      <c r="B8" t="s">
        <v>512</v>
      </c>
      <c r="C8" s="40">
        <v>51192</v>
      </c>
      <c r="D8" s="40">
        <v>75398</v>
      </c>
      <c r="E8" s="40">
        <v>55523</v>
      </c>
      <c r="F8">
        <v>-32.1</v>
      </c>
      <c r="G8">
        <v>-7.8</v>
      </c>
      <c r="H8" s="40">
        <v>126590</v>
      </c>
      <c r="I8" s="40">
        <v>173193</v>
      </c>
      <c r="J8">
        <v>-26.9</v>
      </c>
      <c r="K8">
        <v>0</v>
      </c>
    </row>
    <row r="9" spans="1:11" customFormat="1">
      <c r="A9">
        <v>8929</v>
      </c>
      <c r="B9" t="s">
        <v>511</v>
      </c>
      <c r="C9" s="40">
        <v>72692</v>
      </c>
      <c r="D9" s="40">
        <v>100752</v>
      </c>
      <c r="E9" s="40">
        <v>89963</v>
      </c>
      <c r="F9">
        <v>-27.85</v>
      </c>
      <c r="G9">
        <v>-19.190000000000001</v>
      </c>
      <c r="H9" s="40">
        <v>173444</v>
      </c>
      <c r="I9" s="40">
        <v>217855</v>
      </c>
      <c r="J9">
        <v>-20.38</v>
      </c>
      <c r="K9">
        <v>0</v>
      </c>
    </row>
    <row r="10" spans="1:11" customFormat="1">
      <c r="A10">
        <v>8928</v>
      </c>
      <c r="B10" t="s">
        <v>510</v>
      </c>
      <c r="C10" s="40">
        <v>188769</v>
      </c>
      <c r="D10" s="40">
        <v>236536</v>
      </c>
      <c r="E10" s="40">
        <v>191618</v>
      </c>
      <c r="F10">
        <v>-20.190000000000001</v>
      </c>
      <c r="G10">
        <v>-1.48</v>
      </c>
      <c r="H10" s="40">
        <v>425305</v>
      </c>
      <c r="I10" s="40">
        <v>403970</v>
      </c>
      <c r="J10">
        <v>5.28</v>
      </c>
      <c r="K10">
        <v>0</v>
      </c>
    </row>
    <row r="11" spans="1:11" customFormat="1">
      <c r="A11">
        <v>8924</v>
      </c>
      <c r="B11" t="s">
        <v>3965</v>
      </c>
      <c r="C11" s="40">
        <v>172407</v>
      </c>
      <c r="D11" s="40">
        <v>530634</v>
      </c>
      <c r="E11" s="40">
        <v>301778</v>
      </c>
      <c r="F11">
        <v>-67.5</v>
      </c>
      <c r="G11">
        <v>-42.86</v>
      </c>
      <c r="H11" s="40">
        <v>703041</v>
      </c>
      <c r="I11" s="40">
        <v>848233</v>
      </c>
      <c r="J11">
        <v>-17.11</v>
      </c>
      <c r="K11">
        <v>0</v>
      </c>
    </row>
    <row r="12" spans="1:11" customFormat="1">
      <c r="A12">
        <v>8921</v>
      </c>
      <c r="B12" t="s">
        <v>4126</v>
      </c>
      <c r="C12" s="40">
        <v>45225</v>
      </c>
      <c r="D12" s="40">
        <v>52462</v>
      </c>
      <c r="E12" s="40">
        <v>55936</v>
      </c>
      <c r="F12">
        <v>-13.79</v>
      </c>
      <c r="G12">
        <v>-19.14</v>
      </c>
      <c r="H12" s="40">
        <v>97687</v>
      </c>
      <c r="I12" s="40">
        <v>112825</v>
      </c>
      <c r="J12">
        <v>-13.41</v>
      </c>
      <c r="K12">
        <v>0</v>
      </c>
    </row>
    <row r="13" spans="1:11" customFormat="1">
      <c r="A13">
        <v>8913</v>
      </c>
      <c r="B13" t="s">
        <v>506</v>
      </c>
      <c r="C13" s="40">
        <v>6653</v>
      </c>
      <c r="D13" s="40">
        <v>6657</v>
      </c>
      <c r="E13" s="40">
        <v>5849</v>
      </c>
      <c r="F13">
        <v>-0.06</v>
      </c>
      <c r="G13">
        <v>13.74</v>
      </c>
      <c r="H13" s="40">
        <v>13310</v>
      </c>
      <c r="I13" s="40">
        <v>11539</v>
      </c>
      <c r="J13">
        <v>15.34</v>
      </c>
      <c r="K13">
        <v>0</v>
      </c>
    </row>
    <row r="14" spans="1:11" customFormat="1">
      <c r="A14">
        <v>8905</v>
      </c>
      <c r="B14" t="s">
        <v>3964</v>
      </c>
      <c r="C14" s="40">
        <v>108168</v>
      </c>
      <c r="D14" s="40">
        <v>149393</v>
      </c>
      <c r="E14" s="40">
        <v>166364</v>
      </c>
      <c r="F14">
        <v>-27.59</v>
      </c>
      <c r="G14">
        <v>-34.979999999999997</v>
      </c>
      <c r="H14" s="40">
        <v>257561</v>
      </c>
      <c r="I14" s="40">
        <v>376260</v>
      </c>
      <c r="J14">
        <v>-31.54</v>
      </c>
      <c r="K14">
        <v>0</v>
      </c>
    </row>
    <row r="15" spans="1:11" customFormat="1">
      <c r="A15">
        <v>8450</v>
      </c>
      <c r="B15" t="s">
        <v>504</v>
      </c>
      <c r="C15" s="40">
        <v>52133</v>
      </c>
      <c r="D15" s="40">
        <v>73064</v>
      </c>
      <c r="E15" s="40">
        <v>61930</v>
      </c>
      <c r="F15">
        <v>-28.64</v>
      </c>
      <c r="G15">
        <v>-15.81</v>
      </c>
      <c r="H15" s="40">
        <v>125197</v>
      </c>
      <c r="I15" s="40">
        <v>106402</v>
      </c>
      <c r="J15">
        <v>17.66</v>
      </c>
      <c r="K15">
        <v>0</v>
      </c>
    </row>
    <row r="16" spans="1:11" customFormat="1">
      <c r="A16">
        <v>8436</v>
      </c>
      <c r="B16" t="s">
        <v>2430</v>
      </c>
      <c r="C16" s="40">
        <v>197625</v>
      </c>
      <c r="D16" s="40">
        <v>212467</v>
      </c>
      <c r="E16" s="40">
        <v>126934</v>
      </c>
      <c r="F16">
        <v>-6.98</v>
      </c>
      <c r="G16">
        <v>55.69</v>
      </c>
      <c r="H16" s="40">
        <v>410092</v>
      </c>
      <c r="I16" s="40">
        <v>264522</v>
      </c>
      <c r="J16">
        <v>55.03</v>
      </c>
      <c r="K16">
        <v>0</v>
      </c>
    </row>
    <row r="17" spans="1:11" customFormat="1">
      <c r="A17">
        <v>8435</v>
      </c>
      <c r="B17" t="s">
        <v>503</v>
      </c>
      <c r="C17" s="40">
        <v>35679</v>
      </c>
      <c r="D17" s="40">
        <v>50306</v>
      </c>
      <c r="E17" s="40">
        <v>40141</v>
      </c>
      <c r="F17">
        <v>-29.07</v>
      </c>
      <c r="G17">
        <v>-11.11</v>
      </c>
      <c r="H17" s="40">
        <v>85985</v>
      </c>
      <c r="I17" s="40">
        <v>82040</v>
      </c>
      <c r="J17">
        <v>4.8</v>
      </c>
      <c r="K17">
        <v>0</v>
      </c>
    </row>
    <row r="18" spans="1:11" customFormat="1">
      <c r="A18">
        <v>8432</v>
      </c>
      <c r="B18" t="s">
        <v>501</v>
      </c>
      <c r="C18" s="40">
        <v>30944</v>
      </c>
      <c r="D18" s="40">
        <v>52534</v>
      </c>
      <c r="E18" s="40">
        <v>37665</v>
      </c>
      <c r="F18">
        <v>-41.09</v>
      </c>
      <c r="G18">
        <v>-17.84</v>
      </c>
      <c r="H18" s="40">
        <v>83478</v>
      </c>
      <c r="I18" s="40">
        <v>89730</v>
      </c>
      <c r="J18">
        <v>-6.96</v>
      </c>
      <c r="K18">
        <v>0</v>
      </c>
    </row>
    <row r="19" spans="1:11" customFormat="1">
      <c r="A19">
        <v>8424</v>
      </c>
      <c r="B19" t="s">
        <v>499</v>
      </c>
      <c r="C19" s="40">
        <v>52214</v>
      </c>
      <c r="D19" s="40">
        <v>74409</v>
      </c>
      <c r="E19" s="40">
        <v>50701</v>
      </c>
      <c r="F19">
        <v>-29.82</v>
      </c>
      <c r="G19">
        <v>2.98</v>
      </c>
      <c r="H19" s="40">
        <v>126623</v>
      </c>
      <c r="I19" s="40">
        <v>129777</v>
      </c>
      <c r="J19">
        <v>-2.4300000000000002</v>
      </c>
      <c r="K19">
        <v>0</v>
      </c>
    </row>
    <row r="20" spans="1:11" customFormat="1">
      <c r="A20">
        <v>8421</v>
      </c>
      <c r="B20" t="s">
        <v>498</v>
      </c>
      <c r="C20" s="40">
        <v>88326</v>
      </c>
      <c r="D20" s="40">
        <v>97611</v>
      </c>
      <c r="E20" s="40">
        <v>62786</v>
      </c>
      <c r="F20">
        <v>-9.51</v>
      </c>
      <c r="G20">
        <v>40.67</v>
      </c>
      <c r="H20" s="40">
        <v>185932</v>
      </c>
      <c r="I20" s="40">
        <v>146800</v>
      </c>
      <c r="J20">
        <v>26.65</v>
      </c>
      <c r="K20">
        <v>0</v>
      </c>
    </row>
    <row r="21" spans="1:11" customFormat="1">
      <c r="A21" s="136">
        <v>8420</v>
      </c>
      <c r="B21" s="136" t="s">
        <v>497</v>
      </c>
      <c r="C21" s="531">
        <v>117466</v>
      </c>
      <c r="D21" s="531">
        <v>117367</v>
      </c>
      <c r="E21" s="531">
        <v>91977</v>
      </c>
      <c r="F21" s="23">
        <v>0.08</v>
      </c>
      <c r="G21" s="23">
        <v>27.71</v>
      </c>
      <c r="H21" s="531">
        <v>234833</v>
      </c>
      <c r="I21" s="531">
        <v>193698</v>
      </c>
      <c r="J21" s="23">
        <v>21.23</v>
      </c>
      <c r="K21" s="23">
        <v>0</v>
      </c>
    </row>
    <row r="22" spans="1:11" customFormat="1">
      <c r="A22">
        <v>8416</v>
      </c>
      <c r="B22" t="s">
        <v>496</v>
      </c>
      <c r="C22" s="40">
        <v>50445</v>
      </c>
      <c r="D22" s="40">
        <v>74541</v>
      </c>
      <c r="E22" s="40">
        <v>48949</v>
      </c>
      <c r="F22">
        <v>-32.32</v>
      </c>
      <c r="G22">
        <v>3.05</v>
      </c>
      <c r="H22" s="40">
        <v>124986</v>
      </c>
      <c r="I22" s="40">
        <v>113245</v>
      </c>
      <c r="J22">
        <v>10.36</v>
      </c>
      <c r="K22">
        <v>0</v>
      </c>
    </row>
    <row r="23" spans="1:11" customFormat="1">
      <c r="A23">
        <v>8410</v>
      </c>
      <c r="B23" t="s">
        <v>495</v>
      </c>
      <c r="C23" s="40">
        <v>49745</v>
      </c>
      <c r="D23" s="40">
        <v>57107</v>
      </c>
      <c r="E23" s="40">
        <v>35159</v>
      </c>
      <c r="F23">
        <v>-12.89</v>
      </c>
      <c r="G23">
        <v>41.48</v>
      </c>
      <c r="H23" s="40">
        <v>106853</v>
      </c>
      <c r="I23" s="40">
        <v>84051</v>
      </c>
      <c r="J23">
        <v>27.12</v>
      </c>
      <c r="K23">
        <v>0</v>
      </c>
    </row>
    <row r="24" spans="1:11" customFormat="1">
      <c r="A24">
        <v>8409</v>
      </c>
      <c r="B24" t="s">
        <v>1805</v>
      </c>
      <c r="C24" s="40">
        <v>11078</v>
      </c>
      <c r="D24" s="40">
        <v>6757</v>
      </c>
      <c r="E24" s="40">
        <v>7009</v>
      </c>
      <c r="F24">
        <v>63.94</v>
      </c>
      <c r="G24">
        <v>58.05</v>
      </c>
      <c r="H24" s="40">
        <v>17835</v>
      </c>
      <c r="I24" s="40">
        <v>19375</v>
      </c>
      <c r="J24">
        <v>-7.94</v>
      </c>
      <c r="K24">
        <v>1</v>
      </c>
    </row>
    <row r="25" spans="1:11" customFormat="1">
      <c r="A25">
        <v>8401</v>
      </c>
      <c r="B25" t="s">
        <v>1970</v>
      </c>
      <c r="C25" s="40">
        <v>65248</v>
      </c>
      <c r="D25" s="40">
        <v>124021</v>
      </c>
      <c r="E25" s="40">
        <v>77401</v>
      </c>
      <c r="F25">
        <v>-47.38</v>
      </c>
      <c r="G25">
        <v>-15.7</v>
      </c>
      <c r="H25" s="40">
        <v>189275</v>
      </c>
      <c r="I25" s="40">
        <v>190966</v>
      </c>
      <c r="J25">
        <v>-0.88</v>
      </c>
      <c r="K25">
        <v>0</v>
      </c>
    </row>
    <row r="26" spans="1:11" customFormat="1">
      <c r="A26">
        <v>8390</v>
      </c>
      <c r="B26" t="s">
        <v>1801</v>
      </c>
      <c r="C26" s="40">
        <v>150184</v>
      </c>
      <c r="D26" s="40">
        <v>220236</v>
      </c>
      <c r="E26" s="40">
        <v>145905</v>
      </c>
      <c r="F26">
        <v>-31.8</v>
      </c>
      <c r="G26">
        <v>2.93</v>
      </c>
      <c r="H26" s="40">
        <v>370418</v>
      </c>
      <c r="I26" s="40">
        <v>344317</v>
      </c>
      <c r="J26">
        <v>7.58</v>
      </c>
      <c r="K26">
        <v>0</v>
      </c>
    </row>
    <row r="27" spans="1:11" customFormat="1">
      <c r="A27">
        <v>8383</v>
      </c>
      <c r="B27" t="s">
        <v>494</v>
      </c>
      <c r="C27" s="40">
        <v>197883</v>
      </c>
      <c r="D27" s="40">
        <v>297224</v>
      </c>
      <c r="E27" s="40">
        <v>188416</v>
      </c>
      <c r="F27">
        <v>-33.42</v>
      </c>
      <c r="G27">
        <v>5.0199999999999996</v>
      </c>
      <c r="H27" s="40">
        <v>495107</v>
      </c>
      <c r="I27" s="40">
        <v>431218</v>
      </c>
      <c r="J27">
        <v>14.81</v>
      </c>
      <c r="K27">
        <v>0</v>
      </c>
    </row>
    <row r="28" spans="1:11" customFormat="1">
      <c r="A28">
        <v>8358</v>
      </c>
      <c r="B28" t="s">
        <v>3946</v>
      </c>
      <c r="C28" s="40">
        <v>365579</v>
      </c>
      <c r="D28" s="40">
        <v>365845</v>
      </c>
      <c r="E28" s="40">
        <v>319819</v>
      </c>
      <c r="F28">
        <v>-7.0000000000000007E-2</v>
      </c>
      <c r="G28">
        <v>14.3</v>
      </c>
      <c r="H28" s="40">
        <v>731425</v>
      </c>
      <c r="I28" s="40">
        <v>663240</v>
      </c>
      <c r="J28">
        <v>10.28</v>
      </c>
      <c r="K28">
        <v>0</v>
      </c>
    </row>
    <row r="29" spans="1:11" customFormat="1">
      <c r="A29">
        <v>8299</v>
      </c>
      <c r="B29" t="s">
        <v>3924</v>
      </c>
      <c r="C29" s="40">
        <v>3091855</v>
      </c>
      <c r="D29" s="40">
        <v>3120529</v>
      </c>
      <c r="E29" s="40">
        <v>2631357</v>
      </c>
      <c r="F29">
        <v>-0.91</v>
      </c>
      <c r="G29">
        <v>17.5</v>
      </c>
      <c r="H29" s="40">
        <v>6212384</v>
      </c>
      <c r="I29" s="40">
        <v>5475088</v>
      </c>
      <c r="J29">
        <v>13.46</v>
      </c>
      <c r="K29">
        <v>0</v>
      </c>
    </row>
    <row r="30" spans="1:11" customFormat="1">
      <c r="A30">
        <v>8291</v>
      </c>
      <c r="B30" t="s">
        <v>4111</v>
      </c>
      <c r="C30" s="40">
        <v>41465</v>
      </c>
      <c r="D30" s="40">
        <v>41727</v>
      </c>
      <c r="E30" s="40">
        <v>42541</v>
      </c>
      <c r="F30">
        <v>-0.62</v>
      </c>
      <c r="G30">
        <v>-2.52</v>
      </c>
      <c r="H30" s="40">
        <v>83192</v>
      </c>
      <c r="I30" s="40">
        <v>85225</v>
      </c>
      <c r="J30">
        <v>-2.38</v>
      </c>
      <c r="K30">
        <v>0</v>
      </c>
    </row>
    <row r="31" spans="1:11" customFormat="1">
      <c r="A31">
        <v>8277</v>
      </c>
      <c r="B31" t="s">
        <v>1950</v>
      </c>
      <c r="C31" s="40">
        <v>37085</v>
      </c>
      <c r="D31" s="40">
        <v>49230</v>
      </c>
      <c r="E31" s="40">
        <v>30527</v>
      </c>
      <c r="F31">
        <v>-24.66</v>
      </c>
      <c r="G31">
        <v>21.48</v>
      </c>
      <c r="H31" s="40">
        <v>86315</v>
      </c>
      <c r="I31" s="40">
        <v>74903</v>
      </c>
      <c r="J31">
        <v>15.23</v>
      </c>
      <c r="K31">
        <v>0</v>
      </c>
    </row>
    <row r="32" spans="1:11" customFormat="1">
      <c r="A32">
        <v>8255</v>
      </c>
      <c r="B32" t="s">
        <v>3889</v>
      </c>
      <c r="C32" s="40">
        <v>275475</v>
      </c>
      <c r="D32" s="40">
        <v>319145</v>
      </c>
      <c r="E32" s="40">
        <v>281339</v>
      </c>
      <c r="F32">
        <v>-13.68</v>
      </c>
      <c r="G32">
        <v>-2.08</v>
      </c>
      <c r="H32" s="40">
        <v>594620</v>
      </c>
      <c r="I32" s="40">
        <v>585460</v>
      </c>
      <c r="J32">
        <v>1.56</v>
      </c>
      <c r="K32">
        <v>0</v>
      </c>
    </row>
    <row r="33" spans="1:11" customFormat="1">
      <c r="A33">
        <v>8234</v>
      </c>
      <c r="B33" t="s">
        <v>493</v>
      </c>
      <c r="C33" s="40">
        <v>387110</v>
      </c>
      <c r="D33" s="40">
        <v>448655</v>
      </c>
      <c r="E33" s="40">
        <v>393653</v>
      </c>
      <c r="F33">
        <v>-13.71</v>
      </c>
      <c r="G33">
        <v>-1.66</v>
      </c>
      <c r="H33" s="40">
        <v>835765</v>
      </c>
      <c r="I33" s="40">
        <v>826490</v>
      </c>
      <c r="J33">
        <v>1.1200000000000001</v>
      </c>
      <c r="K33">
        <v>0</v>
      </c>
    </row>
    <row r="34" spans="1:11" customFormat="1">
      <c r="A34">
        <v>8183</v>
      </c>
      <c r="B34" t="s">
        <v>3835</v>
      </c>
      <c r="C34" s="40">
        <v>161401</v>
      </c>
      <c r="D34" s="40">
        <v>237271</v>
      </c>
      <c r="E34" s="40">
        <v>155485</v>
      </c>
      <c r="F34">
        <v>-31.97</v>
      </c>
      <c r="G34">
        <v>3.8</v>
      </c>
      <c r="H34" s="40">
        <v>398672</v>
      </c>
      <c r="I34" s="40">
        <v>370122</v>
      </c>
      <c r="J34">
        <v>7.71</v>
      </c>
      <c r="K34">
        <v>0</v>
      </c>
    </row>
    <row r="35" spans="1:11" customFormat="1">
      <c r="A35">
        <v>8155</v>
      </c>
      <c r="B35" t="s">
        <v>4110</v>
      </c>
      <c r="C35" s="40">
        <v>120144</v>
      </c>
      <c r="D35" s="40">
        <v>133938</v>
      </c>
      <c r="E35" s="40">
        <v>140329</v>
      </c>
      <c r="F35">
        <v>-10.29</v>
      </c>
      <c r="G35">
        <v>-14.38</v>
      </c>
      <c r="H35" s="40">
        <v>254082</v>
      </c>
      <c r="I35" s="40">
        <v>311018</v>
      </c>
      <c r="J35">
        <v>-18.3</v>
      </c>
      <c r="K35">
        <v>0</v>
      </c>
    </row>
    <row r="36" spans="1:11" customFormat="1">
      <c r="A36">
        <v>8121</v>
      </c>
      <c r="B36" t="s">
        <v>3945</v>
      </c>
      <c r="C36" s="40">
        <v>150738</v>
      </c>
      <c r="D36" s="40">
        <v>217987</v>
      </c>
      <c r="E36" s="40">
        <v>163929</v>
      </c>
      <c r="F36">
        <v>-30.85</v>
      </c>
      <c r="G36">
        <v>-8.0399999999999991</v>
      </c>
      <c r="H36" s="40">
        <v>368725</v>
      </c>
      <c r="I36" s="40">
        <v>412058</v>
      </c>
      <c r="J36">
        <v>-10.51</v>
      </c>
      <c r="K36">
        <v>0</v>
      </c>
    </row>
    <row r="37" spans="1:11" customFormat="1">
      <c r="A37">
        <v>8109</v>
      </c>
      <c r="B37" t="s">
        <v>3944</v>
      </c>
      <c r="C37" s="40">
        <v>71431</v>
      </c>
      <c r="D37" s="40">
        <v>87072</v>
      </c>
      <c r="E37" s="40">
        <v>64753</v>
      </c>
      <c r="F37">
        <v>-17.96</v>
      </c>
      <c r="G37">
        <v>10.31</v>
      </c>
      <c r="H37" s="40">
        <v>158503</v>
      </c>
      <c r="I37" s="40">
        <v>137808</v>
      </c>
      <c r="J37">
        <v>15.01</v>
      </c>
      <c r="K37">
        <v>0</v>
      </c>
    </row>
    <row r="38" spans="1:11" customFormat="1">
      <c r="A38">
        <v>8099</v>
      </c>
      <c r="B38" t="s">
        <v>3951</v>
      </c>
      <c r="C38" s="40">
        <v>259494</v>
      </c>
      <c r="D38" s="40">
        <v>338155</v>
      </c>
      <c r="E38" s="40">
        <v>279597</v>
      </c>
      <c r="F38">
        <v>-23.26</v>
      </c>
      <c r="G38">
        <v>-7.18</v>
      </c>
      <c r="H38" s="40">
        <v>597649</v>
      </c>
      <c r="I38" s="40">
        <v>593315</v>
      </c>
      <c r="J38">
        <v>0.73</v>
      </c>
      <c r="K38">
        <v>0</v>
      </c>
    </row>
    <row r="39" spans="1:11" customFormat="1">
      <c r="A39">
        <v>8096</v>
      </c>
      <c r="B39" t="s">
        <v>4115</v>
      </c>
      <c r="C39" s="40">
        <v>1432509</v>
      </c>
      <c r="D39" s="40">
        <v>2496189</v>
      </c>
      <c r="E39" s="40">
        <v>1109125</v>
      </c>
      <c r="F39">
        <v>-42.61</v>
      </c>
      <c r="G39">
        <v>29.15</v>
      </c>
      <c r="H39" s="40">
        <v>3928698</v>
      </c>
      <c r="I39" s="40">
        <v>3695055</v>
      </c>
      <c r="J39">
        <v>6.32</v>
      </c>
      <c r="K39">
        <v>0</v>
      </c>
    </row>
    <row r="40" spans="1:11" customFormat="1">
      <c r="A40">
        <v>8091</v>
      </c>
      <c r="B40" t="s">
        <v>3943</v>
      </c>
      <c r="C40" s="40">
        <v>202672</v>
      </c>
      <c r="D40" s="40">
        <v>244276</v>
      </c>
      <c r="E40" s="40">
        <v>163527</v>
      </c>
      <c r="F40">
        <v>-17.03</v>
      </c>
      <c r="G40">
        <v>23.93</v>
      </c>
      <c r="H40" s="40">
        <v>446948</v>
      </c>
      <c r="I40" s="40">
        <v>260538</v>
      </c>
      <c r="J40">
        <v>71.540000000000006</v>
      </c>
      <c r="K40">
        <v>0</v>
      </c>
    </row>
    <row r="41" spans="1:11" customFormat="1">
      <c r="A41">
        <v>8086</v>
      </c>
      <c r="B41" t="s">
        <v>3917</v>
      </c>
      <c r="C41" s="40">
        <v>236314</v>
      </c>
      <c r="D41" s="40">
        <v>342439</v>
      </c>
      <c r="E41" s="40">
        <v>310334</v>
      </c>
      <c r="F41">
        <v>-30.99</v>
      </c>
      <c r="G41">
        <v>-23.85</v>
      </c>
      <c r="H41" s="40">
        <v>578754</v>
      </c>
      <c r="I41" s="40">
        <v>675394</v>
      </c>
      <c r="J41">
        <v>-14.3</v>
      </c>
      <c r="K41">
        <v>0</v>
      </c>
    </row>
    <row r="42" spans="1:11" customFormat="1">
      <c r="A42">
        <v>8085</v>
      </c>
      <c r="B42" t="s">
        <v>489</v>
      </c>
      <c r="C42" s="40">
        <v>72081</v>
      </c>
      <c r="D42" s="40">
        <v>131435</v>
      </c>
      <c r="E42" s="40">
        <v>129099</v>
      </c>
      <c r="F42">
        <v>-45.15</v>
      </c>
      <c r="G42">
        <v>-44.16</v>
      </c>
      <c r="H42" s="40">
        <v>203517</v>
      </c>
      <c r="I42" s="40">
        <v>302720</v>
      </c>
      <c r="J42">
        <v>-32.770000000000003</v>
      </c>
      <c r="K42">
        <v>0</v>
      </c>
    </row>
    <row r="43" spans="1:11" customFormat="1">
      <c r="A43">
        <v>8084</v>
      </c>
      <c r="B43" t="s">
        <v>4114</v>
      </c>
      <c r="C43" s="40">
        <v>165616</v>
      </c>
      <c r="D43" s="40">
        <v>229497</v>
      </c>
      <c r="E43" s="40">
        <v>78156</v>
      </c>
      <c r="F43">
        <v>-27.83</v>
      </c>
      <c r="G43">
        <v>111.9</v>
      </c>
      <c r="H43" s="40">
        <v>395113</v>
      </c>
      <c r="I43" s="40">
        <v>211482</v>
      </c>
      <c r="J43">
        <v>86.83</v>
      </c>
      <c r="K43">
        <v>0</v>
      </c>
    </row>
    <row r="44" spans="1:11" customFormat="1">
      <c r="A44">
        <v>8083</v>
      </c>
      <c r="B44" t="s">
        <v>488</v>
      </c>
      <c r="C44" s="40">
        <v>87069</v>
      </c>
      <c r="D44" s="40">
        <v>110480</v>
      </c>
      <c r="E44" s="40">
        <v>86941</v>
      </c>
      <c r="F44">
        <v>-21.19</v>
      </c>
      <c r="G44">
        <v>0.14000000000000001</v>
      </c>
      <c r="H44" s="40">
        <v>197549</v>
      </c>
      <c r="I44" s="40">
        <v>205325</v>
      </c>
      <c r="J44">
        <v>-3.78</v>
      </c>
      <c r="K44">
        <v>0</v>
      </c>
    </row>
    <row r="45" spans="1:11" customFormat="1">
      <c r="A45">
        <v>8074</v>
      </c>
      <c r="B45" t="s">
        <v>1966</v>
      </c>
      <c r="C45" s="40">
        <v>87544</v>
      </c>
      <c r="D45" s="40">
        <v>111417</v>
      </c>
      <c r="E45" s="40">
        <v>87703</v>
      </c>
      <c r="F45">
        <v>-21.42</v>
      </c>
      <c r="G45">
        <v>-0.18</v>
      </c>
      <c r="H45" s="40">
        <v>198961</v>
      </c>
      <c r="I45" s="40">
        <v>182894</v>
      </c>
      <c r="J45">
        <v>8.7799999999999994</v>
      </c>
      <c r="K45">
        <v>0</v>
      </c>
    </row>
    <row r="46" spans="1:11" customFormat="1">
      <c r="A46">
        <v>8071</v>
      </c>
      <c r="B46" t="s">
        <v>485</v>
      </c>
      <c r="C46" s="40">
        <v>145434</v>
      </c>
      <c r="D46" s="40">
        <v>195447</v>
      </c>
      <c r="E46" s="40">
        <v>147982</v>
      </c>
      <c r="F46">
        <v>-25.58</v>
      </c>
      <c r="G46">
        <v>-1.72</v>
      </c>
      <c r="H46" s="40">
        <v>340881</v>
      </c>
      <c r="I46" s="40">
        <v>345916</v>
      </c>
      <c r="J46">
        <v>-1.45</v>
      </c>
      <c r="K46">
        <v>0</v>
      </c>
    </row>
    <row r="47" spans="1:11" customFormat="1">
      <c r="A47">
        <v>8068</v>
      </c>
      <c r="B47" t="s">
        <v>484</v>
      </c>
      <c r="C47" s="40">
        <v>76787</v>
      </c>
      <c r="D47" s="40">
        <v>100668</v>
      </c>
      <c r="E47" s="40">
        <v>77960</v>
      </c>
      <c r="F47">
        <v>-23.72</v>
      </c>
      <c r="G47">
        <v>-1.5</v>
      </c>
      <c r="H47" s="40">
        <v>177456</v>
      </c>
      <c r="I47" s="40">
        <v>230803</v>
      </c>
      <c r="J47">
        <v>-23.11</v>
      </c>
      <c r="K47">
        <v>0</v>
      </c>
    </row>
    <row r="48" spans="1:11" customFormat="1">
      <c r="A48">
        <v>8067</v>
      </c>
      <c r="B48" t="s">
        <v>4113</v>
      </c>
      <c r="C48" s="40">
        <v>35890</v>
      </c>
      <c r="D48" s="40">
        <v>38737</v>
      </c>
      <c r="E48" s="40">
        <v>37868</v>
      </c>
      <c r="F48">
        <v>-7.34</v>
      </c>
      <c r="G48">
        <v>-5.22</v>
      </c>
      <c r="H48" s="40">
        <v>74627</v>
      </c>
      <c r="I48" s="40">
        <v>79264</v>
      </c>
      <c r="J48">
        <v>-5.85</v>
      </c>
      <c r="K48">
        <v>0</v>
      </c>
    </row>
    <row r="49" spans="1:11" customFormat="1">
      <c r="A49">
        <v>8064</v>
      </c>
      <c r="B49" t="s">
        <v>483</v>
      </c>
      <c r="C49" s="40">
        <v>245156</v>
      </c>
      <c r="D49" s="40">
        <v>295347</v>
      </c>
      <c r="E49" s="40">
        <v>254490</v>
      </c>
      <c r="F49">
        <v>-16.989999999999998</v>
      </c>
      <c r="G49">
        <v>-3.66</v>
      </c>
      <c r="H49" s="40">
        <v>540503</v>
      </c>
      <c r="I49" s="40">
        <v>505264</v>
      </c>
      <c r="J49">
        <v>6.97</v>
      </c>
      <c r="K49">
        <v>0</v>
      </c>
    </row>
    <row r="50" spans="1:11" customFormat="1">
      <c r="A50">
        <v>8059</v>
      </c>
      <c r="B50" t="s">
        <v>3931</v>
      </c>
      <c r="C50" s="40">
        <v>60388</v>
      </c>
      <c r="D50" s="40">
        <v>100880</v>
      </c>
      <c r="E50" s="40">
        <v>188671</v>
      </c>
      <c r="F50">
        <v>-40.130000000000003</v>
      </c>
      <c r="G50">
        <v>-67.989999999999995</v>
      </c>
      <c r="H50" s="40">
        <v>161268</v>
      </c>
      <c r="I50" s="40">
        <v>396321</v>
      </c>
      <c r="J50">
        <v>-59.3</v>
      </c>
      <c r="K50">
        <v>0</v>
      </c>
    </row>
    <row r="51" spans="1:11" customFormat="1">
      <c r="A51">
        <v>8054</v>
      </c>
      <c r="B51" t="s">
        <v>482</v>
      </c>
      <c r="C51" s="40">
        <v>107202</v>
      </c>
      <c r="D51" s="40">
        <v>189775</v>
      </c>
      <c r="E51" s="40">
        <v>155484</v>
      </c>
      <c r="F51">
        <v>-43.51</v>
      </c>
      <c r="G51">
        <v>-31.05</v>
      </c>
      <c r="H51" s="40">
        <v>296977</v>
      </c>
      <c r="I51" s="40">
        <v>393822</v>
      </c>
      <c r="J51">
        <v>-24.59</v>
      </c>
      <c r="K51">
        <v>0</v>
      </c>
    </row>
    <row r="52" spans="1:11" customFormat="1">
      <c r="A52">
        <v>8053</v>
      </c>
      <c r="B52" t="s">
        <v>4099</v>
      </c>
      <c r="C52" s="40">
        <v>212321</v>
      </c>
      <c r="D52" s="40">
        <v>235688</v>
      </c>
      <c r="E52" s="40">
        <v>305152</v>
      </c>
      <c r="F52">
        <v>-9.91</v>
      </c>
      <c r="G52">
        <v>-30.42</v>
      </c>
      <c r="H52" s="40">
        <v>448009</v>
      </c>
      <c r="I52" s="40">
        <v>711339</v>
      </c>
      <c r="J52">
        <v>-37.01</v>
      </c>
      <c r="K52">
        <v>0</v>
      </c>
    </row>
    <row r="53" spans="1:11" customFormat="1">
      <c r="A53">
        <v>8050</v>
      </c>
      <c r="B53" t="s">
        <v>1980</v>
      </c>
      <c r="C53" s="40">
        <v>267327</v>
      </c>
      <c r="D53" s="40">
        <v>390636</v>
      </c>
      <c r="E53" s="40">
        <v>316947</v>
      </c>
      <c r="F53">
        <v>-31.56</v>
      </c>
      <c r="G53">
        <v>-15.65</v>
      </c>
      <c r="H53" s="40">
        <v>657963</v>
      </c>
      <c r="I53" s="40">
        <v>722857</v>
      </c>
      <c r="J53">
        <v>-8.9700000000000006</v>
      </c>
      <c r="K53">
        <v>0</v>
      </c>
    </row>
    <row r="54" spans="1:11" customFormat="1">
      <c r="A54">
        <v>8049</v>
      </c>
      <c r="B54" t="s">
        <v>3927</v>
      </c>
      <c r="C54" s="40">
        <v>94040</v>
      </c>
      <c r="D54" s="40">
        <v>150988</v>
      </c>
      <c r="E54" s="40">
        <v>80729</v>
      </c>
      <c r="F54">
        <v>-37.71</v>
      </c>
      <c r="G54">
        <v>16.48</v>
      </c>
      <c r="H54" s="40">
        <v>245028</v>
      </c>
      <c r="I54" s="40">
        <v>216956</v>
      </c>
      <c r="J54">
        <v>12.93</v>
      </c>
      <c r="K54">
        <v>0</v>
      </c>
    </row>
    <row r="55" spans="1:11" customFormat="1">
      <c r="A55">
        <v>8043</v>
      </c>
      <c r="B55" t="s">
        <v>3942</v>
      </c>
      <c r="C55" s="40">
        <v>208101</v>
      </c>
      <c r="D55" s="40">
        <v>376312</v>
      </c>
      <c r="E55" s="40">
        <v>273259</v>
      </c>
      <c r="F55">
        <v>-44.69</v>
      </c>
      <c r="G55">
        <v>-23.84</v>
      </c>
      <c r="H55" s="40">
        <v>584413</v>
      </c>
      <c r="I55" s="40">
        <v>704250</v>
      </c>
      <c r="J55">
        <v>-17.010000000000002</v>
      </c>
      <c r="K55">
        <v>0</v>
      </c>
    </row>
    <row r="56" spans="1:11" customFormat="1">
      <c r="A56">
        <v>8040</v>
      </c>
      <c r="B56" t="s">
        <v>3916</v>
      </c>
      <c r="C56" s="40">
        <v>54003</v>
      </c>
      <c r="D56" s="40">
        <v>91299</v>
      </c>
      <c r="E56" s="40">
        <v>53705</v>
      </c>
      <c r="F56">
        <v>-40.85</v>
      </c>
      <c r="G56">
        <v>0.55000000000000004</v>
      </c>
      <c r="H56" s="40">
        <v>145302</v>
      </c>
      <c r="I56" s="40">
        <v>124970</v>
      </c>
      <c r="J56">
        <v>16.260000000000002</v>
      </c>
      <c r="K56">
        <v>0</v>
      </c>
    </row>
    <row r="57" spans="1:11" customFormat="1">
      <c r="A57">
        <v>8034</v>
      </c>
      <c r="B57" t="s">
        <v>4104</v>
      </c>
      <c r="C57" s="40">
        <v>12287</v>
      </c>
      <c r="D57" s="40">
        <v>15061</v>
      </c>
      <c r="E57" s="40">
        <v>14238</v>
      </c>
      <c r="F57">
        <v>-18.41</v>
      </c>
      <c r="G57">
        <v>-13.7</v>
      </c>
      <c r="H57" s="40">
        <v>27348</v>
      </c>
      <c r="I57" s="40">
        <v>42040</v>
      </c>
      <c r="J57">
        <v>-34.94</v>
      </c>
      <c r="K57">
        <v>0</v>
      </c>
    </row>
    <row r="58" spans="1:11" customFormat="1">
      <c r="A58">
        <v>8032</v>
      </c>
      <c r="B58" t="s">
        <v>3948</v>
      </c>
      <c r="C58" s="40">
        <v>292670</v>
      </c>
      <c r="D58" s="40">
        <v>408697</v>
      </c>
      <c r="E58" s="40">
        <v>223771</v>
      </c>
      <c r="F58">
        <v>-28.38</v>
      </c>
      <c r="G58">
        <v>30.78</v>
      </c>
      <c r="H58" s="40">
        <v>701249</v>
      </c>
      <c r="I58" s="40">
        <v>606193</v>
      </c>
      <c r="J58">
        <v>15.68</v>
      </c>
      <c r="K58">
        <v>0</v>
      </c>
    </row>
    <row r="59" spans="1:11" customFormat="1">
      <c r="A59">
        <v>8027</v>
      </c>
      <c r="B59" t="s">
        <v>1941</v>
      </c>
      <c r="C59" s="40">
        <v>66278</v>
      </c>
      <c r="D59" s="40">
        <v>88910</v>
      </c>
      <c r="E59" s="40">
        <v>97196</v>
      </c>
      <c r="F59">
        <v>-25.45</v>
      </c>
      <c r="G59">
        <v>-31.8</v>
      </c>
      <c r="H59" s="40">
        <v>155188</v>
      </c>
      <c r="I59" s="40">
        <v>344192</v>
      </c>
      <c r="J59">
        <v>-54.91</v>
      </c>
      <c r="K59">
        <v>0</v>
      </c>
    </row>
    <row r="60" spans="1:11" customFormat="1">
      <c r="A60">
        <v>8024</v>
      </c>
      <c r="B60" t="s">
        <v>480</v>
      </c>
      <c r="C60" s="40">
        <v>32122</v>
      </c>
      <c r="D60" s="40">
        <v>28055</v>
      </c>
      <c r="E60" s="40">
        <v>26140</v>
      </c>
      <c r="F60">
        <v>14.49</v>
      </c>
      <c r="G60">
        <v>22.88</v>
      </c>
      <c r="H60" s="40">
        <v>60177</v>
      </c>
      <c r="I60" s="40">
        <v>70931</v>
      </c>
      <c r="J60">
        <v>-15.16</v>
      </c>
      <c r="K60">
        <v>1</v>
      </c>
    </row>
    <row r="61" spans="1:11" customFormat="1">
      <c r="A61">
        <v>7402</v>
      </c>
      <c r="B61" t="s">
        <v>2450</v>
      </c>
      <c r="C61" s="40">
        <v>18974</v>
      </c>
      <c r="D61" s="40">
        <v>21501</v>
      </c>
      <c r="E61" s="40">
        <v>15889</v>
      </c>
      <c r="F61">
        <v>-11.75</v>
      </c>
      <c r="G61">
        <v>19.41</v>
      </c>
      <c r="H61" s="40">
        <v>40475</v>
      </c>
      <c r="I61" s="40">
        <v>31503</v>
      </c>
      <c r="J61">
        <v>28.47</v>
      </c>
      <c r="K61">
        <v>0</v>
      </c>
    </row>
    <row r="62" spans="1:11" customFormat="1">
      <c r="A62">
        <v>6603</v>
      </c>
      <c r="B62" t="s">
        <v>478</v>
      </c>
      <c r="C62" s="40">
        <v>191471</v>
      </c>
      <c r="D62" s="40">
        <v>213161</v>
      </c>
      <c r="E62" s="40">
        <v>167871</v>
      </c>
      <c r="F62">
        <v>-10.17</v>
      </c>
      <c r="G62">
        <v>14.05</v>
      </c>
      <c r="H62" s="40">
        <v>404543</v>
      </c>
      <c r="I62" s="40">
        <v>475238</v>
      </c>
      <c r="J62">
        <v>-14.87</v>
      </c>
      <c r="K62">
        <v>0</v>
      </c>
    </row>
    <row r="63" spans="1:11" customFormat="1">
      <c r="A63">
        <v>6506</v>
      </c>
      <c r="B63" t="s">
        <v>4076</v>
      </c>
      <c r="C63" s="40">
        <v>139733</v>
      </c>
      <c r="D63" s="40">
        <v>176673</v>
      </c>
      <c r="E63" s="40">
        <v>135448</v>
      </c>
      <c r="F63">
        <v>-20.9</v>
      </c>
      <c r="G63">
        <v>3.16</v>
      </c>
      <c r="H63" s="40">
        <v>316406</v>
      </c>
      <c r="I63" s="40">
        <v>323385</v>
      </c>
      <c r="J63">
        <v>-2.15</v>
      </c>
      <c r="K63">
        <v>0</v>
      </c>
    </row>
    <row r="64" spans="1:11" customFormat="1">
      <c r="A64">
        <v>6496</v>
      </c>
      <c r="B64" t="s">
        <v>4084</v>
      </c>
      <c r="C64" s="40">
        <v>89647</v>
      </c>
      <c r="D64" s="40">
        <v>130579</v>
      </c>
      <c r="E64" s="40">
        <v>89606</v>
      </c>
      <c r="F64">
        <v>-31.34</v>
      </c>
      <c r="G64">
        <v>0.04</v>
      </c>
      <c r="H64" s="40">
        <v>220226</v>
      </c>
      <c r="I64" s="40">
        <v>193533</v>
      </c>
      <c r="J64">
        <v>13.79</v>
      </c>
      <c r="K64">
        <v>0</v>
      </c>
    </row>
    <row r="65" spans="1:11" customFormat="1">
      <c r="A65">
        <v>6488</v>
      </c>
      <c r="B65" t="s">
        <v>3915</v>
      </c>
      <c r="C65" s="40">
        <v>1212494</v>
      </c>
      <c r="D65" s="40">
        <v>1207013</v>
      </c>
      <c r="E65" s="40">
        <v>1306912</v>
      </c>
      <c r="F65">
        <v>0.45</v>
      </c>
      <c r="G65">
        <v>-7.22</v>
      </c>
      <c r="H65" s="40">
        <v>2419508</v>
      </c>
      <c r="I65" s="40">
        <v>2664624</v>
      </c>
      <c r="J65">
        <v>-9.19</v>
      </c>
      <c r="K65">
        <v>0</v>
      </c>
    </row>
    <row r="66" spans="1:11" customFormat="1">
      <c r="A66">
        <v>6485</v>
      </c>
      <c r="B66" t="s">
        <v>1900</v>
      </c>
      <c r="C66" s="40">
        <v>90513</v>
      </c>
      <c r="D66" s="40">
        <v>103492</v>
      </c>
      <c r="E66" s="40">
        <v>63054</v>
      </c>
      <c r="F66">
        <v>-12.54</v>
      </c>
      <c r="G66">
        <v>43.54</v>
      </c>
      <c r="H66" s="40">
        <v>194005</v>
      </c>
      <c r="I66" s="40">
        <v>188707</v>
      </c>
      <c r="J66">
        <v>2.8</v>
      </c>
      <c r="K66">
        <v>0</v>
      </c>
    </row>
    <row r="67" spans="1:11" customFormat="1">
      <c r="A67">
        <v>6470</v>
      </c>
      <c r="B67" t="s">
        <v>1880</v>
      </c>
      <c r="C67" s="40">
        <v>149579</v>
      </c>
      <c r="D67" s="40">
        <v>121112</v>
      </c>
      <c r="E67" s="40">
        <v>145532</v>
      </c>
      <c r="F67">
        <v>23.5</v>
      </c>
      <c r="G67">
        <v>2.78</v>
      </c>
      <c r="H67" s="40">
        <v>270691</v>
      </c>
      <c r="I67" s="40">
        <v>259005</v>
      </c>
      <c r="J67">
        <v>4.51</v>
      </c>
      <c r="K67">
        <v>1</v>
      </c>
    </row>
    <row r="68" spans="1:11" customFormat="1">
      <c r="A68">
        <v>6465</v>
      </c>
      <c r="B68" t="s">
        <v>1899</v>
      </c>
      <c r="C68" s="40">
        <v>22472</v>
      </c>
      <c r="D68" s="40">
        <v>26713</v>
      </c>
      <c r="E68" s="40">
        <v>19738</v>
      </c>
      <c r="F68">
        <v>-15.87</v>
      </c>
      <c r="G68">
        <v>13.85</v>
      </c>
      <c r="H68" s="40">
        <v>49185</v>
      </c>
      <c r="I68" s="40">
        <v>49207</v>
      </c>
      <c r="J68">
        <v>-0.04</v>
      </c>
      <c r="K68">
        <v>0</v>
      </c>
    </row>
    <row r="69" spans="1:11" customFormat="1">
      <c r="A69">
        <v>6457</v>
      </c>
      <c r="B69" t="s">
        <v>3874</v>
      </c>
      <c r="C69" s="40">
        <v>19539</v>
      </c>
      <c r="D69" s="40">
        <v>51007</v>
      </c>
      <c r="E69" s="40">
        <v>22920</v>
      </c>
      <c r="F69">
        <v>-61.69</v>
      </c>
      <c r="G69">
        <v>-14.75</v>
      </c>
      <c r="H69" s="40">
        <v>70546</v>
      </c>
      <c r="I69" s="40">
        <v>68767</v>
      </c>
      <c r="J69">
        <v>2.58</v>
      </c>
      <c r="K69">
        <v>0</v>
      </c>
    </row>
    <row r="70" spans="1:11" customFormat="1">
      <c r="A70">
        <v>6435</v>
      </c>
      <c r="B70" t="s">
        <v>2449</v>
      </c>
      <c r="C70" s="40">
        <v>87229</v>
      </c>
      <c r="D70" s="40">
        <v>141687</v>
      </c>
      <c r="E70" s="40">
        <v>75321</v>
      </c>
      <c r="F70">
        <v>-38.43</v>
      </c>
      <c r="G70">
        <v>15.8</v>
      </c>
      <c r="H70" s="40">
        <v>228916</v>
      </c>
      <c r="I70" s="40">
        <v>181286</v>
      </c>
      <c r="J70">
        <v>26.27</v>
      </c>
      <c r="K70">
        <v>0</v>
      </c>
    </row>
    <row r="71" spans="1:11" customFormat="1">
      <c r="A71">
        <v>6432</v>
      </c>
      <c r="B71" t="s">
        <v>3941</v>
      </c>
      <c r="C71" s="40">
        <v>54356</v>
      </c>
      <c r="D71" s="40">
        <v>107219</v>
      </c>
      <c r="E71" s="40">
        <v>53673</v>
      </c>
      <c r="F71">
        <v>-49.3</v>
      </c>
      <c r="G71">
        <v>1.27</v>
      </c>
      <c r="H71" s="40">
        <v>161575</v>
      </c>
      <c r="I71" s="40">
        <v>148221</v>
      </c>
      <c r="J71">
        <v>9</v>
      </c>
      <c r="K71">
        <v>0</v>
      </c>
    </row>
    <row r="72" spans="1:11" customFormat="1">
      <c r="A72">
        <v>6419</v>
      </c>
      <c r="B72" t="s">
        <v>1747</v>
      </c>
      <c r="C72" s="40">
        <v>23517</v>
      </c>
      <c r="D72" s="40">
        <v>36087</v>
      </c>
      <c r="E72" s="40">
        <v>30971</v>
      </c>
      <c r="F72">
        <v>-34.83</v>
      </c>
      <c r="G72">
        <v>-24.06</v>
      </c>
      <c r="H72" s="40">
        <v>59604</v>
      </c>
      <c r="I72" s="40">
        <v>64297</v>
      </c>
      <c r="J72">
        <v>-7.29</v>
      </c>
      <c r="K72">
        <v>0</v>
      </c>
    </row>
    <row r="73" spans="1:11" customFormat="1">
      <c r="A73">
        <v>6417</v>
      </c>
      <c r="B73" t="s">
        <v>520</v>
      </c>
      <c r="C73" s="40">
        <v>59701</v>
      </c>
      <c r="D73" s="40">
        <v>60092</v>
      </c>
      <c r="E73" s="40">
        <v>61794</v>
      </c>
      <c r="F73">
        <v>-0.65</v>
      </c>
      <c r="G73">
        <v>-3.38</v>
      </c>
      <c r="H73" s="40">
        <v>119793</v>
      </c>
      <c r="I73" s="40">
        <v>130878</v>
      </c>
      <c r="J73">
        <v>-8.4600000000000009</v>
      </c>
      <c r="K73">
        <v>0</v>
      </c>
    </row>
    <row r="74" spans="1:11" customFormat="1">
      <c r="A74">
        <v>6294</v>
      </c>
      <c r="B74" t="s">
        <v>4125</v>
      </c>
      <c r="C74" s="40">
        <v>61589</v>
      </c>
      <c r="D74" s="40">
        <v>56371</v>
      </c>
      <c r="E74" s="40">
        <v>50684</v>
      </c>
      <c r="F74">
        <v>9.25</v>
      </c>
      <c r="G74">
        <v>21.51</v>
      </c>
      <c r="H74" s="40">
        <v>117959</v>
      </c>
      <c r="I74" s="40">
        <v>98341</v>
      </c>
      <c r="J74">
        <v>19.940000000000001</v>
      </c>
      <c r="K74">
        <v>0</v>
      </c>
    </row>
    <row r="75" spans="1:11" customFormat="1">
      <c r="A75">
        <v>6291</v>
      </c>
      <c r="B75" t="s">
        <v>473</v>
      </c>
      <c r="C75" s="40">
        <v>16526</v>
      </c>
      <c r="D75" s="40">
        <v>18040</v>
      </c>
      <c r="E75" s="40">
        <v>18004</v>
      </c>
      <c r="F75">
        <v>-8.39</v>
      </c>
      <c r="G75">
        <v>-8.1999999999999993</v>
      </c>
      <c r="H75" s="40">
        <v>34566</v>
      </c>
      <c r="I75" s="40">
        <v>38600</v>
      </c>
      <c r="J75">
        <v>-10.45</v>
      </c>
      <c r="K75">
        <v>0</v>
      </c>
    </row>
    <row r="76" spans="1:11" customFormat="1">
      <c r="A76">
        <v>6290</v>
      </c>
      <c r="B76" t="s">
        <v>1965</v>
      </c>
      <c r="C76" s="40">
        <v>489850</v>
      </c>
      <c r="D76" s="40">
        <v>678464</v>
      </c>
      <c r="E76" s="40">
        <v>463046</v>
      </c>
      <c r="F76">
        <v>-27.8</v>
      </c>
      <c r="G76">
        <v>5.78</v>
      </c>
      <c r="H76" s="40">
        <v>1168340</v>
      </c>
      <c r="I76" s="40">
        <v>1115283</v>
      </c>
      <c r="J76">
        <v>4.75</v>
      </c>
      <c r="K76">
        <v>0</v>
      </c>
    </row>
    <row r="77" spans="1:11" customFormat="1">
      <c r="A77">
        <v>6287</v>
      </c>
      <c r="B77" t="s">
        <v>1949</v>
      </c>
      <c r="C77" s="40">
        <v>85433</v>
      </c>
      <c r="D77" s="40">
        <v>93368</v>
      </c>
      <c r="E77" s="40">
        <v>43776</v>
      </c>
      <c r="F77">
        <v>-8.49</v>
      </c>
      <c r="G77">
        <v>95.15</v>
      </c>
      <c r="H77" s="40">
        <v>178801</v>
      </c>
      <c r="I77" s="40">
        <v>86072</v>
      </c>
      <c r="J77">
        <v>107.73</v>
      </c>
      <c r="K77">
        <v>0</v>
      </c>
    </row>
    <row r="78" spans="1:11" customFormat="1">
      <c r="A78">
        <v>6284</v>
      </c>
      <c r="B78" t="s">
        <v>1988</v>
      </c>
      <c r="C78" s="40">
        <v>175183</v>
      </c>
      <c r="D78" s="40">
        <v>231369</v>
      </c>
      <c r="E78" s="40">
        <v>201818</v>
      </c>
      <c r="F78">
        <v>-24.28</v>
      </c>
      <c r="G78">
        <v>-13.19</v>
      </c>
      <c r="H78" s="40">
        <v>406552</v>
      </c>
      <c r="I78" s="40">
        <v>481643</v>
      </c>
      <c r="J78">
        <v>-15.59</v>
      </c>
      <c r="K78">
        <v>0</v>
      </c>
    </row>
    <row r="79" spans="1:11" customFormat="1">
      <c r="A79">
        <v>6279</v>
      </c>
      <c r="B79" t="s">
        <v>1739</v>
      </c>
      <c r="C79" s="40">
        <v>250155</v>
      </c>
      <c r="D79" s="40">
        <v>339794</v>
      </c>
      <c r="E79" s="40">
        <v>217430</v>
      </c>
      <c r="F79">
        <v>-26.38</v>
      </c>
      <c r="G79">
        <v>15.05</v>
      </c>
      <c r="H79" s="40">
        <v>589949</v>
      </c>
      <c r="I79" s="40">
        <v>548116</v>
      </c>
      <c r="J79">
        <v>7.63</v>
      </c>
      <c r="K79">
        <v>0</v>
      </c>
    </row>
    <row r="80" spans="1:11" customFormat="1">
      <c r="A80">
        <v>6274</v>
      </c>
      <c r="B80" t="s">
        <v>471</v>
      </c>
      <c r="C80" s="40">
        <v>923976</v>
      </c>
      <c r="D80" s="40">
        <v>1099012</v>
      </c>
      <c r="E80" s="40">
        <v>929907</v>
      </c>
      <c r="F80">
        <v>-15.92</v>
      </c>
      <c r="G80">
        <v>-0.63</v>
      </c>
      <c r="H80" s="40">
        <v>2022988</v>
      </c>
      <c r="I80" s="40">
        <v>2140672</v>
      </c>
      <c r="J80">
        <v>-5.49</v>
      </c>
      <c r="K80">
        <v>0</v>
      </c>
    </row>
    <row r="81" spans="1:11" customFormat="1">
      <c r="A81">
        <v>6270</v>
      </c>
      <c r="B81" t="s">
        <v>3947</v>
      </c>
      <c r="C81" s="40">
        <v>138304</v>
      </c>
      <c r="D81" s="40">
        <v>176176</v>
      </c>
      <c r="E81" s="40">
        <v>139822</v>
      </c>
      <c r="F81">
        <v>-21.49</v>
      </c>
      <c r="G81">
        <v>-1.08</v>
      </c>
      <c r="H81" s="40">
        <v>314480</v>
      </c>
      <c r="I81" s="40">
        <v>351937</v>
      </c>
      <c r="J81">
        <v>-10.64</v>
      </c>
      <c r="K81">
        <v>0</v>
      </c>
    </row>
    <row r="82" spans="1:11" customFormat="1">
      <c r="A82">
        <v>6266</v>
      </c>
      <c r="B82" t="s">
        <v>3787</v>
      </c>
      <c r="C82" s="40">
        <v>153272</v>
      </c>
      <c r="D82" s="40">
        <v>198019</v>
      </c>
      <c r="E82" s="40">
        <v>152021</v>
      </c>
      <c r="F82">
        <v>-22.59</v>
      </c>
      <c r="G82">
        <v>0.82</v>
      </c>
      <c r="H82" s="40">
        <v>351291</v>
      </c>
      <c r="I82" s="40">
        <v>345693</v>
      </c>
      <c r="J82">
        <v>1.61</v>
      </c>
      <c r="K82">
        <v>0</v>
      </c>
    </row>
    <row r="83" spans="1:11" customFormat="1">
      <c r="A83">
        <v>6263</v>
      </c>
      <c r="B83" t="s">
        <v>3930</v>
      </c>
      <c r="C83" s="40">
        <v>89211</v>
      </c>
      <c r="D83" s="40">
        <v>105132</v>
      </c>
      <c r="E83" s="40">
        <v>84178</v>
      </c>
      <c r="F83">
        <v>-15.14</v>
      </c>
      <c r="G83">
        <v>5.97</v>
      </c>
      <c r="H83" s="40">
        <v>194343</v>
      </c>
      <c r="I83" s="40">
        <v>188246</v>
      </c>
      <c r="J83">
        <v>3.23</v>
      </c>
      <c r="K83">
        <v>0</v>
      </c>
    </row>
    <row r="84" spans="1:11" customFormat="1">
      <c r="A84">
        <v>6261</v>
      </c>
      <c r="B84" t="s">
        <v>468</v>
      </c>
      <c r="C84" s="40">
        <v>273731</v>
      </c>
      <c r="D84" s="40">
        <v>305475</v>
      </c>
      <c r="E84" s="40">
        <v>259130</v>
      </c>
      <c r="F84">
        <v>-10.39</v>
      </c>
      <c r="G84">
        <v>5.63</v>
      </c>
      <c r="H84" s="40">
        <v>579206</v>
      </c>
      <c r="I84" s="40">
        <v>582294</v>
      </c>
      <c r="J84">
        <v>-0.53</v>
      </c>
      <c r="K84">
        <v>0</v>
      </c>
    </row>
    <row r="85" spans="1:11" customFormat="1">
      <c r="A85">
        <v>6259</v>
      </c>
      <c r="B85" t="s">
        <v>467</v>
      </c>
      <c r="C85" s="40">
        <v>30343</v>
      </c>
      <c r="D85" s="40">
        <v>49086</v>
      </c>
      <c r="E85" s="40">
        <v>76110</v>
      </c>
      <c r="F85">
        <v>-38.18</v>
      </c>
      <c r="G85">
        <v>-60.13</v>
      </c>
      <c r="H85" s="40">
        <v>79429</v>
      </c>
      <c r="I85" s="40">
        <v>180058</v>
      </c>
      <c r="J85">
        <v>-55.88</v>
      </c>
      <c r="K85">
        <v>0</v>
      </c>
    </row>
    <row r="86" spans="1:11" customFormat="1">
      <c r="A86">
        <v>6247</v>
      </c>
      <c r="B86" t="s">
        <v>1734</v>
      </c>
      <c r="C86" s="40">
        <v>37655</v>
      </c>
      <c r="D86" s="40">
        <v>91613</v>
      </c>
      <c r="E86" s="40">
        <v>90206</v>
      </c>
      <c r="F86">
        <v>-58.89</v>
      </c>
      <c r="G86">
        <v>-58.25</v>
      </c>
      <c r="H86" s="40">
        <v>129268</v>
      </c>
      <c r="I86" s="40">
        <v>194555</v>
      </c>
      <c r="J86">
        <v>-33.549999999999997</v>
      </c>
      <c r="K86">
        <v>0</v>
      </c>
    </row>
    <row r="87" spans="1:11" customFormat="1">
      <c r="A87">
        <v>6244</v>
      </c>
      <c r="B87" t="s">
        <v>464</v>
      </c>
      <c r="C87" s="40">
        <v>3166098</v>
      </c>
      <c r="D87" s="40">
        <v>3211483</v>
      </c>
      <c r="E87" s="40">
        <v>1381555</v>
      </c>
      <c r="F87">
        <v>-1.41</v>
      </c>
      <c r="G87">
        <v>129.16</v>
      </c>
      <c r="H87" s="40">
        <v>6377581</v>
      </c>
      <c r="I87" s="40">
        <v>3091540</v>
      </c>
      <c r="J87">
        <v>106.29</v>
      </c>
      <c r="K87">
        <v>0</v>
      </c>
    </row>
    <row r="88" spans="1:11" customFormat="1">
      <c r="A88">
        <v>6242</v>
      </c>
      <c r="B88" t="s">
        <v>1732</v>
      </c>
      <c r="C88" s="40">
        <v>24892</v>
      </c>
      <c r="D88" s="40">
        <v>29335</v>
      </c>
      <c r="E88" s="40">
        <v>18895</v>
      </c>
      <c r="F88">
        <v>-15.14</v>
      </c>
      <c r="G88">
        <v>31.73</v>
      </c>
      <c r="H88" s="40">
        <v>54227</v>
      </c>
      <c r="I88" s="40">
        <v>49461</v>
      </c>
      <c r="J88">
        <v>9.6300000000000008</v>
      </c>
      <c r="K88">
        <v>0</v>
      </c>
    </row>
    <row r="89" spans="1:11" customFormat="1">
      <c r="A89">
        <v>6237</v>
      </c>
      <c r="B89" t="s">
        <v>462</v>
      </c>
      <c r="C89" s="40">
        <v>21330</v>
      </c>
      <c r="D89" s="40">
        <v>28151</v>
      </c>
      <c r="E89" s="40">
        <v>23907</v>
      </c>
      <c r="F89">
        <v>-24.23</v>
      </c>
      <c r="G89">
        <v>-10.77</v>
      </c>
      <c r="H89" s="40">
        <v>49481</v>
      </c>
      <c r="I89" s="40">
        <v>57446</v>
      </c>
      <c r="J89">
        <v>-13.86</v>
      </c>
      <c r="K89">
        <v>0</v>
      </c>
    </row>
    <row r="90" spans="1:11" customFormat="1">
      <c r="A90">
        <v>6234</v>
      </c>
      <c r="B90" t="s">
        <v>460</v>
      </c>
      <c r="C90" s="40">
        <v>77806</v>
      </c>
      <c r="D90" s="40">
        <v>82600</v>
      </c>
      <c r="E90" s="40">
        <v>81647</v>
      </c>
      <c r="F90">
        <v>-5.8</v>
      </c>
      <c r="G90">
        <v>-4.7</v>
      </c>
      <c r="H90" s="40">
        <v>160406</v>
      </c>
      <c r="I90" s="40">
        <v>187365</v>
      </c>
      <c r="J90">
        <v>-14.38</v>
      </c>
      <c r="K90">
        <v>0</v>
      </c>
    </row>
    <row r="91" spans="1:11" customFormat="1">
      <c r="A91">
        <v>6233</v>
      </c>
      <c r="B91" t="s">
        <v>3914</v>
      </c>
      <c r="C91" s="40">
        <v>25006</v>
      </c>
      <c r="D91" s="40">
        <v>34286</v>
      </c>
      <c r="E91" s="40">
        <v>24466</v>
      </c>
      <c r="F91">
        <v>-27.06</v>
      </c>
      <c r="G91">
        <v>2.2000000000000002</v>
      </c>
      <c r="H91" s="40">
        <v>59292</v>
      </c>
      <c r="I91" s="40">
        <v>54590</v>
      </c>
      <c r="J91">
        <v>8.61</v>
      </c>
      <c r="K91">
        <v>0</v>
      </c>
    </row>
    <row r="92" spans="1:11" customFormat="1">
      <c r="A92">
        <v>6227</v>
      </c>
      <c r="B92" t="s">
        <v>457</v>
      </c>
      <c r="C92" s="40">
        <v>707822</v>
      </c>
      <c r="D92" s="40">
        <v>1026371</v>
      </c>
      <c r="E92" s="40">
        <v>214685</v>
      </c>
      <c r="F92">
        <v>-31.03</v>
      </c>
      <c r="G92">
        <v>229.7</v>
      </c>
      <c r="H92" s="40">
        <v>1734193</v>
      </c>
      <c r="I92" s="40">
        <v>537854</v>
      </c>
      <c r="J92">
        <v>222.42</v>
      </c>
      <c r="K92">
        <v>0</v>
      </c>
    </row>
    <row r="93" spans="1:11" customFormat="1">
      <c r="A93">
        <v>6223</v>
      </c>
      <c r="B93" t="s">
        <v>456</v>
      </c>
      <c r="C93" s="40">
        <v>242481</v>
      </c>
      <c r="D93" s="40">
        <v>311021</v>
      </c>
      <c r="E93" s="40">
        <v>256551</v>
      </c>
      <c r="F93">
        <v>-22.03</v>
      </c>
      <c r="G93">
        <v>-5.48</v>
      </c>
      <c r="H93" s="40">
        <v>553502</v>
      </c>
      <c r="I93" s="40">
        <v>590186</v>
      </c>
      <c r="J93">
        <v>-6.21</v>
      </c>
      <c r="K93">
        <v>0</v>
      </c>
    </row>
    <row r="94" spans="1:11" customFormat="1">
      <c r="A94">
        <v>6221</v>
      </c>
      <c r="B94" t="s">
        <v>455</v>
      </c>
      <c r="C94" s="40">
        <v>137588</v>
      </c>
      <c r="D94" s="40">
        <v>100127</v>
      </c>
      <c r="E94" s="40">
        <v>115355</v>
      </c>
      <c r="F94">
        <v>37.409999999999997</v>
      </c>
      <c r="G94">
        <v>19.27</v>
      </c>
      <c r="H94" s="40">
        <v>237715</v>
      </c>
      <c r="I94" s="40">
        <v>284733</v>
      </c>
      <c r="J94">
        <v>-16.510000000000002</v>
      </c>
      <c r="K94">
        <v>1</v>
      </c>
    </row>
    <row r="95" spans="1:11" customFormat="1">
      <c r="A95">
        <v>6218</v>
      </c>
      <c r="B95" t="s">
        <v>3929</v>
      </c>
      <c r="C95" s="40">
        <v>56978</v>
      </c>
      <c r="D95" s="40">
        <v>110525</v>
      </c>
      <c r="E95" s="40">
        <v>73324</v>
      </c>
      <c r="F95">
        <v>-48.44</v>
      </c>
      <c r="G95">
        <v>-22.29</v>
      </c>
      <c r="H95" s="40">
        <v>167503</v>
      </c>
      <c r="I95" s="40">
        <v>158565</v>
      </c>
      <c r="J95">
        <v>5.63</v>
      </c>
      <c r="K95">
        <v>0</v>
      </c>
    </row>
    <row r="96" spans="1:11" customFormat="1">
      <c r="A96">
        <v>6217</v>
      </c>
      <c r="B96" t="s">
        <v>3940</v>
      </c>
      <c r="C96" s="40">
        <v>70377</v>
      </c>
      <c r="D96" s="40">
        <v>163088</v>
      </c>
      <c r="E96" s="40">
        <v>99966</v>
      </c>
      <c r="F96">
        <v>-56.84</v>
      </c>
      <c r="G96">
        <v>-29.59</v>
      </c>
      <c r="H96" s="40">
        <v>233465</v>
      </c>
      <c r="I96" s="40">
        <v>233037</v>
      </c>
      <c r="J96">
        <v>0.18</v>
      </c>
      <c r="K96">
        <v>0</v>
      </c>
    </row>
    <row r="97" spans="1:11" customFormat="1">
      <c r="A97">
        <v>6208</v>
      </c>
      <c r="B97" t="s">
        <v>3939</v>
      </c>
      <c r="C97" s="40">
        <v>77719</v>
      </c>
      <c r="D97" s="40">
        <v>163761</v>
      </c>
      <c r="E97" s="40">
        <v>85920</v>
      </c>
      <c r="F97">
        <v>-52.54</v>
      </c>
      <c r="G97">
        <v>-9.5399999999999991</v>
      </c>
      <c r="H97" s="40">
        <v>241480</v>
      </c>
      <c r="I97" s="40">
        <v>196620</v>
      </c>
      <c r="J97">
        <v>22.81</v>
      </c>
      <c r="K97">
        <v>0</v>
      </c>
    </row>
    <row r="98" spans="1:11" customFormat="1">
      <c r="A98">
        <v>6207</v>
      </c>
      <c r="B98" t="s">
        <v>452</v>
      </c>
      <c r="C98" s="40">
        <v>89219</v>
      </c>
      <c r="D98" s="40">
        <v>127740</v>
      </c>
      <c r="E98" s="40">
        <v>138503</v>
      </c>
      <c r="F98">
        <v>-30.15</v>
      </c>
      <c r="G98">
        <v>-35.58</v>
      </c>
      <c r="H98" s="40">
        <v>216959</v>
      </c>
      <c r="I98" s="40">
        <v>336178</v>
      </c>
      <c r="J98">
        <v>-35.46</v>
      </c>
      <c r="K98">
        <v>0</v>
      </c>
    </row>
    <row r="99" spans="1:11" customFormat="1">
      <c r="A99">
        <v>6204</v>
      </c>
      <c r="B99" t="s">
        <v>3938</v>
      </c>
      <c r="C99" s="40">
        <v>24082</v>
      </c>
      <c r="D99" s="40">
        <v>53407</v>
      </c>
      <c r="E99" s="40">
        <v>28543</v>
      </c>
      <c r="F99">
        <v>-54.9</v>
      </c>
      <c r="G99">
        <v>-15.62</v>
      </c>
      <c r="H99" s="40">
        <v>77488</v>
      </c>
      <c r="I99" s="40">
        <v>76513</v>
      </c>
      <c r="J99">
        <v>1.27</v>
      </c>
      <c r="K99">
        <v>0</v>
      </c>
    </row>
    <row r="100" spans="1:11" customFormat="1">
      <c r="A100">
        <v>6199</v>
      </c>
      <c r="B100" t="s">
        <v>3776</v>
      </c>
      <c r="C100" s="40">
        <v>4778</v>
      </c>
      <c r="D100" s="40">
        <v>5231</v>
      </c>
      <c r="E100" s="40">
        <v>4082</v>
      </c>
      <c r="F100">
        <v>-8.65</v>
      </c>
      <c r="G100">
        <v>17.05</v>
      </c>
      <c r="H100" s="40">
        <v>10009</v>
      </c>
      <c r="I100" s="40">
        <v>9610</v>
      </c>
      <c r="J100">
        <v>4.1500000000000004</v>
      </c>
      <c r="K100">
        <v>0</v>
      </c>
    </row>
    <row r="101" spans="1:11" customFormat="1">
      <c r="A101">
        <v>6198</v>
      </c>
      <c r="B101" t="s">
        <v>3913</v>
      </c>
      <c r="C101" s="40">
        <v>5087</v>
      </c>
      <c r="D101" s="40">
        <v>2237</v>
      </c>
      <c r="E101" s="40">
        <v>5432</v>
      </c>
      <c r="F101">
        <v>127.4</v>
      </c>
      <c r="G101">
        <v>-6.35</v>
      </c>
      <c r="H101" s="40">
        <v>7324</v>
      </c>
      <c r="I101" s="40">
        <v>9301</v>
      </c>
      <c r="J101">
        <v>-21.25</v>
      </c>
      <c r="K101">
        <v>1</v>
      </c>
    </row>
    <row r="102" spans="1:11" customFormat="1">
      <c r="A102">
        <v>6195</v>
      </c>
      <c r="B102" t="s">
        <v>450</v>
      </c>
      <c r="C102" s="40">
        <v>84097</v>
      </c>
      <c r="D102" s="40">
        <v>199170</v>
      </c>
      <c r="E102" s="40">
        <v>118626</v>
      </c>
      <c r="F102">
        <v>-57.77</v>
      </c>
      <c r="G102">
        <v>-29.1</v>
      </c>
      <c r="H102" s="40">
        <v>283267</v>
      </c>
      <c r="I102" s="40">
        <v>303457</v>
      </c>
      <c r="J102">
        <v>-6.65</v>
      </c>
      <c r="K102">
        <v>0</v>
      </c>
    </row>
    <row r="103" spans="1:11" customFormat="1">
      <c r="A103">
        <v>6190</v>
      </c>
      <c r="B103" t="s">
        <v>449</v>
      </c>
      <c r="C103" s="40">
        <v>281232</v>
      </c>
      <c r="D103" s="40">
        <v>343465</v>
      </c>
      <c r="E103" s="40">
        <v>302362</v>
      </c>
      <c r="F103">
        <v>-18.11</v>
      </c>
      <c r="G103">
        <v>-6.98</v>
      </c>
      <c r="H103" s="40">
        <v>624697</v>
      </c>
      <c r="I103" s="40">
        <v>685842</v>
      </c>
      <c r="J103">
        <v>-8.91</v>
      </c>
      <c r="K103">
        <v>0</v>
      </c>
    </row>
    <row r="104" spans="1:11" customFormat="1">
      <c r="A104">
        <v>6187</v>
      </c>
      <c r="B104" t="s">
        <v>3956</v>
      </c>
      <c r="C104" s="40">
        <v>80858</v>
      </c>
      <c r="D104" s="40">
        <v>90175</v>
      </c>
      <c r="E104" s="40">
        <v>119272</v>
      </c>
      <c r="F104">
        <v>-10.33</v>
      </c>
      <c r="G104">
        <v>-32.200000000000003</v>
      </c>
      <c r="H104" s="40">
        <v>171033</v>
      </c>
      <c r="I104" s="40">
        <v>232573</v>
      </c>
      <c r="J104">
        <v>-26.46</v>
      </c>
      <c r="K104">
        <v>0</v>
      </c>
    </row>
    <row r="105" spans="1:11" customFormat="1">
      <c r="A105">
        <v>6185</v>
      </c>
      <c r="B105" t="s">
        <v>3937</v>
      </c>
      <c r="C105" s="40">
        <v>68865</v>
      </c>
      <c r="D105" s="40">
        <v>116874</v>
      </c>
      <c r="E105" s="40">
        <v>92163</v>
      </c>
      <c r="F105">
        <v>-41.07</v>
      </c>
      <c r="G105">
        <v>-25.27</v>
      </c>
      <c r="H105" s="40">
        <v>185739</v>
      </c>
      <c r="I105" s="40">
        <v>240419</v>
      </c>
      <c r="J105">
        <v>-22.74</v>
      </c>
      <c r="K105">
        <v>0</v>
      </c>
    </row>
    <row r="106" spans="1:11" customFormat="1">
      <c r="A106">
        <v>6182</v>
      </c>
      <c r="B106" t="s">
        <v>447</v>
      </c>
      <c r="C106" s="40">
        <v>428140</v>
      </c>
      <c r="D106" s="40">
        <v>509899</v>
      </c>
      <c r="E106" s="40">
        <v>417412</v>
      </c>
      <c r="F106">
        <v>-16.03</v>
      </c>
      <c r="G106">
        <v>2.57</v>
      </c>
      <c r="H106" s="40">
        <v>938039</v>
      </c>
      <c r="I106" s="40">
        <v>882473</v>
      </c>
      <c r="J106">
        <v>6.29</v>
      </c>
      <c r="K106">
        <v>0</v>
      </c>
    </row>
    <row r="107" spans="1:11" customFormat="1">
      <c r="A107">
        <v>6180</v>
      </c>
      <c r="B107" t="s">
        <v>1972</v>
      </c>
      <c r="C107" s="40">
        <v>961314</v>
      </c>
      <c r="D107" s="40">
        <v>709244</v>
      </c>
      <c r="E107" s="40">
        <v>968260</v>
      </c>
      <c r="F107">
        <v>35.54</v>
      </c>
      <c r="G107">
        <v>-0.71</v>
      </c>
      <c r="H107" s="40">
        <v>1670558</v>
      </c>
      <c r="I107" s="40">
        <v>1657890</v>
      </c>
      <c r="J107">
        <v>0.76</v>
      </c>
      <c r="K107">
        <v>1</v>
      </c>
    </row>
    <row r="108" spans="1:11" customFormat="1">
      <c r="A108">
        <v>6175</v>
      </c>
      <c r="B108" t="s">
        <v>445</v>
      </c>
      <c r="C108" s="40">
        <v>156290</v>
      </c>
      <c r="D108" s="40">
        <v>158524</v>
      </c>
      <c r="E108" s="40">
        <v>139078</v>
      </c>
      <c r="F108">
        <v>-1.4</v>
      </c>
      <c r="G108">
        <v>12.37</v>
      </c>
      <c r="H108" s="40">
        <v>314813</v>
      </c>
      <c r="I108" s="40">
        <v>322666</v>
      </c>
      <c r="J108">
        <v>-2.4300000000000002</v>
      </c>
      <c r="K108">
        <v>0</v>
      </c>
    </row>
    <row r="109" spans="1:11" customFormat="1">
      <c r="A109">
        <v>6173</v>
      </c>
      <c r="B109" t="s">
        <v>3768</v>
      </c>
      <c r="C109" s="40">
        <v>175045</v>
      </c>
      <c r="D109" s="40">
        <v>221828</v>
      </c>
      <c r="E109" s="40">
        <v>170727</v>
      </c>
      <c r="F109">
        <v>-21.08</v>
      </c>
      <c r="G109">
        <v>2.52</v>
      </c>
      <c r="H109" s="40">
        <v>396872</v>
      </c>
      <c r="I109" s="40">
        <v>389571</v>
      </c>
      <c r="J109">
        <v>1.87</v>
      </c>
      <c r="K109">
        <v>0</v>
      </c>
    </row>
    <row r="110" spans="1:11" customFormat="1">
      <c r="A110">
        <v>6171</v>
      </c>
      <c r="B110" t="s">
        <v>444</v>
      </c>
      <c r="C110" s="40">
        <v>16095</v>
      </c>
      <c r="D110" s="40">
        <v>139481</v>
      </c>
      <c r="E110" s="40">
        <v>14</v>
      </c>
      <c r="F110">
        <v>-88.46</v>
      </c>
      <c r="G110" s="372">
        <v>114864.28</v>
      </c>
      <c r="H110" s="40">
        <v>155576</v>
      </c>
      <c r="I110" s="40">
        <v>28</v>
      </c>
      <c r="J110" s="372">
        <v>555528.56999999995</v>
      </c>
      <c r="K110">
        <v>0</v>
      </c>
    </row>
    <row r="111" spans="1:11" customFormat="1">
      <c r="A111">
        <v>6167</v>
      </c>
      <c r="B111" t="s">
        <v>4098</v>
      </c>
      <c r="C111" s="40">
        <v>136473</v>
      </c>
      <c r="D111" s="40">
        <v>210350</v>
      </c>
      <c r="E111" s="40">
        <v>107608</v>
      </c>
      <c r="F111">
        <v>-35.119999999999997</v>
      </c>
      <c r="G111">
        <v>26.82</v>
      </c>
      <c r="H111" s="40">
        <v>346823</v>
      </c>
      <c r="I111" s="40">
        <v>297500</v>
      </c>
      <c r="J111">
        <v>16.57</v>
      </c>
      <c r="K111">
        <v>0</v>
      </c>
    </row>
    <row r="112" spans="1:11" customFormat="1">
      <c r="A112">
        <v>6161</v>
      </c>
      <c r="B112" t="s">
        <v>441</v>
      </c>
      <c r="C112" s="40">
        <v>68659</v>
      </c>
      <c r="D112" s="40">
        <v>99463</v>
      </c>
      <c r="E112" s="40">
        <v>217575</v>
      </c>
      <c r="F112">
        <v>-30.97</v>
      </c>
      <c r="G112">
        <v>-68.44</v>
      </c>
      <c r="H112" s="40">
        <v>168122</v>
      </c>
      <c r="I112" s="40">
        <v>567221</v>
      </c>
      <c r="J112">
        <v>-70.36</v>
      </c>
      <c r="K112">
        <v>0</v>
      </c>
    </row>
    <row r="113" spans="1:11" customFormat="1">
      <c r="A113">
        <v>6158</v>
      </c>
      <c r="B113" t="s">
        <v>440</v>
      </c>
      <c r="C113" s="40">
        <v>105511</v>
      </c>
      <c r="D113" s="40">
        <v>185423</v>
      </c>
      <c r="E113" s="40">
        <v>149029</v>
      </c>
      <c r="F113">
        <v>-43.09</v>
      </c>
      <c r="G113">
        <v>-29.2</v>
      </c>
      <c r="H113" s="40">
        <v>290934</v>
      </c>
      <c r="I113" s="40">
        <v>361134</v>
      </c>
      <c r="J113">
        <v>-19.43</v>
      </c>
      <c r="K113">
        <v>0</v>
      </c>
    </row>
    <row r="114" spans="1:11" customFormat="1">
      <c r="A114">
        <v>6154</v>
      </c>
      <c r="B114" t="s">
        <v>439</v>
      </c>
      <c r="C114" s="40">
        <v>503093</v>
      </c>
      <c r="D114" s="40">
        <v>407000</v>
      </c>
      <c r="E114" s="40">
        <v>490998</v>
      </c>
      <c r="F114">
        <v>23.61</v>
      </c>
      <c r="G114">
        <v>2.46</v>
      </c>
      <c r="H114" s="40">
        <v>910093</v>
      </c>
      <c r="I114" s="40">
        <v>905285</v>
      </c>
      <c r="J114">
        <v>0.53</v>
      </c>
      <c r="K114">
        <v>1</v>
      </c>
    </row>
    <row r="115" spans="1:11" customFormat="1">
      <c r="A115">
        <v>6151</v>
      </c>
      <c r="B115" t="s">
        <v>3955</v>
      </c>
      <c r="C115" s="40">
        <v>100649</v>
      </c>
      <c r="D115" s="40">
        <v>179000</v>
      </c>
      <c r="E115" s="40">
        <v>122662</v>
      </c>
      <c r="F115">
        <v>-43.77</v>
      </c>
      <c r="G115">
        <v>-17.940000000000001</v>
      </c>
      <c r="H115" s="40">
        <v>279649</v>
      </c>
      <c r="I115" s="40">
        <v>315648</v>
      </c>
      <c r="J115">
        <v>-11.4</v>
      </c>
      <c r="K115">
        <v>0</v>
      </c>
    </row>
    <row r="116" spans="1:11" customFormat="1">
      <c r="A116">
        <v>6146</v>
      </c>
      <c r="B116" t="s">
        <v>438</v>
      </c>
      <c r="C116" s="40">
        <v>221109</v>
      </c>
      <c r="D116" s="40">
        <v>233551</v>
      </c>
      <c r="E116" s="40">
        <v>242199</v>
      </c>
      <c r="F116">
        <v>-5.32</v>
      </c>
      <c r="G116">
        <v>-8.6999999999999993</v>
      </c>
      <c r="H116" s="40">
        <v>454660</v>
      </c>
      <c r="I116" s="40">
        <v>487620</v>
      </c>
      <c r="J116">
        <v>-6.75</v>
      </c>
      <c r="K116">
        <v>0</v>
      </c>
    </row>
    <row r="117" spans="1:11" customFormat="1">
      <c r="A117">
        <v>6144</v>
      </c>
      <c r="B117" t="s">
        <v>4127</v>
      </c>
      <c r="C117" s="40">
        <v>55302</v>
      </c>
      <c r="D117" s="40">
        <v>61203</v>
      </c>
      <c r="E117" s="40">
        <v>61409</v>
      </c>
      <c r="F117">
        <v>-9.64</v>
      </c>
      <c r="G117">
        <v>-9.94</v>
      </c>
      <c r="H117" s="40">
        <v>116505</v>
      </c>
      <c r="I117" s="40">
        <v>119366</v>
      </c>
      <c r="J117">
        <v>-2.39</v>
      </c>
      <c r="K117">
        <v>0</v>
      </c>
    </row>
    <row r="118" spans="1:11" customFormat="1">
      <c r="A118">
        <v>6138</v>
      </c>
      <c r="B118" t="s">
        <v>3912</v>
      </c>
      <c r="C118" s="40">
        <v>232768</v>
      </c>
      <c r="D118" s="40">
        <v>344144</v>
      </c>
      <c r="E118" s="40">
        <v>211115</v>
      </c>
      <c r="F118">
        <v>-32.36</v>
      </c>
      <c r="G118">
        <v>10.25</v>
      </c>
      <c r="H118" s="40">
        <v>576912</v>
      </c>
      <c r="I118" s="40">
        <v>484309</v>
      </c>
      <c r="J118">
        <v>19.12</v>
      </c>
      <c r="K118">
        <v>0</v>
      </c>
    </row>
    <row r="119" spans="1:11" customFormat="1">
      <c r="A119">
        <v>6135</v>
      </c>
      <c r="B119" t="s">
        <v>4112</v>
      </c>
      <c r="C119" s="40">
        <v>23719</v>
      </c>
      <c r="D119" s="40">
        <v>4887</v>
      </c>
      <c r="E119" s="40">
        <v>366606</v>
      </c>
      <c r="F119">
        <v>385.34</v>
      </c>
      <c r="G119">
        <v>-93.53</v>
      </c>
      <c r="H119" s="40">
        <v>28606</v>
      </c>
      <c r="I119" s="40">
        <v>783330</v>
      </c>
      <c r="J119">
        <v>-96.34</v>
      </c>
      <c r="K119">
        <v>1</v>
      </c>
    </row>
    <row r="120" spans="1:11" customFormat="1">
      <c r="A120">
        <v>6129</v>
      </c>
      <c r="B120" t="s">
        <v>3762</v>
      </c>
      <c r="C120" s="40">
        <v>72223</v>
      </c>
      <c r="D120" s="40">
        <v>130612</v>
      </c>
      <c r="E120" s="40">
        <v>89279</v>
      </c>
      <c r="F120">
        <v>-44.7</v>
      </c>
      <c r="G120">
        <v>-19.100000000000001</v>
      </c>
      <c r="H120" s="40">
        <v>202835</v>
      </c>
      <c r="I120" s="40">
        <v>196889</v>
      </c>
      <c r="J120">
        <v>3.01</v>
      </c>
      <c r="K120">
        <v>0</v>
      </c>
    </row>
    <row r="121" spans="1:11" customFormat="1">
      <c r="A121">
        <v>6126</v>
      </c>
      <c r="B121" t="s">
        <v>3936</v>
      </c>
      <c r="C121" s="40">
        <v>158986</v>
      </c>
      <c r="D121" s="40">
        <v>232434</v>
      </c>
      <c r="E121" s="40">
        <v>184380</v>
      </c>
      <c r="F121">
        <v>-31.59</v>
      </c>
      <c r="G121">
        <v>-13.77</v>
      </c>
      <c r="H121" s="40">
        <v>391420</v>
      </c>
      <c r="I121" s="40">
        <v>446169</v>
      </c>
      <c r="J121">
        <v>-12.27</v>
      </c>
      <c r="K121">
        <v>0</v>
      </c>
    </row>
    <row r="122" spans="1:11" customFormat="1">
      <c r="A122">
        <v>6125</v>
      </c>
      <c r="B122" t="s">
        <v>436</v>
      </c>
      <c r="C122" s="40">
        <v>819444</v>
      </c>
      <c r="D122" s="40">
        <v>1053238</v>
      </c>
      <c r="E122" s="40">
        <v>778640</v>
      </c>
      <c r="F122">
        <v>-22.19</v>
      </c>
      <c r="G122">
        <v>5.24</v>
      </c>
      <c r="H122" s="40">
        <v>1872682</v>
      </c>
      <c r="I122" s="40">
        <v>1667086</v>
      </c>
      <c r="J122">
        <v>12.33</v>
      </c>
      <c r="K122">
        <v>0</v>
      </c>
    </row>
    <row r="123" spans="1:11" customFormat="1">
      <c r="A123">
        <v>6124</v>
      </c>
      <c r="B123" t="s">
        <v>3760</v>
      </c>
      <c r="C123" s="40">
        <v>77500</v>
      </c>
      <c r="D123" s="40">
        <v>177192</v>
      </c>
      <c r="E123" s="40">
        <v>82750</v>
      </c>
      <c r="F123">
        <v>-56.26</v>
      </c>
      <c r="G123">
        <v>-6.34</v>
      </c>
      <c r="H123" s="40">
        <v>254692</v>
      </c>
      <c r="I123" s="40">
        <v>277962</v>
      </c>
      <c r="J123">
        <v>-8.3699999999999992</v>
      </c>
      <c r="K123">
        <v>0</v>
      </c>
    </row>
    <row r="124" spans="1:11" customFormat="1">
      <c r="A124">
        <v>6123</v>
      </c>
      <c r="B124" t="s">
        <v>3923</v>
      </c>
      <c r="C124" s="40">
        <v>316335</v>
      </c>
      <c r="D124" s="40">
        <v>454660</v>
      </c>
      <c r="E124" s="40">
        <v>215686</v>
      </c>
      <c r="F124">
        <v>-30.42</v>
      </c>
      <c r="G124">
        <v>46.66</v>
      </c>
      <c r="H124" s="40">
        <v>770995</v>
      </c>
      <c r="I124" s="40">
        <v>477553</v>
      </c>
      <c r="J124">
        <v>61.44</v>
      </c>
      <c r="K124">
        <v>0</v>
      </c>
    </row>
    <row r="125" spans="1:11" customFormat="1">
      <c r="A125">
        <v>6121</v>
      </c>
      <c r="B125" t="s">
        <v>435</v>
      </c>
      <c r="C125" s="40">
        <v>3612225</v>
      </c>
      <c r="D125" s="40">
        <v>4906095</v>
      </c>
      <c r="E125" s="40">
        <v>4061928</v>
      </c>
      <c r="F125">
        <v>-26.37</v>
      </c>
      <c r="G125">
        <v>-11.07</v>
      </c>
      <c r="H125" s="40">
        <v>8518320</v>
      </c>
      <c r="I125" s="40">
        <v>9486032</v>
      </c>
      <c r="J125">
        <v>-10.199999999999999</v>
      </c>
      <c r="K125">
        <v>0</v>
      </c>
    </row>
    <row r="126" spans="1:11" customFormat="1">
      <c r="A126">
        <v>6109</v>
      </c>
      <c r="B126" t="s">
        <v>4103</v>
      </c>
      <c r="C126" s="40">
        <v>106691</v>
      </c>
      <c r="D126" s="40">
        <v>151833</v>
      </c>
      <c r="E126" s="40">
        <v>114174</v>
      </c>
      <c r="F126">
        <v>-29.73</v>
      </c>
      <c r="G126">
        <v>-6.55</v>
      </c>
      <c r="H126" s="40">
        <v>258524</v>
      </c>
      <c r="I126" s="40">
        <v>310913</v>
      </c>
      <c r="J126">
        <v>-16.850000000000001</v>
      </c>
      <c r="K126">
        <v>0</v>
      </c>
    </row>
    <row r="127" spans="1:11" customFormat="1">
      <c r="A127">
        <v>6104</v>
      </c>
      <c r="B127" t="s">
        <v>4090</v>
      </c>
      <c r="C127" s="40">
        <v>116242</v>
      </c>
      <c r="D127" s="40">
        <v>138363</v>
      </c>
      <c r="E127" s="40">
        <v>147833</v>
      </c>
      <c r="F127">
        <v>-15.98</v>
      </c>
      <c r="G127">
        <v>-21.36</v>
      </c>
      <c r="H127" s="40">
        <v>254605</v>
      </c>
      <c r="I127" s="40">
        <v>330853</v>
      </c>
      <c r="J127">
        <v>-23.04</v>
      </c>
      <c r="K127">
        <v>0</v>
      </c>
    </row>
    <row r="128" spans="1:11" customFormat="1">
      <c r="A128">
        <v>6103</v>
      </c>
      <c r="B128" t="s">
        <v>4089</v>
      </c>
      <c r="C128" s="40">
        <v>101027</v>
      </c>
      <c r="D128" s="40">
        <v>70752</v>
      </c>
      <c r="E128" s="40">
        <v>18356</v>
      </c>
      <c r="F128">
        <v>42.79</v>
      </c>
      <c r="G128">
        <v>450.37</v>
      </c>
      <c r="H128" s="40">
        <v>171779</v>
      </c>
      <c r="I128" s="40">
        <v>35137</v>
      </c>
      <c r="J128">
        <v>388.88</v>
      </c>
      <c r="K128">
        <v>1</v>
      </c>
    </row>
    <row r="129" spans="1:11" customFormat="1">
      <c r="A129">
        <v>6101</v>
      </c>
      <c r="B129" t="s">
        <v>1683</v>
      </c>
      <c r="C129" s="40">
        <v>7843</v>
      </c>
      <c r="D129" s="40">
        <v>6262</v>
      </c>
      <c r="E129" s="40">
        <v>38513</v>
      </c>
      <c r="F129">
        <v>25.24</v>
      </c>
      <c r="G129">
        <v>-79.63</v>
      </c>
      <c r="H129" s="40">
        <v>14104</v>
      </c>
      <c r="I129" s="40">
        <v>75934</v>
      </c>
      <c r="J129">
        <v>-81.42</v>
      </c>
      <c r="K129">
        <v>1</v>
      </c>
    </row>
    <row r="130" spans="1:11" customFormat="1">
      <c r="A130">
        <v>6026</v>
      </c>
      <c r="B130" t="s">
        <v>3378</v>
      </c>
      <c r="C130" s="40">
        <v>36159</v>
      </c>
      <c r="D130" s="40">
        <v>13762</v>
      </c>
      <c r="E130" s="40">
        <v>14664</v>
      </c>
      <c r="F130">
        <v>162.74</v>
      </c>
      <c r="G130">
        <v>146.58000000000001</v>
      </c>
      <c r="H130" s="40">
        <v>49921</v>
      </c>
      <c r="I130" s="40">
        <v>105749</v>
      </c>
      <c r="J130">
        <v>-52.79</v>
      </c>
      <c r="K130">
        <v>1</v>
      </c>
    </row>
    <row r="131" spans="1:11" customFormat="1">
      <c r="A131">
        <v>6023</v>
      </c>
      <c r="B131" t="s">
        <v>3963</v>
      </c>
      <c r="C131" s="40">
        <v>162664</v>
      </c>
      <c r="D131" s="40">
        <v>354068</v>
      </c>
      <c r="E131" s="40">
        <v>99424</v>
      </c>
      <c r="F131">
        <v>-54.05</v>
      </c>
      <c r="G131">
        <v>63.6</v>
      </c>
      <c r="H131" s="40">
        <v>516732</v>
      </c>
      <c r="I131" s="40">
        <v>324173</v>
      </c>
      <c r="J131">
        <v>59.4</v>
      </c>
      <c r="K131">
        <v>0</v>
      </c>
    </row>
    <row r="132" spans="1:11" customFormat="1">
      <c r="A132">
        <v>6022</v>
      </c>
      <c r="B132" t="s">
        <v>3354</v>
      </c>
      <c r="C132" s="40">
        <v>38572</v>
      </c>
      <c r="D132" s="40">
        <v>55814</v>
      </c>
      <c r="E132" s="40">
        <v>63877</v>
      </c>
      <c r="F132">
        <v>-30.89</v>
      </c>
      <c r="G132">
        <v>-39.61</v>
      </c>
      <c r="H132" s="40">
        <v>94386</v>
      </c>
      <c r="I132" s="40">
        <v>126195</v>
      </c>
      <c r="J132">
        <v>-25.2</v>
      </c>
      <c r="K132">
        <v>0</v>
      </c>
    </row>
    <row r="133" spans="1:11" customFormat="1">
      <c r="A133">
        <v>6020</v>
      </c>
      <c r="B133" t="s">
        <v>432</v>
      </c>
      <c r="C133" s="40">
        <v>9401</v>
      </c>
      <c r="D133" s="40">
        <v>26860</v>
      </c>
      <c r="E133" s="40">
        <v>9154</v>
      </c>
      <c r="F133">
        <v>-65</v>
      </c>
      <c r="G133">
        <v>2.69</v>
      </c>
      <c r="H133" s="40">
        <v>36261</v>
      </c>
      <c r="I133" s="40">
        <v>27537</v>
      </c>
      <c r="J133">
        <v>31.68</v>
      </c>
      <c r="K133">
        <v>0</v>
      </c>
    </row>
    <row r="134" spans="1:11" customFormat="1">
      <c r="A134">
        <v>6016</v>
      </c>
      <c r="B134" t="s">
        <v>3371</v>
      </c>
      <c r="C134" s="40">
        <v>155364</v>
      </c>
      <c r="D134" s="40">
        <v>171074</v>
      </c>
      <c r="E134" s="40">
        <v>132912</v>
      </c>
      <c r="F134">
        <v>-9.18</v>
      </c>
      <c r="G134">
        <v>16.89</v>
      </c>
      <c r="H134" s="40">
        <v>326438</v>
      </c>
      <c r="I134" s="40">
        <v>338860</v>
      </c>
      <c r="J134">
        <v>-3.66</v>
      </c>
      <c r="K134">
        <v>0</v>
      </c>
    </row>
    <row r="135" spans="1:11" customFormat="1">
      <c r="A135">
        <v>6015</v>
      </c>
      <c r="B135" t="s">
        <v>3367</v>
      </c>
      <c r="C135" s="40">
        <v>54430</v>
      </c>
      <c r="D135" s="40">
        <v>65017</v>
      </c>
      <c r="E135" s="40">
        <v>38333</v>
      </c>
      <c r="F135">
        <v>-16.28</v>
      </c>
      <c r="G135">
        <v>41.99</v>
      </c>
      <c r="H135" s="40">
        <v>119448</v>
      </c>
      <c r="I135" s="40">
        <v>96555</v>
      </c>
      <c r="J135">
        <v>23.7</v>
      </c>
      <c r="K135">
        <v>0</v>
      </c>
    </row>
    <row r="136" spans="1:11" customFormat="1">
      <c r="A136">
        <v>5904</v>
      </c>
      <c r="B136" t="s">
        <v>431</v>
      </c>
      <c r="C136" s="40">
        <v>1053992</v>
      </c>
      <c r="D136" s="40">
        <v>1057542</v>
      </c>
      <c r="E136" s="40">
        <v>868912</v>
      </c>
      <c r="F136">
        <v>-0.33</v>
      </c>
      <c r="G136">
        <v>21.3</v>
      </c>
      <c r="H136" s="40">
        <v>2111533</v>
      </c>
      <c r="I136" s="40">
        <v>1707111</v>
      </c>
      <c r="J136">
        <v>23.69</v>
      </c>
      <c r="K136">
        <v>0</v>
      </c>
    </row>
    <row r="137" spans="1:11" customFormat="1">
      <c r="A137">
        <v>5903</v>
      </c>
      <c r="B137" t="s">
        <v>4123</v>
      </c>
      <c r="C137" s="40">
        <v>4633364</v>
      </c>
      <c r="D137" s="40">
        <v>4754472</v>
      </c>
      <c r="E137" s="40">
        <v>4381436</v>
      </c>
      <c r="F137">
        <v>-2.54</v>
      </c>
      <c r="G137">
        <v>5.74</v>
      </c>
      <c r="H137" s="40">
        <v>9387836</v>
      </c>
      <c r="I137" s="40">
        <v>8842939</v>
      </c>
      <c r="J137">
        <v>6.16</v>
      </c>
      <c r="K137">
        <v>0</v>
      </c>
    </row>
    <row r="138" spans="1:11" customFormat="1">
      <c r="A138">
        <v>5820</v>
      </c>
      <c r="B138" t="s">
        <v>4121</v>
      </c>
      <c r="C138" s="40">
        <v>443950</v>
      </c>
      <c r="D138" s="40">
        <v>824578</v>
      </c>
      <c r="E138" s="40">
        <v>486928</v>
      </c>
      <c r="F138">
        <v>-46.16</v>
      </c>
      <c r="G138">
        <v>-8.82</v>
      </c>
      <c r="H138" s="40">
        <v>1268528</v>
      </c>
      <c r="I138" s="40">
        <v>1064698</v>
      </c>
      <c r="J138">
        <v>19.14</v>
      </c>
      <c r="K138">
        <v>0</v>
      </c>
    </row>
    <row r="139" spans="1:11" customFormat="1">
      <c r="A139">
        <v>5704</v>
      </c>
      <c r="B139" t="s">
        <v>3962</v>
      </c>
      <c r="C139" s="40">
        <v>38995</v>
      </c>
      <c r="D139" s="40">
        <v>30903</v>
      </c>
      <c r="E139" s="40">
        <v>45430</v>
      </c>
      <c r="F139">
        <v>26.18</v>
      </c>
      <c r="G139">
        <v>-14.16</v>
      </c>
      <c r="H139" s="40">
        <v>69898</v>
      </c>
      <c r="I139" s="40">
        <v>71477</v>
      </c>
      <c r="J139">
        <v>-2.2000000000000002</v>
      </c>
      <c r="K139">
        <v>1</v>
      </c>
    </row>
    <row r="140" spans="1:11" customFormat="1">
      <c r="A140">
        <v>5703</v>
      </c>
      <c r="B140" t="s">
        <v>4120</v>
      </c>
      <c r="C140" s="40">
        <v>82154</v>
      </c>
      <c r="D140" s="40">
        <v>92973</v>
      </c>
      <c r="E140" s="40">
        <v>89722</v>
      </c>
      <c r="F140">
        <v>-11.63</v>
      </c>
      <c r="G140">
        <v>-8.43</v>
      </c>
      <c r="H140" s="40">
        <v>175126</v>
      </c>
      <c r="I140" s="40">
        <v>171097</v>
      </c>
      <c r="J140">
        <v>2.35</v>
      </c>
      <c r="K140">
        <v>0</v>
      </c>
    </row>
    <row r="141" spans="1:11" customFormat="1">
      <c r="A141">
        <v>5701</v>
      </c>
      <c r="B141" t="s">
        <v>1673</v>
      </c>
      <c r="C141" s="40">
        <v>148321</v>
      </c>
      <c r="D141" s="40">
        <v>110989</v>
      </c>
      <c r="E141" s="40">
        <v>177081</v>
      </c>
      <c r="F141">
        <v>33.630000000000003</v>
      </c>
      <c r="G141">
        <v>-16.239999999999998</v>
      </c>
      <c r="H141" s="40">
        <v>259310</v>
      </c>
      <c r="I141" s="40">
        <v>300977</v>
      </c>
      <c r="J141">
        <v>-13.84</v>
      </c>
      <c r="K141">
        <v>1</v>
      </c>
    </row>
    <row r="142" spans="1:11" customFormat="1">
      <c r="A142">
        <v>5609</v>
      </c>
      <c r="B142" t="s">
        <v>428</v>
      </c>
      <c r="C142" s="40">
        <v>1086812</v>
      </c>
      <c r="D142" s="40">
        <v>1336720</v>
      </c>
      <c r="E142" s="40">
        <v>1089936</v>
      </c>
      <c r="F142">
        <v>-18.690000000000001</v>
      </c>
      <c r="G142">
        <v>-0.28000000000000003</v>
      </c>
      <c r="H142" s="40">
        <v>2423532</v>
      </c>
      <c r="I142" s="40">
        <v>2421293</v>
      </c>
      <c r="J142">
        <v>0.09</v>
      </c>
      <c r="K142">
        <v>0</v>
      </c>
    </row>
    <row r="143" spans="1:11" customFormat="1">
      <c r="A143">
        <v>5603</v>
      </c>
      <c r="B143" t="s">
        <v>427</v>
      </c>
      <c r="C143" s="40">
        <v>134625</v>
      </c>
      <c r="D143" s="40">
        <v>191535</v>
      </c>
      <c r="E143" s="40">
        <v>163265</v>
      </c>
      <c r="F143">
        <v>-29.71</v>
      </c>
      <c r="G143">
        <v>-17.54</v>
      </c>
      <c r="H143" s="40">
        <v>326160</v>
      </c>
      <c r="I143" s="40">
        <v>372055</v>
      </c>
      <c r="J143">
        <v>-12.33</v>
      </c>
      <c r="K143">
        <v>0</v>
      </c>
    </row>
    <row r="144" spans="1:11" customFormat="1">
      <c r="A144">
        <v>5601</v>
      </c>
      <c r="B144" t="s">
        <v>3960</v>
      </c>
      <c r="C144" s="40">
        <v>5986</v>
      </c>
      <c r="D144" s="40">
        <v>6303</v>
      </c>
      <c r="E144" s="40">
        <v>6042</v>
      </c>
      <c r="F144">
        <v>-5.0199999999999996</v>
      </c>
      <c r="G144">
        <v>-0.92</v>
      </c>
      <c r="H144" s="40">
        <v>12288</v>
      </c>
      <c r="I144" s="40">
        <v>12310</v>
      </c>
      <c r="J144">
        <v>-0.17</v>
      </c>
      <c r="K144">
        <v>0</v>
      </c>
    </row>
    <row r="145" spans="1:11" customFormat="1">
      <c r="A145">
        <v>5523</v>
      </c>
      <c r="B145" t="s">
        <v>425</v>
      </c>
      <c r="C145" s="40">
        <v>293</v>
      </c>
      <c r="D145" s="40">
        <v>297</v>
      </c>
      <c r="E145" s="40">
        <v>5</v>
      </c>
      <c r="F145">
        <v>-1.34</v>
      </c>
      <c r="G145" s="372">
        <v>5760</v>
      </c>
      <c r="H145" s="40">
        <v>590</v>
      </c>
      <c r="I145" s="40">
        <v>318</v>
      </c>
      <c r="J145">
        <v>85.53</v>
      </c>
      <c r="K145">
        <v>0</v>
      </c>
    </row>
    <row r="146" spans="1:11" customFormat="1">
      <c r="A146">
        <v>5520</v>
      </c>
      <c r="B146" t="s">
        <v>3959</v>
      </c>
      <c r="C146" s="40">
        <v>94356</v>
      </c>
      <c r="D146" s="40">
        <v>174676</v>
      </c>
      <c r="E146" s="40">
        <v>146295</v>
      </c>
      <c r="F146">
        <v>-45.98</v>
      </c>
      <c r="G146">
        <v>-35.5</v>
      </c>
      <c r="H146" s="40">
        <v>269032</v>
      </c>
      <c r="I146" s="40">
        <v>377192</v>
      </c>
      <c r="J146">
        <v>-28.67</v>
      </c>
      <c r="K146">
        <v>0</v>
      </c>
    </row>
    <row r="147" spans="1:11" customFormat="1">
      <c r="A147">
        <v>5516</v>
      </c>
      <c r="B147" t="s">
        <v>3958</v>
      </c>
      <c r="C147" s="40">
        <v>2392</v>
      </c>
      <c r="D147" s="40">
        <v>79691</v>
      </c>
      <c r="E147" s="40">
        <v>24998</v>
      </c>
      <c r="F147">
        <v>-96.99</v>
      </c>
      <c r="G147">
        <v>-90.43</v>
      </c>
      <c r="H147" s="40">
        <v>82083</v>
      </c>
      <c r="I147" s="40">
        <v>52159</v>
      </c>
      <c r="J147">
        <v>57.37</v>
      </c>
      <c r="K147">
        <v>0</v>
      </c>
    </row>
    <row r="148" spans="1:11" customFormat="1">
      <c r="A148">
        <v>5514</v>
      </c>
      <c r="B148" t="s">
        <v>4050</v>
      </c>
      <c r="C148" s="40">
        <v>520</v>
      </c>
      <c r="D148" s="40">
        <v>404</v>
      </c>
      <c r="E148" s="40">
        <v>377</v>
      </c>
      <c r="F148">
        <v>28.71</v>
      </c>
      <c r="G148">
        <v>37.93</v>
      </c>
      <c r="H148" s="40">
        <v>925</v>
      </c>
      <c r="I148" s="40">
        <v>749</v>
      </c>
      <c r="J148">
        <v>23.49</v>
      </c>
      <c r="K148">
        <v>1</v>
      </c>
    </row>
    <row r="149" spans="1:11" customFormat="1">
      <c r="A149">
        <v>5508</v>
      </c>
      <c r="B149" t="s">
        <v>3957</v>
      </c>
      <c r="C149" s="40">
        <v>37275</v>
      </c>
      <c r="D149" s="40">
        <v>24287</v>
      </c>
      <c r="E149" s="40">
        <v>196070</v>
      </c>
      <c r="F149">
        <v>53.47</v>
      </c>
      <c r="G149">
        <v>-80.98</v>
      </c>
      <c r="H149" s="40">
        <v>61562</v>
      </c>
      <c r="I149" s="40">
        <v>356075</v>
      </c>
      <c r="J149">
        <v>-82.71</v>
      </c>
      <c r="K149">
        <v>1</v>
      </c>
    </row>
    <row r="150" spans="1:11" customFormat="1">
      <c r="A150">
        <v>5493</v>
      </c>
      <c r="B150" t="s">
        <v>4117</v>
      </c>
      <c r="C150" s="40">
        <v>137958</v>
      </c>
      <c r="D150" s="40">
        <v>141453</v>
      </c>
      <c r="E150" s="40">
        <v>129242</v>
      </c>
      <c r="F150">
        <v>-2.4700000000000002</v>
      </c>
      <c r="G150">
        <v>6.74</v>
      </c>
      <c r="H150" s="40">
        <v>279412</v>
      </c>
      <c r="I150" s="40">
        <v>261864</v>
      </c>
      <c r="J150">
        <v>6.7</v>
      </c>
      <c r="K150">
        <v>0</v>
      </c>
    </row>
    <row r="151" spans="1:11" customFormat="1">
      <c r="A151">
        <v>5490</v>
      </c>
      <c r="B151" t="s">
        <v>423</v>
      </c>
      <c r="C151" s="40">
        <v>79942</v>
      </c>
      <c r="D151" s="40">
        <v>359681</v>
      </c>
      <c r="E151" s="40">
        <v>99526</v>
      </c>
      <c r="F151">
        <v>-77.77</v>
      </c>
      <c r="G151">
        <v>-19.670000000000002</v>
      </c>
      <c r="H151" s="40">
        <v>439623</v>
      </c>
      <c r="I151" s="40">
        <v>472243</v>
      </c>
      <c r="J151">
        <v>-6.9</v>
      </c>
      <c r="K151">
        <v>0</v>
      </c>
    </row>
    <row r="152" spans="1:11" customFormat="1">
      <c r="A152">
        <v>5487</v>
      </c>
      <c r="B152" t="s">
        <v>422</v>
      </c>
      <c r="C152" s="40">
        <v>14275</v>
      </c>
      <c r="D152" s="40">
        <v>31496</v>
      </c>
      <c r="E152" s="40">
        <v>13218</v>
      </c>
      <c r="F152">
        <v>-54.67</v>
      </c>
      <c r="G152">
        <v>7.99</v>
      </c>
      <c r="H152" s="40">
        <v>45771</v>
      </c>
      <c r="I152" s="40">
        <v>37330</v>
      </c>
      <c r="J152">
        <v>22.61</v>
      </c>
      <c r="K152">
        <v>0</v>
      </c>
    </row>
    <row r="153" spans="1:11" customFormat="1">
      <c r="A153">
        <v>5483</v>
      </c>
      <c r="B153" t="s">
        <v>3911</v>
      </c>
      <c r="C153" s="40">
        <v>2276666</v>
      </c>
      <c r="D153" s="40">
        <v>2372490</v>
      </c>
      <c r="E153" s="40">
        <v>2131089</v>
      </c>
      <c r="F153">
        <v>-4.03</v>
      </c>
      <c r="G153">
        <v>6.83</v>
      </c>
      <c r="H153" s="40">
        <v>4649156</v>
      </c>
      <c r="I153" s="40">
        <v>4523364</v>
      </c>
      <c r="J153">
        <v>2.78</v>
      </c>
      <c r="K153">
        <v>0</v>
      </c>
    </row>
    <row r="154" spans="1:11" customFormat="1">
      <c r="A154">
        <v>5481</v>
      </c>
      <c r="B154" t="s">
        <v>3935</v>
      </c>
      <c r="C154" s="40">
        <v>866</v>
      </c>
      <c r="D154" s="40">
        <v>-196</v>
      </c>
      <c r="E154" s="40">
        <v>11243</v>
      </c>
      <c r="F154">
        <v>541.83000000000004</v>
      </c>
      <c r="G154">
        <v>-92.29</v>
      </c>
      <c r="H154" s="40">
        <v>670</v>
      </c>
      <c r="I154" s="40">
        <v>28091</v>
      </c>
      <c r="J154">
        <v>-97.61</v>
      </c>
      <c r="K154">
        <v>1</v>
      </c>
    </row>
    <row r="155" spans="1:11" customFormat="1">
      <c r="A155">
        <v>5475</v>
      </c>
      <c r="B155" t="s">
        <v>1962</v>
      </c>
      <c r="C155" s="40">
        <v>157987</v>
      </c>
      <c r="D155" s="40">
        <v>182918</v>
      </c>
      <c r="E155" s="40">
        <v>204209</v>
      </c>
      <c r="F155">
        <v>-13.62</v>
      </c>
      <c r="G155">
        <v>-22.63</v>
      </c>
      <c r="H155" s="40">
        <v>340906</v>
      </c>
      <c r="I155" s="40">
        <v>441408</v>
      </c>
      <c r="J155">
        <v>-22.76</v>
      </c>
      <c r="K155">
        <v>0</v>
      </c>
    </row>
    <row r="156" spans="1:11" customFormat="1">
      <c r="A156">
        <v>5468</v>
      </c>
      <c r="B156" t="s">
        <v>420</v>
      </c>
      <c r="C156" s="40">
        <v>11626</v>
      </c>
      <c r="D156" s="40">
        <v>16422</v>
      </c>
      <c r="E156" s="40">
        <v>35489</v>
      </c>
      <c r="F156">
        <v>-29.2</v>
      </c>
      <c r="G156">
        <v>-67.239999999999995</v>
      </c>
      <c r="H156" s="40">
        <v>28048</v>
      </c>
      <c r="I156" s="40">
        <v>77008</v>
      </c>
      <c r="J156">
        <v>-63.57</v>
      </c>
      <c r="K156">
        <v>0</v>
      </c>
    </row>
    <row r="157" spans="1:11" customFormat="1">
      <c r="A157">
        <v>5464</v>
      </c>
      <c r="B157" t="s">
        <v>3934</v>
      </c>
      <c r="C157" s="40">
        <v>80607</v>
      </c>
      <c r="D157" s="40">
        <v>104868</v>
      </c>
      <c r="E157" s="40">
        <v>113306</v>
      </c>
      <c r="F157">
        <v>-23.13</v>
      </c>
      <c r="G157">
        <v>-28.85</v>
      </c>
      <c r="H157" s="40">
        <v>185476</v>
      </c>
      <c r="I157" s="40">
        <v>256776</v>
      </c>
      <c r="J157">
        <v>-27.76</v>
      </c>
      <c r="K157">
        <v>0</v>
      </c>
    </row>
    <row r="158" spans="1:11" customFormat="1">
      <c r="A158">
        <v>5460</v>
      </c>
      <c r="B158" t="s">
        <v>4109</v>
      </c>
      <c r="C158" s="40">
        <v>55667</v>
      </c>
      <c r="D158" s="40">
        <v>72573</v>
      </c>
      <c r="E158" s="40">
        <v>82101</v>
      </c>
      <c r="F158">
        <v>-23.29</v>
      </c>
      <c r="G158">
        <v>-32.19</v>
      </c>
      <c r="H158" s="40">
        <v>128240</v>
      </c>
      <c r="I158" s="40">
        <v>166896</v>
      </c>
      <c r="J158">
        <v>-23.16</v>
      </c>
      <c r="K158">
        <v>0</v>
      </c>
    </row>
    <row r="159" spans="1:11" customFormat="1">
      <c r="A159">
        <v>5457</v>
      </c>
      <c r="B159" t="s">
        <v>418</v>
      </c>
      <c r="C159" s="40">
        <v>161187</v>
      </c>
      <c r="D159" s="40">
        <v>181066</v>
      </c>
      <c r="E159" s="40">
        <v>144135</v>
      </c>
      <c r="F159">
        <v>-10.97</v>
      </c>
      <c r="G159">
        <v>11.83</v>
      </c>
      <c r="H159" s="40">
        <v>342253</v>
      </c>
      <c r="I159" s="40">
        <v>345426</v>
      </c>
      <c r="J159">
        <v>-0.91</v>
      </c>
      <c r="K159">
        <v>0</v>
      </c>
    </row>
    <row r="160" spans="1:11" customFormat="1">
      <c r="A160">
        <v>5450</v>
      </c>
      <c r="B160" t="s">
        <v>415</v>
      </c>
      <c r="C160" s="40">
        <v>46487</v>
      </c>
      <c r="D160" s="40">
        <v>90547</v>
      </c>
      <c r="E160" s="40">
        <v>44027</v>
      </c>
      <c r="F160">
        <v>-48.65</v>
      </c>
      <c r="G160">
        <v>5.58</v>
      </c>
      <c r="H160" s="40">
        <v>137035</v>
      </c>
      <c r="I160" s="40">
        <v>119212</v>
      </c>
      <c r="J160">
        <v>14.95</v>
      </c>
      <c r="K160">
        <v>0</v>
      </c>
    </row>
    <row r="161" spans="1:11" customFormat="1">
      <c r="A161">
        <v>5443</v>
      </c>
      <c r="B161" t="s">
        <v>4097</v>
      </c>
      <c r="C161" s="40">
        <v>199780</v>
      </c>
      <c r="D161" s="40">
        <v>191043</v>
      </c>
      <c r="E161" s="40">
        <v>206894</v>
      </c>
      <c r="F161">
        <v>4.57</v>
      </c>
      <c r="G161">
        <v>-3.43</v>
      </c>
      <c r="H161" s="40">
        <v>390823</v>
      </c>
      <c r="I161" s="40">
        <v>383235</v>
      </c>
      <c r="J161">
        <v>1.97</v>
      </c>
      <c r="K161">
        <v>0</v>
      </c>
    </row>
    <row r="162" spans="1:11" customFormat="1">
      <c r="A162">
        <v>5438</v>
      </c>
      <c r="B162" t="s">
        <v>3922</v>
      </c>
      <c r="C162" s="40">
        <v>143778</v>
      </c>
      <c r="D162" s="40">
        <v>223413</v>
      </c>
      <c r="E162" s="40">
        <v>108711</v>
      </c>
      <c r="F162">
        <v>-35.64</v>
      </c>
      <c r="G162">
        <v>32.25</v>
      </c>
      <c r="H162" s="40">
        <v>367190</v>
      </c>
      <c r="I162" s="40">
        <v>198563</v>
      </c>
      <c r="J162">
        <v>84.92</v>
      </c>
      <c r="K162">
        <v>0</v>
      </c>
    </row>
    <row r="163" spans="1:11" customFormat="1">
      <c r="A163">
        <v>5432</v>
      </c>
      <c r="B163" t="s">
        <v>3926</v>
      </c>
      <c r="C163" s="40">
        <v>11771</v>
      </c>
      <c r="D163" s="40">
        <v>11837</v>
      </c>
      <c r="E163" s="40">
        <v>9874</v>
      </c>
      <c r="F163">
        <v>-0.55000000000000004</v>
      </c>
      <c r="G163">
        <v>19.21</v>
      </c>
      <c r="H163" s="40">
        <v>23608</v>
      </c>
      <c r="I163" s="40">
        <v>24107</v>
      </c>
      <c r="J163">
        <v>-2.06</v>
      </c>
      <c r="K163">
        <v>0</v>
      </c>
    </row>
    <row r="164" spans="1:11" customFormat="1">
      <c r="A164">
        <v>5426</v>
      </c>
      <c r="B164" t="s">
        <v>413</v>
      </c>
      <c r="C164" s="40">
        <v>111212</v>
      </c>
      <c r="D164" s="40">
        <v>116547</v>
      </c>
      <c r="E164" s="40">
        <v>124418</v>
      </c>
      <c r="F164">
        <v>-4.57</v>
      </c>
      <c r="G164">
        <v>-10.61</v>
      </c>
      <c r="H164" s="40">
        <v>227759</v>
      </c>
      <c r="I164" s="40">
        <v>281120</v>
      </c>
      <c r="J164">
        <v>-18.98</v>
      </c>
      <c r="K164">
        <v>0</v>
      </c>
    </row>
    <row r="165" spans="1:11" customFormat="1">
      <c r="A165">
        <v>5403</v>
      </c>
      <c r="B165" t="s">
        <v>3950</v>
      </c>
      <c r="C165" s="40">
        <v>111868</v>
      </c>
      <c r="D165" s="40">
        <v>132266</v>
      </c>
      <c r="E165" s="40">
        <v>76945</v>
      </c>
      <c r="F165">
        <v>-15.42</v>
      </c>
      <c r="G165">
        <v>45.38</v>
      </c>
      <c r="H165" s="40">
        <v>244135</v>
      </c>
      <c r="I165" s="40">
        <v>196097</v>
      </c>
      <c r="J165">
        <v>24.49</v>
      </c>
      <c r="K165">
        <v>0</v>
      </c>
    </row>
    <row r="166" spans="1:11" customFormat="1">
      <c r="A166">
        <v>5398</v>
      </c>
      <c r="B166" t="s">
        <v>411</v>
      </c>
      <c r="C166" s="40">
        <v>8681</v>
      </c>
      <c r="D166" s="40">
        <v>22303</v>
      </c>
      <c r="E166" s="40">
        <v>13534</v>
      </c>
      <c r="F166">
        <v>-61.07</v>
      </c>
      <c r="G166">
        <v>-35.85</v>
      </c>
      <c r="H166" s="40">
        <v>30984</v>
      </c>
      <c r="I166" s="40">
        <v>41130</v>
      </c>
      <c r="J166">
        <v>-24.66</v>
      </c>
      <c r="K166">
        <v>0</v>
      </c>
    </row>
    <row r="167" spans="1:11" customFormat="1">
      <c r="A167">
        <v>5395</v>
      </c>
      <c r="B167" t="s">
        <v>4119</v>
      </c>
      <c r="C167" s="40">
        <v>82850</v>
      </c>
      <c r="D167" s="40">
        <v>85579</v>
      </c>
      <c r="E167" s="40">
        <v>79895</v>
      </c>
      <c r="F167">
        <v>-3.18</v>
      </c>
      <c r="G167">
        <v>3.69</v>
      </c>
      <c r="H167" s="40">
        <v>168429</v>
      </c>
      <c r="I167" s="40">
        <v>147791</v>
      </c>
      <c r="J167">
        <v>13.96</v>
      </c>
      <c r="K167">
        <v>0</v>
      </c>
    </row>
    <row r="168" spans="1:11" customFormat="1">
      <c r="A168">
        <v>5392</v>
      </c>
      <c r="B168" t="s">
        <v>1983</v>
      </c>
      <c r="C168" s="40">
        <v>426987</v>
      </c>
      <c r="D168" s="40">
        <v>594210</v>
      </c>
      <c r="E168" s="40">
        <v>215581</v>
      </c>
      <c r="F168">
        <v>-28.14</v>
      </c>
      <c r="G168">
        <v>98.06</v>
      </c>
      <c r="H168" s="40">
        <v>1021197</v>
      </c>
      <c r="I168" s="40">
        <v>591693</v>
      </c>
      <c r="J168">
        <v>72.58</v>
      </c>
      <c r="K168">
        <v>0</v>
      </c>
    </row>
    <row r="169" spans="1:11" customFormat="1">
      <c r="A169">
        <v>5386</v>
      </c>
      <c r="B169" t="s">
        <v>3921</v>
      </c>
      <c r="C169" s="40">
        <v>65321</v>
      </c>
      <c r="D169" s="40">
        <v>74223</v>
      </c>
      <c r="E169" s="40">
        <v>89417</v>
      </c>
      <c r="F169">
        <v>-11.99</v>
      </c>
      <c r="G169">
        <v>-26.94</v>
      </c>
      <c r="H169" s="40">
        <v>139544</v>
      </c>
      <c r="I169" s="40">
        <v>590811</v>
      </c>
      <c r="J169">
        <v>-76.38</v>
      </c>
      <c r="K169">
        <v>0</v>
      </c>
    </row>
    <row r="170" spans="1:11" customFormat="1">
      <c r="A170">
        <v>5383</v>
      </c>
      <c r="B170" t="s">
        <v>3954</v>
      </c>
      <c r="C170" s="40">
        <v>59646</v>
      </c>
      <c r="D170" s="40">
        <v>78367</v>
      </c>
      <c r="E170" s="40">
        <v>56463</v>
      </c>
      <c r="F170">
        <v>-23.88</v>
      </c>
      <c r="G170">
        <v>5.63</v>
      </c>
      <c r="H170" s="40">
        <v>138013</v>
      </c>
      <c r="I170" s="40">
        <v>130293</v>
      </c>
      <c r="J170">
        <v>5.92</v>
      </c>
      <c r="K170">
        <v>0</v>
      </c>
    </row>
    <row r="171" spans="1:11" customFormat="1">
      <c r="A171">
        <v>5356</v>
      </c>
      <c r="B171" t="s">
        <v>3920</v>
      </c>
      <c r="C171" s="40">
        <v>699533</v>
      </c>
      <c r="D171" s="40">
        <v>669342</v>
      </c>
      <c r="E171" s="40">
        <v>759578</v>
      </c>
      <c r="F171">
        <v>4.51</v>
      </c>
      <c r="G171">
        <v>-7.9</v>
      </c>
      <c r="H171" s="40">
        <v>1368837</v>
      </c>
      <c r="I171" s="40">
        <v>1551041</v>
      </c>
      <c r="J171">
        <v>-11.74</v>
      </c>
      <c r="K171">
        <v>0</v>
      </c>
    </row>
    <row r="172" spans="1:11" customFormat="1">
      <c r="A172">
        <v>5351</v>
      </c>
      <c r="B172" t="s">
        <v>4088</v>
      </c>
      <c r="C172" s="40">
        <v>497968</v>
      </c>
      <c r="D172" s="40">
        <v>581104</v>
      </c>
      <c r="E172" s="40">
        <v>609438</v>
      </c>
      <c r="F172">
        <v>-14.3</v>
      </c>
      <c r="G172">
        <v>-18.29</v>
      </c>
      <c r="H172" s="40">
        <v>1079072</v>
      </c>
      <c r="I172" s="40">
        <v>1269046</v>
      </c>
      <c r="J172">
        <v>-14.96</v>
      </c>
      <c r="K172">
        <v>0</v>
      </c>
    </row>
    <row r="173" spans="1:11" customFormat="1">
      <c r="A173">
        <v>5349</v>
      </c>
      <c r="B173" t="s">
        <v>3933</v>
      </c>
      <c r="C173" s="40">
        <v>548469</v>
      </c>
      <c r="D173" s="40">
        <v>654970</v>
      </c>
      <c r="E173" s="40">
        <v>680246</v>
      </c>
      <c r="F173">
        <v>-16.260000000000002</v>
      </c>
      <c r="G173">
        <v>-19.37</v>
      </c>
      <c r="H173" s="40">
        <v>1203439</v>
      </c>
      <c r="I173" s="40">
        <v>1507106</v>
      </c>
      <c r="J173">
        <v>-20.14</v>
      </c>
      <c r="K173">
        <v>0</v>
      </c>
    </row>
    <row r="174" spans="1:11" customFormat="1">
      <c r="A174">
        <v>5348</v>
      </c>
      <c r="B174" t="s">
        <v>4102</v>
      </c>
      <c r="C174" s="40">
        <v>11503</v>
      </c>
      <c r="D174" s="40">
        <v>12072</v>
      </c>
      <c r="E174" s="40">
        <v>10571</v>
      </c>
      <c r="F174">
        <v>-4.71</v>
      </c>
      <c r="G174">
        <v>8.81</v>
      </c>
      <c r="H174" s="40">
        <v>23575</v>
      </c>
      <c r="I174" s="40">
        <v>37055</v>
      </c>
      <c r="J174">
        <v>-36.369999999999997</v>
      </c>
      <c r="K174">
        <v>0</v>
      </c>
    </row>
    <row r="175" spans="1:11" customFormat="1">
      <c r="A175">
        <v>5347</v>
      </c>
      <c r="B175" t="s">
        <v>406</v>
      </c>
      <c r="C175" s="40">
        <v>2022455</v>
      </c>
      <c r="D175" s="40">
        <v>2011577</v>
      </c>
      <c r="E175" s="40">
        <v>2006514</v>
      </c>
      <c r="F175">
        <v>0.54</v>
      </c>
      <c r="G175">
        <v>0.79</v>
      </c>
      <c r="H175" s="40">
        <v>4034032</v>
      </c>
      <c r="I175" s="40">
        <v>4094930</v>
      </c>
      <c r="J175">
        <v>-1.48</v>
      </c>
      <c r="K175">
        <v>0</v>
      </c>
    </row>
    <row r="176" spans="1:11" customFormat="1">
      <c r="A176">
        <v>5345</v>
      </c>
      <c r="B176" t="s">
        <v>405</v>
      </c>
      <c r="C176" s="40">
        <v>6924</v>
      </c>
      <c r="D176" s="40">
        <v>10800</v>
      </c>
      <c r="E176" s="40">
        <v>6304</v>
      </c>
      <c r="F176">
        <v>-35.880000000000003</v>
      </c>
      <c r="G176">
        <v>9.83</v>
      </c>
      <c r="H176" s="40">
        <v>17725</v>
      </c>
      <c r="I176" s="40">
        <v>22171</v>
      </c>
      <c r="J176">
        <v>-20.05</v>
      </c>
      <c r="K176">
        <v>0</v>
      </c>
    </row>
    <row r="177" spans="1:11" customFormat="1">
      <c r="A177">
        <v>5321</v>
      </c>
      <c r="B177" t="s">
        <v>4108</v>
      </c>
      <c r="C177" s="40">
        <v>51878</v>
      </c>
      <c r="D177" s="40">
        <v>74591</v>
      </c>
      <c r="E177" s="40">
        <v>81698</v>
      </c>
      <c r="F177">
        <v>-30.45</v>
      </c>
      <c r="G177">
        <v>-36.5</v>
      </c>
      <c r="H177" s="40">
        <v>126469</v>
      </c>
      <c r="I177" s="40">
        <v>202073</v>
      </c>
      <c r="J177">
        <v>-37.409999999999997</v>
      </c>
      <c r="K177">
        <v>0</v>
      </c>
    </row>
    <row r="178" spans="1:11" customFormat="1">
      <c r="A178">
        <v>5317</v>
      </c>
      <c r="B178" t="s">
        <v>403</v>
      </c>
      <c r="C178" s="40">
        <v>83275</v>
      </c>
      <c r="D178" s="40">
        <v>143258</v>
      </c>
      <c r="E178" s="40">
        <v>99232</v>
      </c>
      <c r="F178">
        <v>-41.87</v>
      </c>
      <c r="G178">
        <v>-16.079999999999998</v>
      </c>
      <c r="H178" s="40">
        <v>226533</v>
      </c>
      <c r="I178" s="40">
        <v>246116</v>
      </c>
      <c r="J178">
        <v>-7.95</v>
      </c>
      <c r="K178">
        <v>0</v>
      </c>
    </row>
    <row r="179" spans="1:11" customFormat="1">
      <c r="A179">
        <v>5315</v>
      </c>
      <c r="B179" t="s">
        <v>3742</v>
      </c>
      <c r="C179" s="40">
        <v>192894</v>
      </c>
      <c r="D179" s="40">
        <v>230045</v>
      </c>
      <c r="E179" s="40">
        <v>173138</v>
      </c>
      <c r="F179">
        <v>-16.14</v>
      </c>
      <c r="G179">
        <v>11.41</v>
      </c>
      <c r="H179" s="40">
        <v>422939</v>
      </c>
      <c r="I179" s="40">
        <v>402913</v>
      </c>
      <c r="J179">
        <v>4.97</v>
      </c>
      <c r="K179">
        <v>0</v>
      </c>
    </row>
    <row r="180" spans="1:11" customFormat="1">
      <c r="A180">
        <v>5314</v>
      </c>
      <c r="B180" t="s">
        <v>4087</v>
      </c>
      <c r="C180" s="40">
        <v>14828</v>
      </c>
      <c r="D180" s="40">
        <v>15778</v>
      </c>
      <c r="E180" s="40">
        <v>10784</v>
      </c>
      <c r="F180">
        <v>-6.02</v>
      </c>
      <c r="G180">
        <v>37.5</v>
      </c>
      <c r="H180" s="40">
        <v>30606</v>
      </c>
      <c r="I180" s="40">
        <v>21597</v>
      </c>
      <c r="J180">
        <v>41.71</v>
      </c>
      <c r="K180">
        <v>0</v>
      </c>
    </row>
    <row r="181" spans="1:11" customFormat="1">
      <c r="A181">
        <v>5312</v>
      </c>
      <c r="B181" t="s">
        <v>402</v>
      </c>
      <c r="C181" s="40">
        <v>228656</v>
      </c>
      <c r="D181" s="40">
        <v>203098</v>
      </c>
      <c r="E181" s="40">
        <v>206539</v>
      </c>
      <c r="F181">
        <v>12.58</v>
      </c>
      <c r="G181">
        <v>10.7</v>
      </c>
      <c r="H181" s="40">
        <v>431754</v>
      </c>
      <c r="I181" s="40">
        <v>412143</v>
      </c>
      <c r="J181">
        <v>4.75</v>
      </c>
      <c r="K181">
        <v>1</v>
      </c>
    </row>
    <row r="182" spans="1:11" customFormat="1">
      <c r="A182">
        <v>5304</v>
      </c>
      <c r="B182" t="s">
        <v>401</v>
      </c>
      <c r="C182" s="40">
        <v>48049</v>
      </c>
      <c r="D182" s="40">
        <v>61362</v>
      </c>
      <c r="E182" s="40">
        <v>57471</v>
      </c>
      <c r="F182">
        <v>-21.69</v>
      </c>
      <c r="G182">
        <v>-16.39</v>
      </c>
      <c r="H182" s="40">
        <v>109411</v>
      </c>
      <c r="I182" s="40">
        <v>119814</v>
      </c>
      <c r="J182">
        <v>-8.68</v>
      </c>
      <c r="K182">
        <v>0</v>
      </c>
    </row>
    <row r="183" spans="1:11" customFormat="1">
      <c r="A183">
        <v>5302</v>
      </c>
      <c r="B183" t="s">
        <v>400</v>
      </c>
      <c r="C183" s="40">
        <v>2789</v>
      </c>
      <c r="D183" s="40">
        <v>16543</v>
      </c>
      <c r="E183" s="40">
        <v>3491</v>
      </c>
      <c r="F183">
        <v>-83.14</v>
      </c>
      <c r="G183">
        <v>-20.100000000000001</v>
      </c>
      <c r="H183" s="40">
        <v>19332</v>
      </c>
      <c r="I183" s="40">
        <v>18923</v>
      </c>
      <c r="J183">
        <v>2.16</v>
      </c>
      <c r="K183">
        <v>0</v>
      </c>
    </row>
    <row r="184" spans="1:11" customFormat="1">
      <c r="A184">
        <v>5289</v>
      </c>
      <c r="B184" t="s">
        <v>2337</v>
      </c>
      <c r="C184" s="40">
        <v>289033</v>
      </c>
      <c r="D184" s="40">
        <v>380877</v>
      </c>
      <c r="E184" s="40">
        <v>260854</v>
      </c>
      <c r="F184">
        <v>-24.11</v>
      </c>
      <c r="G184">
        <v>10.8</v>
      </c>
      <c r="H184" s="40">
        <v>669910</v>
      </c>
      <c r="I184" s="40">
        <v>622417</v>
      </c>
      <c r="J184">
        <v>7.63</v>
      </c>
      <c r="K184">
        <v>0</v>
      </c>
    </row>
    <row r="185" spans="1:11" customFormat="1">
      <c r="A185">
        <v>5278</v>
      </c>
      <c r="B185" t="s">
        <v>396</v>
      </c>
      <c r="C185" s="40">
        <v>26196</v>
      </c>
      <c r="D185" s="40">
        <v>24457</v>
      </c>
      <c r="E185" s="40">
        <v>17781</v>
      </c>
      <c r="F185">
        <v>7.11</v>
      </c>
      <c r="G185">
        <v>47.32</v>
      </c>
      <c r="H185" s="40">
        <v>50653</v>
      </c>
      <c r="I185" s="40">
        <v>35395</v>
      </c>
      <c r="J185">
        <v>43.1</v>
      </c>
      <c r="K185">
        <v>0</v>
      </c>
    </row>
    <row r="186" spans="1:11" customFormat="1">
      <c r="A186">
        <v>5274</v>
      </c>
      <c r="B186" t="s">
        <v>3910</v>
      </c>
      <c r="C186" s="40">
        <v>80030</v>
      </c>
      <c r="D186" s="40">
        <v>101138</v>
      </c>
      <c r="E186" s="40">
        <v>75686</v>
      </c>
      <c r="F186">
        <v>-20.87</v>
      </c>
      <c r="G186">
        <v>5.73</v>
      </c>
      <c r="H186" s="40">
        <v>181168</v>
      </c>
      <c r="I186" s="40">
        <v>176118</v>
      </c>
      <c r="J186">
        <v>2.86</v>
      </c>
      <c r="K186">
        <v>0</v>
      </c>
    </row>
    <row r="187" spans="1:11" customFormat="1">
      <c r="A187">
        <v>5251</v>
      </c>
      <c r="B187" t="s">
        <v>393</v>
      </c>
      <c r="C187" s="40">
        <v>57335</v>
      </c>
      <c r="D187" s="40">
        <v>71457</v>
      </c>
      <c r="E187" s="40">
        <v>77552</v>
      </c>
      <c r="F187">
        <v>-19.760000000000002</v>
      </c>
      <c r="G187">
        <v>-26.06</v>
      </c>
      <c r="H187" s="40">
        <v>128792</v>
      </c>
      <c r="I187" s="40">
        <v>166075</v>
      </c>
      <c r="J187">
        <v>-22.44</v>
      </c>
      <c r="K187">
        <v>0</v>
      </c>
    </row>
    <row r="188" spans="1:11" customFormat="1">
      <c r="A188">
        <v>5245</v>
      </c>
      <c r="B188" t="s">
        <v>392</v>
      </c>
      <c r="C188" s="40">
        <v>135251</v>
      </c>
      <c r="D188" s="40">
        <v>148590</v>
      </c>
      <c r="E188" s="40">
        <v>64090</v>
      </c>
      <c r="F188">
        <v>-8.9700000000000006</v>
      </c>
      <c r="G188">
        <v>111.03</v>
      </c>
      <c r="H188" s="40">
        <v>283841</v>
      </c>
      <c r="I188" s="40">
        <v>153824</v>
      </c>
      <c r="J188">
        <v>84.52</v>
      </c>
      <c r="K188">
        <v>0</v>
      </c>
    </row>
    <row r="189" spans="1:11" customFormat="1">
      <c r="A189">
        <v>5230</v>
      </c>
      <c r="B189" t="s">
        <v>391</v>
      </c>
      <c r="C189" s="40">
        <v>66301</v>
      </c>
      <c r="D189" s="40">
        <v>113005</v>
      </c>
      <c r="E189" s="40">
        <v>63727</v>
      </c>
      <c r="F189">
        <v>-41.32</v>
      </c>
      <c r="G189">
        <v>4.03</v>
      </c>
      <c r="H189" s="40">
        <v>179306</v>
      </c>
      <c r="I189" s="40">
        <v>172114</v>
      </c>
      <c r="J189">
        <v>4.17</v>
      </c>
      <c r="K189">
        <v>0</v>
      </c>
    </row>
    <row r="190" spans="1:11" customFormat="1">
      <c r="A190">
        <v>5211</v>
      </c>
      <c r="B190" t="s">
        <v>390</v>
      </c>
      <c r="C190" s="40">
        <v>22180</v>
      </c>
      <c r="D190" s="40">
        <v>22451</v>
      </c>
      <c r="E190" s="40">
        <v>21872</v>
      </c>
      <c r="F190">
        <v>-1.2</v>
      </c>
      <c r="G190">
        <v>1.4</v>
      </c>
      <c r="H190" s="40">
        <v>44631</v>
      </c>
      <c r="I190" s="40">
        <v>43479</v>
      </c>
      <c r="J190">
        <v>2.64</v>
      </c>
      <c r="K190">
        <v>0</v>
      </c>
    </row>
    <row r="191" spans="1:11" customFormat="1">
      <c r="A191">
        <v>5206</v>
      </c>
      <c r="B191" t="s">
        <v>388</v>
      </c>
      <c r="C191" s="40">
        <v>-164</v>
      </c>
      <c r="D191" s="40">
        <v>38148</v>
      </c>
      <c r="E191" s="40">
        <v>17336</v>
      </c>
      <c r="F191">
        <v>-100.42</v>
      </c>
      <c r="G191">
        <v>-100.94</v>
      </c>
      <c r="H191" s="40">
        <v>37984</v>
      </c>
      <c r="I191" s="40">
        <v>18417</v>
      </c>
      <c r="J191">
        <v>106.24</v>
      </c>
      <c r="K191">
        <v>0</v>
      </c>
    </row>
    <row r="192" spans="1:11" customFormat="1">
      <c r="A192">
        <v>5201</v>
      </c>
      <c r="B192" t="s">
        <v>3949</v>
      </c>
      <c r="C192" s="40">
        <v>12297</v>
      </c>
      <c r="D192" s="40">
        <v>14778</v>
      </c>
      <c r="E192" s="40">
        <v>22206</v>
      </c>
      <c r="F192">
        <v>-16.78</v>
      </c>
      <c r="G192">
        <v>-44.62</v>
      </c>
      <c r="H192" s="40">
        <v>27075</v>
      </c>
      <c r="I192" s="40">
        <v>55059</v>
      </c>
      <c r="J192">
        <v>-50.82</v>
      </c>
      <c r="K192">
        <v>0</v>
      </c>
    </row>
    <row r="193" spans="1:11" customFormat="1">
      <c r="A193">
        <v>5015</v>
      </c>
      <c r="B193" t="s">
        <v>386</v>
      </c>
      <c r="C193" s="40">
        <v>162386</v>
      </c>
      <c r="D193" s="40">
        <v>172951</v>
      </c>
      <c r="E193" s="40">
        <v>117412</v>
      </c>
      <c r="F193">
        <v>-6.1</v>
      </c>
      <c r="G193">
        <v>38.299999999999997</v>
      </c>
      <c r="H193" s="40">
        <v>335337</v>
      </c>
      <c r="I193" s="40">
        <v>303685</v>
      </c>
      <c r="J193">
        <v>10.42</v>
      </c>
      <c r="K193">
        <v>0</v>
      </c>
    </row>
    <row r="194" spans="1:11" customFormat="1">
      <c r="A194">
        <v>5013</v>
      </c>
      <c r="B194" t="s">
        <v>3901</v>
      </c>
      <c r="C194" s="40">
        <v>312329</v>
      </c>
      <c r="D194" s="40">
        <v>482320</v>
      </c>
      <c r="E194" s="40">
        <v>324454</v>
      </c>
      <c r="F194">
        <v>-35.24</v>
      </c>
      <c r="G194">
        <v>-3.73</v>
      </c>
      <c r="H194" s="40">
        <v>794649</v>
      </c>
      <c r="I194" s="40">
        <v>803262</v>
      </c>
      <c r="J194">
        <v>-1.07</v>
      </c>
      <c r="K194">
        <v>0</v>
      </c>
    </row>
    <row r="195" spans="1:11" customFormat="1">
      <c r="A195">
        <v>5011</v>
      </c>
      <c r="B195" t="s">
        <v>385</v>
      </c>
      <c r="C195" s="40">
        <v>72841</v>
      </c>
      <c r="D195" s="40">
        <v>88653</v>
      </c>
      <c r="E195" s="40">
        <v>77012</v>
      </c>
      <c r="F195">
        <v>-17.829999999999998</v>
      </c>
      <c r="G195">
        <v>-5.41</v>
      </c>
      <c r="H195" s="40">
        <v>161494</v>
      </c>
      <c r="I195" s="40">
        <v>182492</v>
      </c>
      <c r="J195">
        <v>-11.5</v>
      </c>
      <c r="K195">
        <v>0</v>
      </c>
    </row>
    <row r="196" spans="1:11" customFormat="1">
      <c r="A196">
        <v>4979</v>
      </c>
      <c r="B196" t="s">
        <v>383</v>
      </c>
      <c r="C196" s="40">
        <v>314193</v>
      </c>
      <c r="D196" s="40">
        <v>381176</v>
      </c>
      <c r="E196" s="40">
        <v>280190</v>
      </c>
      <c r="F196">
        <v>-17.57</v>
      </c>
      <c r="G196">
        <v>12.13</v>
      </c>
      <c r="H196" s="40">
        <v>695369</v>
      </c>
      <c r="I196" s="40">
        <v>625219</v>
      </c>
      <c r="J196">
        <v>11.22</v>
      </c>
      <c r="K196">
        <v>0</v>
      </c>
    </row>
    <row r="197" spans="1:11" customFormat="1">
      <c r="A197">
        <v>4974</v>
      </c>
      <c r="B197" t="s">
        <v>382</v>
      </c>
      <c r="C197" s="40">
        <v>81198</v>
      </c>
      <c r="D197" s="40">
        <v>194255</v>
      </c>
      <c r="E197" s="40">
        <v>200377</v>
      </c>
      <c r="F197">
        <v>-58.2</v>
      </c>
      <c r="G197">
        <v>-59.47</v>
      </c>
      <c r="H197" s="40">
        <v>275453</v>
      </c>
      <c r="I197" s="40">
        <v>583980</v>
      </c>
      <c r="J197">
        <v>-52.83</v>
      </c>
      <c r="K197">
        <v>0</v>
      </c>
    </row>
    <row r="198" spans="1:11" customFormat="1">
      <c r="A198">
        <v>4972</v>
      </c>
      <c r="B198" t="s">
        <v>3723</v>
      </c>
      <c r="C198" s="40">
        <v>58183</v>
      </c>
      <c r="D198" s="40">
        <v>116008</v>
      </c>
      <c r="E198" s="40">
        <v>58684</v>
      </c>
      <c r="F198">
        <v>-49.84</v>
      </c>
      <c r="G198">
        <v>-0.85</v>
      </c>
      <c r="H198" s="40">
        <v>174191</v>
      </c>
      <c r="I198" s="40">
        <v>170353</v>
      </c>
      <c r="J198">
        <v>2.25</v>
      </c>
      <c r="K198">
        <v>0</v>
      </c>
    </row>
    <row r="199" spans="1:11" customFormat="1">
      <c r="A199">
        <v>4939</v>
      </c>
      <c r="B199" t="s">
        <v>379</v>
      </c>
      <c r="C199" s="40">
        <v>68633</v>
      </c>
      <c r="D199" s="40">
        <v>96119</v>
      </c>
      <c r="E199" s="40">
        <v>86558</v>
      </c>
      <c r="F199">
        <v>-28.59</v>
      </c>
      <c r="G199">
        <v>-20.7</v>
      </c>
      <c r="H199" s="40">
        <v>164752</v>
      </c>
      <c r="I199" s="40">
        <v>222613</v>
      </c>
      <c r="J199">
        <v>-25.99</v>
      </c>
      <c r="K199">
        <v>0</v>
      </c>
    </row>
    <row r="200" spans="1:11" customFormat="1">
      <c r="A200">
        <v>4933</v>
      </c>
      <c r="B200" t="s">
        <v>378</v>
      </c>
      <c r="C200" s="40">
        <v>198311</v>
      </c>
      <c r="D200" s="40">
        <v>341146</v>
      </c>
      <c r="E200" s="40">
        <v>279423</v>
      </c>
      <c r="F200">
        <v>-41.86</v>
      </c>
      <c r="G200">
        <v>-29.02</v>
      </c>
      <c r="H200" s="40">
        <v>539457</v>
      </c>
      <c r="I200" s="40">
        <v>633520</v>
      </c>
      <c r="J200">
        <v>-14.84</v>
      </c>
      <c r="K200">
        <v>0</v>
      </c>
    </row>
    <row r="201" spans="1:11" customFormat="1">
      <c r="A201">
        <v>4911</v>
      </c>
      <c r="B201" t="s">
        <v>377</v>
      </c>
      <c r="C201" s="40">
        <v>2975</v>
      </c>
      <c r="D201" s="40">
        <v>2472</v>
      </c>
      <c r="E201" s="40">
        <v>1188</v>
      </c>
      <c r="F201">
        <v>20.34</v>
      </c>
      <c r="G201">
        <v>150.41999999999999</v>
      </c>
      <c r="H201" s="40">
        <v>5447</v>
      </c>
      <c r="I201" s="40">
        <v>2722</v>
      </c>
      <c r="J201">
        <v>100.11</v>
      </c>
      <c r="K201">
        <v>1</v>
      </c>
    </row>
    <row r="202" spans="1:11" customFormat="1">
      <c r="A202">
        <v>4908</v>
      </c>
      <c r="B202" t="s">
        <v>4101</v>
      </c>
      <c r="C202" s="40">
        <v>100636</v>
      </c>
      <c r="D202" s="40">
        <v>122434</v>
      </c>
      <c r="E202" s="40">
        <v>78606</v>
      </c>
      <c r="F202">
        <v>-17.8</v>
      </c>
      <c r="G202">
        <v>28.02</v>
      </c>
      <c r="H202" s="40">
        <v>223070</v>
      </c>
      <c r="I202" s="40">
        <v>169619</v>
      </c>
      <c r="J202">
        <v>31.51</v>
      </c>
      <c r="K202">
        <v>0</v>
      </c>
    </row>
    <row r="203" spans="1:11" customFormat="1">
      <c r="A203">
        <v>4903</v>
      </c>
      <c r="B203" t="s">
        <v>4100</v>
      </c>
      <c r="C203" s="40">
        <v>48897</v>
      </c>
      <c r="D203" s="40">
        <v>107298</v>
      </c>
      <c r="E203" s="40">
        <v>94230</v>
      </c>
      <c r="F203">
        <v>-54.42</v>
      </c>
      <c r="G203">
        <v>-48.1</v>
      </c>
      <c r="H203" s="40">
        <v>156195</v>
      </c>
      <c r="I203" s="40">
        <v>217463</v>
      </c>
      <c r="J203">
        <v>-28.17</v>
      </c>
      <c r="K203">
        <v>0</v>
      </c>
    </row>
    <row r="204" spans="1:11" customFormat="1">
      <c r="A204">
        <v>4747</v>
      </c>
      <c r="B204" t="s">
        <v>4083</v>
      </c>
      <c r="C204" s="40">
        <v>21866</v>
      </c>
      <c r="D204" s="40">
        <v>45084</v>
      </c>
      <c r="E204" s="40">
        <v>31775</v>
      </c>
      <c r="F204">
        <v>-51.49</v>
      </c>
      <c r="G204">
        <v>-31.18</v>
      </c>
      <c r="H204" s="40">
        <v>66950</v>
      </c>
      <c r="I204" s="40">
        <v>64864</v>
      </c>
      <c r="J204">
        <v>3.21</v>
      </c>
      <c r="K204">
        <v>0</v>
      </c>
    </row>
    <row r="205" spans="1:11" customFormat="1">
      <c r="A205">
        <v>4743</v>
      </c>
      <c r="B205" t="s">
        <v>3900</v>
      </c>
      <c r="C205" s="40">
        <v>877</v>
      </c>
      <c r="D205" s="40">
        <v>459</v>
      </c>
      <c r="E205" s="40">
        <v>0</v>
      </c>
      <c r="F205">
        <v>91.06</v>
      </c>
      <c r="H205" s="40">
        <v>1336</v>
      </c>
      <c r="I205" s="40">
        <v>490</v>
      </c>
      <c r="J205">
        <v>172.65</v>
      </c>
      <c r="K205">
        <v>1</v>
      </c>
    </row>
    <row r="206" spans="1:11" customFormat="1">
      <c r="A206">
        <v>4739</v>
      </c>
      <c r="B206" t="s">
        <v>1942</v>
      </c>
      <c r="C206" s="40">
        <v>253590</v>
      </c>
      <c r="D206" s="40">
        <v>364501</v>
      </c>
      <c r="E206" s="40">
        <v>283865</v>
      </c>
      <c r="F206">
        <v>-30.42</v>
      </c>
      <c r="G206">
        <v>-10.66</v>
      </c>
      <c r="H206" s="40">
        <v>618091</v>
      </c>
      <c r="I206" s="40">
        <v>593701</v>
      </c>
      <c r="J206">
        <v>4.0999999999999996</v>
      </c>
      <c r="K206">
        <v>0</v>
      </c>
    </row>
    <row r="207" spans="1:11" customFormat="1">
      <c r="A207">
        <v>4736</v>
      </c>
      <c r="B207" t="s">
        <v>375</v>
      </c>
      <c r="C207" s="40">
        <v>179174</v>
      </c>
      <c r="D207" s="40">
        <v>281949</v>
      </c>
      <c r="E207" s="40">
        <v>168880</v>
      </c>
      <c r="F207">
        <v>-36.450000000000003</v>
      </c>
      <c r="G207">
        <v>6.09</v>
      </c>
      <c r="H207" s="40">
        <v>461123</v>
      </c>
      <c r="I207" s="40">
        <v>335340</v>
      </c>
      <c r="J207">
        <v>37.5</v>
      </c>
      <c r="K207">
        <v>0</v>
      </c>
    </row>
    <row r="208" spans="1:11" customFormat="1">
      <c r="A208">
        <v>4735</v>
      </c>
      <c r="B208" t="s">
        <v>1946</v>
      </c>
      <c r="C208" s="40">
        <v>49141</v>
      </c>
      <c r="D208" s="40">
        <v>93908</v>
      </c>
      <c r="E208" s="40">
        <v>42933</v>
      </c>
      <c r="F208">
        <v>-47.67</v>
      </c>
      <c r="G208">
        <v>14.45</v>
      </c>
      <c r="H208" s="40">
        <v>143048</v>
      </c>
      <c r="I208" s="40">
        <v>129455</v>
      </c>
      <c r="J208">
        <v>10.5</v>
      </c>
      <c r="K208">
        <v>0</v>
      </c>
    </row>
    <row r="209" spans="1:11" customFormat="1">
      <c r="A209">
        <v>4726</v>
      </c>
      <c r="B209" t="s">
        <v>3899</v>
      </c>
      <c r="C209" s="40">
        <v>1657</v>
      </c>
      <c r="D209" s="40">
        <v>3455</v>
      </c>
      <c r="E209" s="40">
        <v>3363</v>
      </c>
      <c r="F209">
        <v>-52.04</v>
      </c>
      <c r="G209">
        <v>-50.72</v>
      </c>
      <c r="H209" s="40">
        <v>5112</v>
      </c>
      <c r="I209" s="40">
        <v>8590</v>
      </c>
      <c r="J209">
        <v>-40.479999999999997</v>
      </c>
      <c r="K209">
        <v>0</v>
      </c>
    </row>
    <row r="210" spans="1:11" customFormat="1">
      <c r="A210">
        <v>4721</v>
      </c>
      <c r="B210" t="s">
        <v>372</v>
      </c>
      <c r="C210" s="40">
        <v>177562</v>
      </c>
      <c r="D210" s="40">
        <v>152779</v>
      </c>
      <c r="E210" s="40">
        <v>122150</v>
      </c>
      <c r="F210">
        <v>16.22</v>
      </c>
      <c r="G210">
        <v>45.36</v>
      </c>
      <c r="H210" s="40">
        <v>330341</v>
      </c>
      <c r="I210" s="40">
        <v>320043</v>
      </c>
      <c r="J210">
        <v>3.21</v>
      </c>
      <c r="K210">
        <v>1</v>
      </c>
    </row>
    <row r="211" spans="1:11" customFormat="1">
      <c r="A211">
        <v>4716</v>
      </c>
      <c r="B211" t="s">
        <v>4075</v>
      </c>
      <c r="C211" s="40">
        <v>54963</v>
      </c>
      <c r="D211" s="40">
        <v>80190</v>
      </c>
      <c r="E211" s="40">
        <v>55299</v>
      </c>
      <c r="F211">
        <v>-31.45</v>
      </c>
      <c r="G211">
        <v>-0.6</v>
      </c>
      <c r="H211" s="40">
        <v>135153</v>
      </c>
      <c r="I211" s="40">
        <v>153589</v>
      </c>
      <c r="J211">
        <v>-12</v>
      </c>
      <c r="K211">
        <v>0</v>
      </c>
    </row>
    <row r="212" spans="1:11" customFormat="1">
      <c r="A212">
        <v>4711</v>
      </c>
      <c r="B212" t="s">
        <v>4074</v>
      </c>
      <c r="C212" s="40">
        <v>70121</v>
      </c>
      <c r="D212" s="40">
        <v>86656</v>
      </c>
      <c r="E212" s="40">
        <v>72851</v>
      </c>
      <c r="F212">
        <v>-19.079999999999998</v>
      </c>
      <c r="G212">
        <v>-3.74</v>
      </c>
      <c r="H212" s="40">
        <v>156776</v>
      </c>
      <c r="I212" s="40">
        <v>193396</v>
      </c>
      <c r="J212">
        <v>-18.93</v>
      </c>
      <c r="K212">
        <v>0</v>
      </c>
    </row>
    <row r="213" spans="1:11" customFormat="1">
      <c r="A213">
        <v>4707</v>
      </c>
      <c r="B213" t="s">
        <v>369</v>
      </c>
      <c r="C213" s="40">
        <v>120970</v>
      </c>
      <c r="D213" s="40">
        <v>128113</v>
      </c>
      <c r="E213" s="40">
        <v>167354</v>
      </c>
      <c r="F213">
        <v>-5.57</v>
      </c>
      <c r="G213">
        <v>-27.71</v>
      </c>
      <c r="H213" s="40">
        <v>249083</v>
      </c>
      <c r="I213" s="40">
        <v>380221</v>
      </c>
      <c r="J213">
        <v>-34.479999999999997</v>
      </c>
      <c r="K213">
        <v>0</v>
      </c>
    </row>
    <row r="214" spans="1:11" customFormat="1">
      <c r="A214">
        <v>4706</v>
      </c>
      <c r="B214" t="s">
        <v>3891</v>
      </c>
      <c r="C214" s="40">
        <v>99223</v>
      </c>
      <c r="D214" s="40">
        <v>144928</v>
      </c>
      <c r="E214" s="40">
        <v>82463</v>
      </c>
      <c r="F214">
        <v>-31.53</v>
      </c>
      <c r="G214">
        <v>20.32</v>
      </c>
      <c r="H214" s="40">
        <v>244151</v>
      </c>
      <c r="I214" s="40">
        <v>222944</v>
      </c>
      <c r="J214">
        <v>9.51</v>
      </c>
      <c r="K214">
        <v>0</v>
      </c>
    </row>
    <row r="215" spans="1:11" customFormat="1">
      <c r="A215">
        <v>4703</v>
      </c>
      <c r="B215" t="s">
        <v>2506</v>
      </c>
      <c r="C215" s="40">
        <v>0</v>
      </c>
      <c r="D215" s="40">
        <v>0</v>
      </c>
      <c r="E215" s="40">
        <v>179741</v>
      </c>
      <c r="G215">
        <v>-100</v>
      </c>
      <c r="H215" s="40">
        <v>0</v>
      </c>
      <c r="I215" s="40">
        <v>398924</v>
      </c>
      <c r="J215">
        <v>-100</v>
      </c>
      <c r="K215">
        <v>0</v>
      </c>
    </row>
    <row r="216" spans="1:11" customFormat="1">
      <c r="A216">
        <v>4702</v>
      </c>
      <c r="B216" t="s">
        <v>368</v>
      </c>
      <c r="C216" s="40">
        <v>57990</v>
      </c>
      <c r="D216" s="40">
        <v>72389</v>
      </c>
      <c r="E216" s="40">
        <v>69168</v>
      </c>
      <c r="F216">
        <v>-19.89</v>
      </c>
      <c r="G216">
        <v>-16.16</v>
      </c>
      <c r="H216" s="40">
        <v>130379</v>
      </c>
      <c r="I216" s="40">
        <v>159197</v>
      </c>
      <c r="J216">
        <v>-18.100000000000001</v>
      </c>
      <c r="K216">
        <v>0</v>
      </c>
    </row>
    <row r="217" spans="1:11" customFormat="1">
      <c r="A217">
        <v>4542</v>
      </c>
      <c r="B217" t="s">
        <v>365</v>
      </c>
      <c r="C217" s="40">
        <v>10610</v>
      </c>
      <c r="D217" s="40">
        <v>24923</v>
      </c>
      <c r="E217" s="40">
        <v>24635</v>
      </c>
      <c r="F217">
        <v>-57.42</v>
      </c>
      <c r="G217">
        <v>-56.93</v>
      </c>
      <c r="H217" s="40">
        <v>35533</v>
      </c>
      <c r="I217" s="40">
        <v>76119</v>
      </c>
      <c r="J217">
        <v>-53.31</v>
      </c>
      <c r="K217">
        <v>0</v>
      </c>
    </row>
    <row r="218" spans="1:11" customFormat="1">
      <c r="A218">
        <v>4541</v>
      </c>
      <c r="B218" t="s">
        <v>1969</v>
      </c>
      <c r="C218" s="40">
        <v>52315</v>
      </c>
      <c r="D218" s="40">
        <v>70958</v>
      </c>
      <c r="E218" s="40">
        <v>70818</v>
      </c>
      <c r="F218">
        <v>-26.27</v>
      </c>
      <c r="G218">
        <v>-26.12</v>
      </c>
      <c r="H218" s="40">
        <v>123273</v>
      </c>
      <c r="I218" s="40">
        <v>145347</v>
      </c>
      <c r="J218">
        <v>-15.18</v>
      </c>
      <c r="K218">
        <v>0</v>
      </c>
    </row>
    <row r="219" spans="1:11" customFormat="1">
      <c r="A219">
        <v>4533</v>
      </c>
      <c r="B219" t="s">
        <v>4073</v>
      </c>
      <c r="C219" s="40">
        <v>444556</v>
      </c>
      <c r="D219" s="40">
        <v>362534</v>
      </c>
      <c r="E219" s="40">
        <v>85656</v>
      </c>
      <c r="F219">
        <v>22.62</v>
      </c>
      <c r="G219">
        <v>419</v>
      </c>
      <c r="H219" s="40">
        <v>807090</v>
      </c>
      <c r="I219" s="40">
        <v>222069</v>
      </c>
      <c r="J219">
        <v>263.44</v>
      </c>
      <c r="K219">
        <v>1</v>
      </c>
    </row>
    <row r="220" spans="1:11" customFormat="1">
      <c r="A220">
        <v>4528</v>
      </c>
      <c r="B220" t="s">
        <v>3888</v>
      </c>
      <c r="C220" s="40">
        <v>133566</v>
      </c>
      <c r="D220" s="40">
        <v>186214</v>
      </c>
      <c r="E220" s="40">
        <v>150164</v>
      </c>
      <c r="F220">
        <v>-28.27</v>
      </c>
      <c r="G220">
        <v>-11.05</v>
      </c>
      <c r="H220" s="40">
        <v>319781</v>
      </c>
      <c r="I220" s="40">
        <v>337792</v>
      </c>
      <c r="J220">
        <v>-5.33</v>
      </c>
      <c r="K220">
        <v>0</v>
      </c>
    </row>
    <row r="221" spans="1:11" customFormat="1">
      <c r="A221">
        <v>4527</v>
      </c>
      <c r="B221" t="s">
        <v>3887</v>
      </c>
      <c r="C221" s="40">
        <v>90651</v>
      </c>
      <c r="D221" s="40">
        <v>174311</v>
      </c>
      <c r="E221" s="40">
        <v>120892</v>
      </c>
      <c r="F221">
        <v>-47.99</v>
      </c>
      <c r="G221">
        <v>-25.01</v>
      </c>
      <c r="H221" s="40">
        <v>264962</v>
      </c>
      <c r="I221" s="40">
        <v>277827</v>
      </c>
      <c r="J221">
        <v>-4.63</v>
      </c>
      <c r="K221">
        <v>0</v>
      </c>
    </row>
    <row r="222" spans="1:11" customFormat="1">
      <c r="A222">
        <v>4513</v>
      </c>
      <c r="B222" t="s">
        <v>4072</v>
      </c>
      <c r="C222" s="40">
        <v>81837</v>
      </c>
      <c r="D222" s="40">
        <v>110174</v>
      </c>
      <c r="E222" s="40">
        <v>139224</v>
      </c>
      <c r="F222">
        <v>-25.72</v>
      </c>
      <c r="G222">
        <v>-41.21</v>
      </c>
      <c r="H222" s="40">
        <v>192011</v>
      </c>
      <c r="I222" s="40">
        <v>294310</v>
      </c>
      <c r="J222">
        <v>-34.75</v>
      </c>
      <c r="K222">
        <v>0</v>
      </c>
    </row>
    <row r="223" spans="1:11" customFormat="1">
      <c r="A223">
        <v>4503</v>
      </c>
      <c r="B223" t="s">
        <v>363</v>
      </c>
      <c r="C223" s="40">
        <v>12871</v>
      </c>
      <c r="D223" s="40">
        <v>17891</v>
      </c>
      <c r="E223" s="40">
        <v>4558</v>
      </c>
      <c r="F223">
        <v>-28.05</v>
      </c>
      <c r="G223">
        <v>182.38</v>
      </c>
      <c r="H223" s="40">
        <v>30762</v>
      </c>
      <c r="I223" s="40">
        <v>14293</v>
      </c>
      <c r="J223">
        <v>115.22</v>
      </c>
      <c r="K223">
        <v>0</v>
      </c>
    </row>
    <row r="224" spans="1:11" customFormat="1">
      <c r="A224">
        <v>4502</v>
      </c>
      <c r="B224" t="s">
        <v>4071</v>
      </c>
      <c r="C224" s="40">
        <v>105149</v>
      </c>
      <c r="D224" s="40">
        <v>192067</v>
      </c>
      <c r="E224" s="40">
        <v>49601</v>
      </c>
      <c r="F224">
        <v>-45.25</v>
      </c>
      <c r="G224">
        <v>111.98</v>
      </c>
      <c r="H224" s="40">
        <v>297217</v>
      </c>
      <c r="I224" s="40">
        <v>126694</v>
      </c>
      <c r="J224">
        <v>134.59</v>
      </c>
      <c r="K224">
        <v>0</v>
      </c>
    </row>
    <row r="225" spans="1:11" customFormat="1">
      <c r="A225">
        <v>4433</v>
      </c>
      <c r="B225" t="s">
        <v>3885</v>
      </c>
      <c r="C225" s="40">
        <v>99749</v>
      </c>
      <c r="D225" s="40">
        <v>108499</v>
      </c>
      <c r="E225" s="40">
        <v>97373</v>
      </c>
      <c r="F225">
        <v>-8.06</v>
      </c>
      <c r="G225">
        <v>2.44</v>
      </c>
      <c r="H225" s="40">
        <v>208249</v>
      </c>
      <c r="I225" s="40">
        <v>191629</v>
      </c>
      <c r="J225">
        <v>8.67</v>
      </c>
      <c r="K225">
        <v>0</v>
      </c>
    </row>
    <row r="226" spans="1:11" customFormat="1">
      <c r="A226">
        <v>4432</v>
      </c>
      <c r="B226" t="s">
        <v>1573</v>
      </c>
      <c r="C226" s="40">
        <v>260498</v>
      </c>
      <c r="D226" s="40">
        <v>294533</v>
      </c>
      <c r="E226" s="40">
        <v>191605</v>
      </c>
      <c r="F226">
        <v>-11.55</v>
      </c>
      <c r="G226">
        <v>35.950000000000003</v>
      </c>
      <c r="H226" s="40">
        <v>555031</v>
      </c>
      <c r="I226" s="40">
        <v>403341</v>
      </c>
      <c r="J226">
        <v>37.6</v>
      </c>
      <c r="K226">
        <v>0</v>
      </c>
    </row>
    <row r="227" spans="1:11" customFormat="1">
      <c r="A227">
        <v>4429</v>
      </c>
      <c r="B227" t="s">
        <v>362</v>
      </c>
      <c r="C227" s="40">
        <v>51921</v>
      </c>
      <c r="D227" s="40">
        <v>74104</v>
      </c>
      <c r="E227" s="40">
        <v>58727</v>
      </c>
      <c r="F227">
        <v>-29.93</v>
      </c>
      <c r="G227">
        <v>-11.58</v>
      </c>
      <c r="H227" s="40">
        <v>126025</v>
      </c>
      <c r="I227" s="40">
        <v>142271</v>
      </c>
      <c r="J227">
        <v>-11.41</v>
      </c>
      <c r="K227">
        <v>0</v>
      </c>
    </row>
    <row r="228" spans="1:11" customFormat="1">
      <c r="A228">
        <v>4420</v>
      </c>
      <c r="B228" t="s">
        <v>4070</v>
      </c>
      <c r="C228" s="40">
        <v>50216</v>
      </c>
      <c r="D228" s="40">
        <v>72247</v>
      </c>
      <c r="E228" s="40">
        <v>23822</v>
      </c>
      <c r="F228">
        <v>-30.49</v>
      </c>
      <c r="G228">
        <v>110.79</v>
      </c>
      <c r="H228" s="40">
        <v>122463</v>
      </c>
      <c r="I228" s="40">
        <v>55728</v>
      </c>
      <c r="J228">
        <v>119.75</v>
      </c>
      <c r="K228">
        <v>0</v>
      </c>
    </row>
    <row r="229" spans="1:11" customFormat="1">
      <c r="A229">
        <v>4416</v>
      </c>
      <c r="B229" t="s">
        <v>361</v>
      </c>
      <c r="C229" s="40">
        <v>8103</v>
      </c>
      <c r="D229" s="40">
        <v>8258</v>
      </c>
      <c r="E229" s="40">
        <v>9653</v>
      </c>
      <c r="F229">
        <v>-1.87</v>
      </c>
      <c r="G229">
        <v>-16.05</v>
      </c>
      <c r="H229" s="40">
        <v>16361</v>
      </c>
      <c r="I229" s="40">
        <v>283930</v>
      </c>
      <c r="J229">
        <v>-94.23</v>
      </c>
      <c r="K229">
        <v>0</v>
      </c>
    </row>
    <row r="230" spans="1:11" customFormat="1">
      <c r="A230">
        <v>4406</v>
      </c>
      <c r="B230" t="s">
        <v>3884</v>
      </c>
      <c r="C230" s="40">
        <v>46670</v>
      </c>
      <c r="D230" s="40">
        <v>43353</v>
      </c>
      <c r="E230" s="40">
        <v>51908</v>
      </c>
      <c r="F230">
        <v>7.65</v>
      </c>
      <c r="G230">
        <v>-10.09</v>
      </c>
      <c r="H230" s="40">
        <v>90023</v>
      </c>
      <c r="I230" s="40">
        <v>107167</v>
      </c>
      <c r="J230">
        <v>-15.99</v>
      </c>
      <c r="K230">
        <v>0</v>
      </c>
    </row>
    <row r="231" spans="1:11" customFormat="1">
      <c r="A231">
        <v>4402</v>
      </c>
      <c r="B231" t="s">
        <v>360</v>
      </c>
      <c r="C231" s="40">
        <v>56743</v>
      </c>
      <c r="D231" s="40">
        <v>39586</v>
      </c>
      <c r="E231" s="40">
        <v>44741</v>
      </c>
      <c r="F231">
        <v>43.34</v>
      </c>
      <c r="G231">
        <v>26.82</v>
      </c>
      <c r="H231" s="40">
        <v>96329</v>
      </c>
      <c r="I231" s="40">
        <v>147396</v>
      </c>
      <c r="J231">
        <v>-34.64</v>
      </c>
      <c r="K231">
        <v>1</v>
      </c>
    </row>
    <row r="232" spans="1:11" customFormat="1">
      <c r="A232">
        <v>4305</v>
      </c>
      <c r="B232" t="s">
        <v>4069</v>
      </c>
      <c r="C232" s="40">
        <v>62615</v>
      </c>
      <c r="D232" s="40">
        <v>72510</v>
      </c>
      <c r="E232" s="40">
        <v>64370</v>
      </c>
      <c r="F232">
        <v>-13.64</v>
      </c>
      <c r="G232">
        <v>-2.72</v>
      </c>
      <c r="H232" s="40">
        <v>135125</v>
      </c>
      <c r="I232" s="40">
        <v>164558</v>
      </c>
      <c r="J232">
        <v>-17.88</v>
      </c>
      <c r="K232">
        <v>0</v>
      </c>
    </row>
    <row r="233" spans="1:11" customFormat="1">
      <c r="A233">
        <v>4303</v>
      </c>
      <c r="B233" t="s">
        <v>1563</v>
      </c>
      <c r="C233" s="40">
        <v>30087</v>
      </c>
      <c r="D233" s="40">
        <v>49023</v>
      </c>
      <c r="E233" s="40">
        <v>33781</v>
      </c>
      <c r="F233">
        <v>-38.619999999999997</v>
      </c>
      <c r="G233">
        <v>-10.93</v>
      </c>
      <c r="H233" s="40">
        <v>79110</v>
      </c>
      <c r="I233" s="40">
        <v>86616</v>
      </c>
      <c r="J233">
        <v>-8.66</v>
      </c>
      <c r="K233">
        <v>0</v>
      </c>
    </row>
    <row r="234" spans="1:11" customFormat="1">
      <c r="A234">
        <v>4205</v>
      </c>
      <c r="B234" t="s">
        <v>4068</v>
      </c>
      <c r="C234" s="40">
        <v>106574</v>
      </c>
      <c r="D234" s="40">
        <v>126496</v>
      </c>
      <c r="E234" s="40">
        <v>98232</v>
      </c>
      <c r="F234">
        <v>-15.74</v>
      </c>
      <c r="G234">
        <v>8.49</v>
      </c>
      <c r="H234" s="40">
        <v>233070</v>
      </c>
      <c r="I234" s="40">
        <v>208294</v>
      </c>
      <c r="J234">
        <v>11.89</v>
      </c>
      <c r="K234">
        <v>0</v>
      </c>
    </row>
    <row r="235" spans="1:11" customFormat="1">
      <c r="A235">
        <v>4192</v>
      </c>
      <c r="B235" t="s">
        <v>4082</v>
      </c>
      <c r="C235" s="40">
        <v>443</v>
      </c>
      <c r="D235" s="40">
        <v>479</v>
      </c>
      <c r="E235" s="40">
        <v>326</v>
      </c>
      <c r="F235">
        <v>-7.51</v>
      </c>
      <c r="G235">
        <v>35.880000000000003</v>
      </c>
      <c r="H235" s="40">
        <v>922</v>
      </c>
      <c r="I235" s="40">
        <v>717</v>
      </c>
      <c r="J235">
        <v>28.59</v>
      </c>
      <c r="K235">
        <v>0</v>
      </c>
    </row>
    <row r="236" spans="1:11" customFormat="1">
      <c r="A236">
        <v>4180</v>
      </c>
      <c r="B236" t="s">
        <v>3898</v>
      </c>
      <c r="C236" s="40">
        <v>54211</v>
      </c>
      <c r="D236" s="40">
        <v>77972</v>
      </c>
      <c r="E236" s="40">
        <v>18155</v>
      </c>
      <c r="F236">
        <v>-30.47</v>
      </c>
      <c r="G236">
        <v>198.6</v>
      </c>
      <c r="H236" s="40">
        <v>132183</v>
      </c>
      <c r="I236" s="40">
        <v>34218</v>
      </c>
      <c r="J236">
        <v>286.29000000000002</v>
      </c>
      <c r="K236">
        <v>0</v>
      </c>
    </row>
    <row r="237" spans="1:11" customFormat="1">
      <c r="A237">
        <v>4174</v>
      </c>
      <c r="B237" t="s">
        <v>356</v>
      </c>
      <c r="C237" s="40">
        <v>0</v>
      </c>
      <c r="D237" s="40">
        <v>0</v>
      </c>
      <c r="E237" s="40">
        <v>0</v>
      </c>
      <c r="H237" s="40">
        <v>0</v>
      </c>
      <c r="I237" s="40">
        <v>0</v>
      </c>
      <c r="K237">
        <v>0</v>
      </c>
    </row>
    <row r="238" spans="1:11" customFormat="1">
      <c r="A238">
        <v>4171</v>
      </c>
      <c r="B238" t="s">
        <v>3897</v>
      </c>
      <c r="C238" s="40">
        <v>9322</v>
      </c>
      <c r="D238" s="40">
        <v>16622</v>
      </c>
      <c r="E238" s="40">
        <v>7530</v>
      </c>
      <c r="F238">
        <v>-43.91</v>
      </c>
      <c r="G238">
        <v>23.79</v>
      </c>
      <c r="H238" s="40">
        <v>25944</v>
      </c>
      <c r="I238" s="40">
        <v>17748</v>
      </c>
      <c r="J238">
        <v>46.17</v>
      </c>
      <c r="K238">
        <v>0</v>
      </c>
    </row>
    <row r="239" spans="1:11" customFormat="1">
      <c r="A239">
        <v>4168</v>
      </c>
      <c r="B239" t="s">
        <v>354</v>
      </c>
      <c r="C239" s="40">
        <v>0</v>
      </c>
      <c r="D239" s="40">
        <v>104</v>
      </c>
      <c r="E239" s="40">
        <v>98</v>
      </c>
      <c r="F239">
        <v>-100</v>
      </c>
      <c r="G239">
        <v>-100</v>
      </c>
      <c r="H239" s="40">
        <v>104</v>
      </c>
      <c r="I239" s="40">
        <v>130</v>
      </c>
      <c r="J239">
        <v>-20</v>
      </c>
      <c r="K239">
        <v>0</v>
      </c>
    </row>
    <row r="240" spans="1:11" customFormat="1">
      <c r="A240">
        <v>4167</v>
      </c>
      <c r="B240" t="s">
        <v>353</v>
      </c>
      <c r="C240" s="40">
        <v>101267</v>
      </c>
      <c r="D240" s="40">
        <v>84492</v>
      </c>
      <c r="E240" s="40">
        <v>94545</v>
      </c>
      <c r="F240">
        <v>19.850000000000001</v>
      </c>
      <c r="G240">
        <v>7.1</v>
      </c>
      <c r="H240" s="40">
        <v>185759</v>
      </c>
      <c r="I240" s="40">
        <v>180649</v>
      </c>
      <c r="J240">
        <v>2.82</v>
      </c>
      <c r="K240">
        <v>1</v>
      </c>
    </row>
    <row r="241" spans="1:11" customFormat="1">
      <c r="A241">
        <v>4163</v>
      </c>
      <c r="B241" t="s">
        <v>1945</v>
      </c>
      <c r="C241" s="40">
        <v>167314</v>
      </c>
      <c r="D241" s="40">
        <v>167270</v>
      </c>
      <c r="E241" s="40">
        <v>152828</v>
      </c>
      <c r="F241">
        <v>0.02</v>
      </c>
      <c r="G241">
        <v>9.4700000000000006</v>
      </c>
      <c r="H241" s="40">
        <v>334584</v>
      </c>
      <c r="I241" s="40">
        <v>306623</v>
      </c>
      <c r="J241">
        <v>9.11</v>
      </c>
      <c r="K241">
        <v>0</v>
      </c>
    </row>
    <row r="242" spans="1:11" customFormat="1">
      <c r="A242">
        <v>4162</v>
      </c>
      <c r="B242" t="s">
        <v>352</v>
      </c>
      <c r="C242" s="40">
        <v>1420</v>
      </c>
      <c r="D242" s="40">
        <v>113</v>
      </c>
      <c r="E242" s="40">
        <v>3934</v>
      </c>
      <c r="F242" s="372">
        <v>1156.6300000000001</v>
      </c>
      <c r="G242">
        <v>-63.9</v>
      </c>
      <c r="H242" s="40">
        <v>1533</v>
      </c>
      <c r="I242" s="40">
        <v>4194</v>
      </c>
      <c r="J242">
        <v>-63.44</v>
      </c>
      <c r="K242">
        <v>1</v>
      </c>
    </row>
    <row r="243" spans="1:11" customFormat="1">
      <c r="A243">
        <v>4161</v>
      </c>
      <c r="B243" t="s">
        <v>1944</v>
      </c>
      <c r="C243" s="40">
        <v>28958</v>
      </c>
      <c r="D243" s="40">
        <v>34155</v>
      </c>
      <c r="E243" s="40">
        <v>31526</v>
      </c>
      <c r="F243">
        <v>-15.21</v>
      </c>
      <c r="G243">
        <v>-8.14</v>
      </c>
      <c r="H243" s="40">
        <v>63113</v>
      </c>
      <c r="I243" s="40">
        <v>74146</v>
      </c>
      <c r="J243">
        <v>-14.88</v>
      </c>
      <c r="K243">
        <v>0</v>
      </c>
    </row>
    <row r="244" spans="1:11" customFormat="1">
      <c r="A244">
        <v>4153</v>
      </c>
      <c r="B244" t="s">
        <v>351</v>
      </c>
      <c r="C244" s="40">
        <v>72811</v>
      </c>
      <c r="D244" s="40">
        <v>79441</v>
      </c>
      <c r="E244" s="40">
        <v>98263</v>
      </c>
      <c r="F244">
        <v>-8.34</v>
      </c>
      <c r="G244">
        <v>-25.9</v>
      </c>
      <c r="H244" s="40">
        <v>152252</v>
      </c>
      <c r="I244" s="40">
        <v>190063</v>
      </c>
      <c r="J244">
        <v>-19.89</v>
      </c>
      <c r="K244">
        <v>0</v>
      </c>
    </row>
    <row r="245" spans="1:11" customFormat="1">
      <c r="A245">
        <v>4147</v>
      </c>
      <c r="B245" t="s">
        <v>3896</v>
      </c>
      <c r="C245" s="40">
        <v>0</v>
      </c>
      <c r="D245" s="40">
        <v>0</v>
      </c>
      <c r="E245" s="40">
        <v>0</v>
      </c>
      <c r="H245" s="40">
        <v>0</v>
      </c>
      <c r="I245" s="40">
        <v>0</v>
      </c>
      <c r="K245">
        <v>0</v>
      </c>
    </row>
    <row r="246" spans="1:11" customFormat="1">
      <c r="A246">
        <v>4129</v>
      </c>
      <c r="B246" t="s">
        <v>2502</v>
      </c>
      <c r="C246" s="40">
        <v>99589</v>
      </c>
      <c r="D246" s="40">
        <v>109350</v>
      </c>
      <c r="E246" s="40">
        <v>78123</v>
      </c>
      <c r="F246">
        <v>-8.92</v>
      </c>
      <c r="G246">
        <v>27.47</v>
      </c>
      <c r="H246" s="40">
        <v>208939</v>
      </c>
      <c r="I246" s="40">
        <v>175143</v>
      </c>
      <c r="J246">
        <v>19.29</v>
      </c>
      <c r="K246">
        <v>0</v>
      </c>
    </row>
    <row r="247" spans="1:11" customFormat="1">
      <c r="A247">
        <v>4128</v>
      </c>
      <c r="B247" t="s">
        <v>3895</v>
      </c>
      <c r="C247" s="40">
        <v>111790</v>
      </c>
      <c r="D247" s="40">
        <v>131287</v>
      </c>
      <c r="E247" s="40">
        <v>115766</v>
      </c>
      <c r="F247">
        <v>-14.85</v>
      </c>
      <c r="G247">
        <v>-3.43</v>
      </c>
      <c r="H247" s="40">
        <v>243077</v>
      </c>
      <c r="I247" s="40">
        <v>231660</v>
      </c>
      <c r="J247">
        <v>4.92</v>
      </c>
      <c r="K247">
        <v>0</v>
      </c>
    </row>
    <row r="248" spans="1:11" customFormat="1">
      <c r="A248">
        <v>4126</v>
      </c>
      <c r="B248" t="s">
        <v>348</v>
      </c>
      <c r="C248" s="40">
        <v>117829</v>
      </c>
      <c r="D248" s="40">
        <v>147773</v>
      </c>
      <c r="E248" s="40">
        <v>100330</v>
      </c>
      <c r="F248">
        <v>-20.260000000000002</v>
      </c>
      <c r="G248">
        <v>17.440000000000001</v>
      </c>
      <c r="H248" s="40">
        <v>265602</v>
      </c>
      <c r="I248" s="40">
        <v>234527</v>
      </c>
      <c r="J248">
        <v>13.25</v>
      </c>
      <c r="K248">
        <v>0</v>
      </c>
    </row>
    <row r="249" spans="1:11" customFormat="1">
      <c r="A249">
        <v>4121</v>
      </c>
      <c r="B249" t="s">
        <v>3693</v>
      </c>
      <c r="C249" s="40">
        <v>251117</v>
      </c>
      <c r="D249" s="40">
        <v>256343</v>
      </c>
      <c r="E249" s="40">
        <v>260276</v>
      </c>
      <c r="F249">
        <v>-2.0299999999999998</v>
      </c>
      <c r="G249">
        <v>-3.51</v>
      </c>
      <c r="H249" s="40">
        <v>507460</v>
      </c>
      <c r="I249" s="40">
        <v>536928</v>
      </c>
      <c r="J249">
        <v>-5.48</v>
      </c>
      <c r="K249">
        <v>0</v>
      </c>
    </row>
    <row r="250" spans="1:11" customFormat="1">
      <c r="A250">
        <v>4120</v>
      </c>
      <c r="B250" t="s">
        <v>347</v>
      </c>
      <c r="C250" s="40">
        <v>334391</v>
      </c>
      <c r="D250" s="40">
        <v>516269</v>
      </c>
      <c r="E250" s="40">
        <v>416474</v>
      </c>
      <c r="F250">
        <v>-35.22</v>
      </c>
      <c r="G250">
        <v>-19.7</v>
      </c>
      <c r="H250" s="40">
        <v>850660</v>
      </c>
      <c r="I250" s="40">
        <v>890856</v>
      </c>
      <c r="J250">
        <v>-4.51</v>
      </c>
      <c r="K250">
        <v>0</v>
      </c>
    </row>
    <row r="251" spans="1:11" customFormat="1">
      <c r="A251">
        <v>4113</v>
      </c>
      <c r="B251" t="s">
        <v>346</v>
      </c>
      <c r="C251" s="40">
        <v>48871</v>
      </c>
      <c r="D251" s="40">
        <v>61712</v>
      </c>
      <c r="E251" s="40">
        <v>23838</v>
      </c>
      <c r="F251">
        <v>-20.8</v>
      </c>
      <c r="G251">
        <v>105.01</v>
      </c>
      <c r="H251" s="40">
        <v>110583</v>
      </c>
      <c r="I251" s="40">
        <v>47223</v>
      </c>
      <c r="J251">
        <v>134.16999999999999</v>
      </c>
      <c r="K251">
        <v>0</v>
      </c>
    </row>
    <row r="252" spans="1:11" customFormat="1">
      <c r="A252">
        <v>4111</v>
      </c>
      <c r="B252" t="s">
        <v>4081</v>
      </c>
      <c r="C252" s="40">
        <v>61352</v>
      </c>
      <c r="D252" s="40">
        <v>83054</v>
      </c>
      <c r="E252" s="40">
        <v>73366</v>
      </c>
      <c r="F252">
        <v>-26.12</v>
      </c>
      <c r="G252">
        <v>-16.37</v>
      </c>
      <c r="H252" s="40">
        <v>144406</v>
      </c>
      <c r="I252" s="40">
        <v>145429</v>
      </c>
      <c r="J252">
        <v>-0.7</v>
      </c>
      <c r="K252">
        <v>0</v>
      </c>
    </row>
    <row r="253" spans="1:11" customFormat="1">
      <c r="A253">
        <v>4109</v>
      </c>
      <c r="B253" t="s">
        <v>1541</v>
      </c>
      <c r="C253" s="40">
        <v>52499</v>
      </c>
      <c r="D253" s="40">
        <v>67909</v>
      </c>
      <c r="E253" s="40">
        <v>68608</v>
      </c>
      <c r="F253">
        <v>-22.69</v>
      </c>
      <c r="G253">
        <v>-23.47</v>
      </c>
      <c r="H253" s="40">
        <v>120408</v>
      </c>
      <c r="I253" s="40">
        <v>120103</v>
      </c>
      <c r="J253">
        <v>0.25</v>
      </c>
      <c r="K253">
        <v>0</v>
      </c>
    </row>
    <row r="254" spans="1:11" customFormat="1">
      <c r="A254">
        <v>4107</v>
      </c>
      <c r="B254" t="s">
        <v>1975</v>
      </c>
      <c r="C254" s="40">
        <v>112489</v>
      </c>
      <c r="D254" s="40">
        <v>108020</v>
      </c>
      <c r="E254" s="40">
        <v>100108</v>
      </c>
      <c r="F254">
        <v>4.13</v>
      </c>
      <c r="G254">
        <v>12.36</v>
      </c>
      <c r="H254" s="40">
        <v>220510</v>
      </c>
      <c r="I254" s="40">
        <v>200496</v>
      </c>
      <c r="J254">
        <v>9.98</v>
      </c>
      <c r="K254">
        <v>0</v>
      </c>
    </row>
    <row r="255" spans="1:11" customFormat="1">
      <c r="A255">
        <v>4105</v>
      </c>
      <c r="B255" t="s">
        <v>4080</v>
      </c>
      <c r="C255" s="40">
        <v>231537</v>
      </c>
      <c r="D255" s="40">
        <v>383494</v>
      </c>
      <c r="E255" s="40">
        <v>203742</v>
      </c>
      <c r="F255">
        <v>-39.619999999999997</v>
      </c>
      <c r="G255">
        <v>13.64</v>
      </c>
      <c r="H255" s="40">
        <v>615031</v>
      </c>
      <c r="I255" s="40">
        <v>459558</v>
      </c>
      <c r="J255">
        <v>33.83</v>
      </c>
      <c r="K255">
        <v>0</v>
      </c>
    </row>
    <row r="256" spans="1:11" customFormat="1">
      <c r="A256">
        <v>4103</v>
      </c>
      <c r="B256" t="s">
        <v>3894</v>
      </c>
      <c r="C256" s="40">
        <v>274411</v>
      </c>
      <c r="D256" s="40">
        <v>465314</v>
      </c>
      <c r="E256" s="40">
        <v>231193</v>
      </c>
      <c r="F256">
        <v>-41.02</v>
      </c>
      <c r="G256">
        <v>18.690000000000001</v>
      </c>
      <c r="H256" s="40">
        <v>739725</v>
      </c>
      <c r="I256" s="40">
        <v>678955</v>
      </c>
      <c r="J256">
        <v>8.9499999999999993</v>
      </c>
      <c r="K256">
        <v>0</v>
      </c>
    </row>
    <row r="257" spans="1:11" customFormat="1">
      <c r="A257">
        <v>4102</v>
      </c>
      <c r="B257" t="s">
        <v>3893</v>
      </c>
      <c r="C257" s="40">
        <v>19455</v>
      </c>
      <c r="D257" s="40">
        <v>24665</v>
      </c>
      <c r="E257" s="40">
        <v>16479</v>
      </c>
      <c r="F257">
        <v>-21.12</v>
      </c>
      <c r="G257">
        <v>18.05</v>
      </c>
      <c r="H257" s="40">
        <v>44120</v>
      </c>
      <c r="I257" s="40">
        <v>41255</v>
      </c>
      <c r="J257">
        <v>6.94</v>
      </c>
      <c r="K257">
        <v>0</v>
      </c>
    </row>
    <row r="258" spans="1:11" customFormat="1">
      <c r="A258">
        <v>3691</v>
      </c>
      <c r="B258" t="s">
        <v>1536</v>
      </c>
      <c r="C258" s="40">
        <v>1232899</v>
      </c>
      <c r="D258" s="40">
        <v>1750462</v>
      </c>
      <c r="E258" s="40">
        <v>800039</v>
      </c>
      <c r="F258">
        <v>-29.56</v>
      </c>
      <c r="G258">
        <v>54.1</v>
      </c>
      <c r="H258" s="40">
        <v>2983361</v>
      </c>
      <c r="I258" s="40">
        <v>1857521</v>
      </c>
      <c r="J258">
        <v>60.6</v>
      </c>
      <c r="K258">
        <v>0</v>
      </c>
    </row>
    <row r="259" spans="1:11" customFormat="1">
      <c r="A259">
        <v>3689</v>
      </c>
      <c r="B259" t="s">
        <v>1961</v>
      </c>
      <c r="C259" s="40">
        <v>264744</v>
      </c>
      <c r="D259" s="40">
        <v>484140</v>
      </c>
      <c r="E259" s="40">
        <v>288072</v>
      </c>
      <c r="F259">
        <v>-45.31</v>
      </c>
      <c r="G259">
        <v>-8.09</v>
      </c>
      <c r="H259" s="40">
        <v>748884</v>
      </c>
      <c r="I259" s="40">
        <v>747696</v>
      </c>
      <c r="J259">
        <v>0.15</v>
      </c>
      <c r="K259">
        <v>0</v>
      </c>
    </row>
    <row r="260" spans="1:11" customFormat="1">
      <c r="A260">
        <v>3685</v>
      </c>
      <c r="B260" t="s">
        <v>1534</v>
      </c>
      <c r="C260" s="40">
        <v>29214</v>
      </c>
      <c r="D260" s="40">
        <v>24411</v>
      </c>
      <c r="E260" s="40">
        <v>34031</v>
      </c>
      <c r="F260">
        <v>19.670000000000002</v>
      </c>
      <c r="G260">
        <v>-14.15</v>
      </c>
      <c r="H260" s="40">
        <v>53625</v>
      </c>
      <c r="I260" s="40">
        <v>82240</v>
      </c>
      <c r="J260">
        <v>-34.79</v>
      </c>
      <c r="K260">
        <v>1</v>
      </c>
    </row>
    <row r="261" spans="1:11" customFormat="1">
      <c r="A261">
        <v>3675</v>
      </c>
      <c r="B261" t="s">
        <v>3909</v>
      </c>
      <c r="C261" s="40">
        <v>70667</v>
      </c>
      <c r="D261" s="40">
        <v>88421</v>
      </c>
      <c r="E261" s="40">
        <v>82704</v>
      </c>
      <c r="F261">
        <v>-20.07</v>
      </c>
      <c r="G261">
        <v>-14.55</v>
      </c>
      <c r="H261" s="40">
        <v>159088</v>
      </c>
      <c r="I261" s="40">
        <v>187642</v>
      </c>
      <c r="J261">
        <v>-15.21</v>
      </c>
      <c r="K261">
        <v>0</v>
      </c>
    </row>
    <row r="262" spans="1:11" customFormat="1">
      <c r="A262">
        <v>3666</v>
      </c>
      <c r="B262" t="s">
        <v>341</v>
      </c>
      <c r="C262" s="40">
        <v>94757</v>
      </c>
      <c r="D262" s="40">
        <v>119158</v>
      </c>
      <c r="E262" s="40">
        <v>71708</v>
      </c>
      <c r="F262">
        <v>-20.47</v>
      </c>
      <c r="G262">
        <v>32.14</v>
      </c>
      <c r="H262" s="40">
        <v>213915</v>
      </c>
      <c r="I262" s="40">
        <v>156866</v>
      </c>
      <c r="J262">
        <v>36.36</v>
      </c>
      <c r="K262">
        <v>0</v>
      </c>
    </row>
    <row r="263" spans="1:11" customFormat="1">
      <c r="A263">
        <v>3663</v>
      </c>
      <c r="B263" t="s">
        <v>1991</v>
      </c>
      <c r="C263" s="40">
        <v>169623</v>
      </c>
      <c r="D263" s="40">
        <v>200485</v>
      </c>
      <c r="E263" s="40">
        <v>205411</v>
      </c>
      <c r="F263">
        <v>-15.39</v>
      </c>
      <c r="G263">
        <v>-17.420000000000002</v>
      </c>
      <c r="H263" s="40">
        <v>370108</v>
      </c>
      <c r="I263" s="40">
        <v>403905</v>
      </c>
      <c r="J263">
        <v>-8.36</v>
      </c>
      <c r="K263">
        <v>0</v>
      </c>
    </row>
    <row r="264" spans="1:11" customFormat="1">
      <c r="A264">
        <v>3662</v>
      </c>
      <c r="B264" t="s">
        <v>2001</v>
      </c>
      <c r="C264" s="40">
        <v>102159</v>
      </c>
      <c r="D264" s="40">
        <v>87177</v>
      </c>
      <c r="E264" s="40">
        <v>104484</v>
      </c>
      <c r="F264">
        <v>17.18</v>
      </c>
      <c r="G264">
        <v>-2.2200000000000002</v>
      </c>
      <c r="H264" s="40">
        <v>189336</v>
      </c>
      <c r="I264" s="40">
        <v>189834</v>
      </c>
      <c r="J264">
        <v>-0.26</v>
      </c>
      <c r="K264">
        <v>1</v>
      </c>
    </row>
    <row r="265" spans="1:11" customFormat="1">
      <c r="A265">
        <v>3658</v>
      </c>
      <c r="B265" t="s">
        <v>340</v>
      </c>
      <c r="C265" s="40">
        <v>52063</v>
      </c>
      <c r="D265" s="40">
        <v>219867</v>
      </c>
      <c r="E265" s="40">
        <v>46625</v>
      </c>
      <c r="F265">
        <v>-76.319999999999993</v>
      </c>
      <c r="G265">
        <v>11.66</v>
      </c>
      <c r="H265" s="40">
        <v>271931</v>
      </c>
      <c r="I265" s="40">
        <v>582599</v>
      </c>
      <c r="J265">
        <v>-53.32</v>
      </c>
      <c r="K265">
        <v>0</v>
      </c>
    </row>
    <row r="266" spans="1:11" customFormat="1">
      <c r="A266">
        <v>3642</v>
      </c>
      <c r="B266" t="s">
        <v>3953</v>
      </c>
      <c r="C266" s="40">
        <v>30024</v>
      </c>
      <c r="D266" s="40">
        <v>36229</v>
      </c>
      <c r="E266" s="40">
        <v>46214</v>
      </c>
      <c r="F266">
        <v>-17.12</v>
      </c>
      <c r="G266">
        <v>-35.03</v>
      </c>
      <c r="H266" s="40">
        <v>66253</v>
      </c>
      <c r="I266" s="40">
        <v>101459</v>
      </c>
      <c r="J266">
        <v>-34.69</v>
      </c>
      <c r="K266">
        <v>0</v>
      </c>
    </row>
    <row r="267" spans="1:11" customFormat="1">
      <c r="A267">
        <v>3630</v>
      </c>
      <c r="B267" t="s">
        <v>337</v>
      </c>
      <c r="C267" s="40">
        <v>41336</v>
      </c>
      <c r="D267" s="40">
        <v>82344</v>
      </c>
      <c r="E267" s="40">
        <v>40670</v>
      </c>
      <c r="F267">
        <v>-49.8</v>
      </c>
      <c r="G267">
        <v>1.63</v>
      </c>
      <c r="H267" s="40">
        <v>123681</v>
      </c>
      <c r="I267" s="40">
        <v>112924</v>
      </c>
      <c r="J267">
        <v>9.52</v>
      </c>
      <c r="K267">
        <v>0</v>
      </c>
    </row>
    <row r="268" spans="1:11" customFormat="1">
      <c r="A268">
        <v>3625</v>
      </c>
      <c r="B268" t="s">
        <v>336</v>
      </c>
      <c r="C268" s="40">
        <v>43525</v>
      </c>
      <c r="D268" s="40">
        <v>69629</v>
      </c>
      <c r="E268" s="40">
        <v>42279</v>
      </c>
      <c r="F268">
        <v>-37.49</v>
      </c>
      <c r="G268">
        <v>2.94</v>
      </c>
      <c r="H268" s="40">
        <v>113154</v>
      </c>
      <c r="I268" s="40">
        <v>115014</v>
      </c>
      <c r="J268">
        <v>-1.61</v>
      </c>
      <c r="K268">
        <v>0</v>
      </c>
    </row>
    <row r="269" spans="1:11" customFormat="1">
      <c r="A269">
        <v>3624</v>
      </c>
      <c r="B269" t="s">
        <v>335</v>
      </c>
      <c r="C269" s="40">
        <v>101972</v>
      </c>
      <c r="D269" s="40">
        <v>140082</v>
      </c>
      <c r="E269" s="40">
        <v>95525</v>
      </c>
      <c r="F269">
        <v>-27.2</v>
      </c>
      <c r="G269">
        <v>6.74</v>
      </c>
      <c r="H269" s="40">
        <v>242053</v>
      </c>
      <c r="I269" s="40">
        <v>243716</v>
      </c>
      <c r="J269">
        <v>-0.68</v>
      </c>
      <c r="K269">
        <v>0</v>
      </c>
    </row>
    <row r="270" spans="1:11" customFormat="1">
      <c r="A270">
        <v>3611</v>
      </c>
      <c r="B270" t="s">
        <v>333</v>
      </c>
      <c r="C270" s="40">
        <v>189822</v>
      </c>
      <c r="D270" s="40">
        <v>188591</v>
      </c>
      <c r="E270" s="40">
        <v>143566</v>
      </c>
      <c r="F270">
        <v>0.65</v>
      </c>
      <c r="G270">
        <v>32.21</v>
      </c>
      <c r="H270" s="40">
        <v>378413</v>
      </c>
      <c r="I270" s="40">
        <v>327827</v>
      </c>
      <c r="J270">
        <v>15.43</v>
      </c>
      <c r="K270">
        <v>0</v>
      </c>
    </row>
    <row r="271" spans="1:11" customFormat="1">
      <c r="A271">
        <v>3609</v>
      </c>
      <c r="B271" t="s">
        <v>332</v>
      </c>
      <c r="C271" s="40">
        <v>35960</v>
      </c>
      <c r="D271" s="40">
        <v>72658</v>
      </c>
      <c r="E271" s="40">
        <v>58002</v>
      </c>
      <c r="F271">
        <v>-50.5</v>
      </c>
      <c r="G271">
        <v>-38</v>
      </c>
      <c r="H271" s="40">
        <v>108618</v>
      </c>
      <c r="I271" s="40">
        <v>134121</v>
      </c>
      <c r="J271">
        <v>-19.010000000000002</v>
      </c>
      <c r="K271">
        <v>0</v>
      </c>
    </row>
    <row r="272" spans="1:11" customFormat="1">
      <c r="A272">
        <v>3580</v>
      </c>
      <c r="B272" t="s">
        <v>1967</v>
      </c>
      <c r="C272" s="40">
        <v>47093</v>
      </c>
      <c r="D272" s="40">
        <v>32418</v>
      </c>
      <c r="E272" s="40">
        <v>22225</v>
      </c>
      <c r="F272">
        <v>45.26</v>
      </c>
      <c r="G272">
        <v>111.89</v>
      </c>
      <c r="H272" s="40">
        <v>79511</v>
      </c>
      <c r="I272" s="40">
        <v>78190</v>
      </c>
      <c r="J272">
        <v>1.68</v>
      </c>
      <c r="K272">
        <v>1</v>
      </c>
    </row>
    <row r="273" spans="1:11" customFormat="1">
      <c r="A273">
        <v>3577</v>
      </c>
      <c r="B273" t="s">
        <v>4093</v>
      </c>
      <c r="C273" s="40">
        <v>51340</v>
      </c>
      <c r="D273" s="40">
        <v>53285</v>
      </c>
      <c r="E273" s="40">
        <v>45881</v>
      </c>
      <c r="F273">
        <v>-3.65</v>
      </c>
      <c r="G273">
        <v>11.89</v>
      </c>
      <c r="H273" s="40">
        <v>104625</v>
      </c>
      <c r="I273" s="40">
        <v>97535</v>
      </c>
      <c r="J273">
        <v>7.26</v>
      </c>
      <c r="K273">
        <v>0</v>
      </c>
    </row>
    <row r="274" spans="1:11" customFormat="1">
      <c r="A274">
        <v>3563</v>
      </c>
      <c r="B274" t="s">
        <v>330</v>
      </c>
      <c r="C274" s="40">
        <v>36961</v>
      </c>
      <c r="D274" s="40">
        <v>43166</v>
      </c>
      <c r="E274" s="40">
        <v>44329</v>
      </c>
      <c r="F274">
        <v>-14.37</v>
      </c>
      <c r="G274">
        <v>-16.62</v>
      </c>
      <c r="H274" s="40">
        <v>80127</v>
      </c>
      <c r="I274" s="40">
        <v>86713</v>
      </c>
      <c r="J274">
        <v>-7.59</v>
      </c>
      <c r="K274">
        <v>0</v>
      </c>
    </row>
    <row r="275" spans="1:11" customFormat="1">
      <c r="A275">
        <v>3558</v>
      </c>
      <c r="B275" t="s">
        <v>328</v>
      </c>
      <c r="C275" s="40">
        <v>524285</v>
      </c>
      <c r="D275" s="40">
        <v>504385</v>
      </c>
      <c r="E275" s="40">
        <v>534002</v>
      </c>
      <c r="F275">
        <v>3.94</v>
      </c>
      <c r="G275">
        <v>-1.81</v>
      </c>
      <c r="H275" s="40">
        <v>1028670</v>
      </c>
      <c r="I275" s="40">
        <v>1075347</v>
      </c>
      <c r="J275">
        <v>-4.34</v>
      </c>
      <c r="K275">
        <v>0</v>
      </c>
    </row>
    <row r="276" spans="1:11" customFormat="1">
      <c r="A276">
        <v>3556</v>
      </c>
      <c r="B276" t="s">
        <v>327</v>
      </c>
      <c r="C276" s="40">
        <v>64246</v>
      </c>
      <c r="D276" s="40">
        <v>109657</v>
      </c>
      <c r="E276" s="40">
        <v>54142</v>
      </c>
      <c r="F276">
        <v>-41.41</v>
      </c>
      <c r="G276">
        <v>18.66</v>
      </c>
      <c r="H276" s="40">
        <v>173903</v>
      </c>
      <c r="I276" s="40">
        <v>138603</v>
      </c>
      <c r="J276">
        <v>25.46</v>
      </c>
      <c r="K276">
        <v>0</v>
      </c>
    </row>
    <row r="277" spans="1:11" customFormat="1">
      <c r="A277">
        <v>3555</v>
      </c>
      <c r="B277" t="s">
        <v>4086</v>
      </c>
      <c r="C277" s="40">
        <v>2390</v>
      </c>
      <c r="D277" s="40">
        <v>1628</v>
      </c>
      <c r="E277" s="40">
        <v>23352</v>
      </c>
      <c r="F277">
        <v>46.8</v>
      </c>
      <c r="G277">
        <v>-89.76</v>
      </c>
      <c r="H277" s="40">
        <v>4018</v>
      </c>
      <c r="I277" s="40">
        <v>66410</v>
      </c>
      <c r="J277">
        <v>-93.94</v>
      </c>
      <c r="K277">
        <v>1</v>
      </c>
    </row>
    <row r="278" spans="1:11" customFormat="1">
      <c r="A278">
        <v>3553</v>
      </c>
      <c r="B278" t="s">
        <v>326</v>
      </c>
      <c r="C278" s="40">
        <v>142532</v>
      </c>
      <c r="D278" s="40">
        <v>171648</v>
      </c>
      <c r="E278" s="40">
        <v>199116</v>
      </c>
      <c r="F278">
        <v>-16.96</v>
      </c>
      <c r="G278">
        <v>-28.41</v>
      </c>
      <c r="H278" s="40">
        <v>314180</v>
      </c>
      <c r="I278" s="40">
        <v>453962</v>
      </c>
      <c r="J278">
        <v>-30.79</v>
      </c>
      <c r="K278">
        <v>0</v>
      </c>
    </row>
    <row r="279" spans="1:11" customFormat="1">
      <c r="A279">
        <v>3552</v>
      </c>
      <c r="B279" t="s">
        <v>2245</v>
      </c>
      <c r="C279" s="40">
        <v>910099</v>
      </c>
      <c r="D279" s="40">
        <v>978343</v>
      </c>
      <c r="E279" s="40">
        <v>369911</v>
      </c>
      <c r="F279">
        <v>-6.97</v>
      </c>
      <c r="G279">
        <v>146.03</v>
      </c>
      <c r="H279" s="40">
        <v>1888442</v>
      </c>
      <c r="I279" s="40">
        <v>886820</v>
      </c>
      <c r="J279">
        <v>112.94</v>
      </c>
      <c r="K279">
        <v>0</v>
      </c>
    </row>
    <row r="280" spans="1:11" customFormat="1">
      <c r="A280">
        <v>3548</v>
      </c>
      <c r="B280" t="s">
        <v>324</v>
      </c>
      <c r="C280" s="40">
        <v>277573</v>
      </c>
      <c r="D280" s="40">
        <v>444885</v>
      </c>
      <c r="E280" s="40">
        <v>254396</v>
      </c>
      <c r="F280">
        <v>-37.6</v>
      </c>
      <c r="G280">
        <v>9.11</v>
      </c>
      <c r="H280" s="40">
        <v>722457</v>
      </c>
      <c r="I280" s="40">
        <v>534801</v>
      </c>
      <c r="J280">
        <v>35.08</v>
      </c>
      <c r="K280">
        <v>0</v>
      </c>
    </row>
    <row r="281" spans="1:11" customFormat="1">
      <c r="A281">
        <v>3546</v>
      </c>
      <c r="B281" t="s">
        <v>3967</v>
      </c>
      <c r="C281" s="40">
        <v>57107</v>
      </c>
      <c r="D281" s="40">
        <v>54209</v>
      </c>
      <c r="E281" s="40">
        <v>57771</v>
      </c>
      <c r="F281">
        <v>5.34</v>
      </c>
      <c r="G281">
        <v>-1.1399999999999999</v>
      </c>
      <c r="H281" s="40">
        <v>111316</v>
      </c>
      <c r="I281" s="40">
        <v>106760</v>
      </c>
      <c r="J281">
        <v>4.26</v>
      </c>
      <c r="K281">
        <v>0</v>
      </c>
    </row>
    <row r="282" spans="1:11" customFormat="1">
      <c r="A282">
        <v>3541</v>
      </c>
      <c r="B282" t="s">
        <v>3952</v>
      </c>
      <c r="C282" s="40">
        <v>98437</v>
      </c>
      <c r="D282" s="40">
        <v>128773</v>
      </c>
      <c r="E282" s="40">
        <v>99994</v>
      </c>
      <c r="F282">
        <v>-23.55</v>
      </c>
      <c r="G282">
        <v>-1.55</v>
      </c>
      <c r="H282" s="40">
        <v>227210</v>
      </c>
      <c r="I282" s="40">
        <v>215142</v>
      </c>
      <c r="J282">
        <v>5.6</v>
      </c>
      <c r="K282">
        <v>0</v>
      </c>
    </row>
    <row r="283" spans="1:11" customFormat="1">
      <c r="A283">
        <v>3540</v>
      </c>
      <c r="B283" t="s">
        <v>4092</v>
      </c>
      <c r="C283" s="40">
        <v>246675</v>
      </c>
      <c r="D283" s="40">
        <v>289873</v>
      </c>
      <c r="E283" s="40">
        <v>181184</v>
      </c>
      <c r="F283">
        <v>-14.9</v>
      </c>
      <c r="G283">
        <v>36.14</v>
      </c>
      <c r="H283" s="40">
        <v>536548</v>
      </c>
      <c r="I283" s="40">
        <v>438514</v>
      </c>
      <c r="J283">
        <v>22.35</v>
      </c>
      <c r="K283">
        <v>0</v>
      </c>
    </row>
    <row r="284" spans="1:11" customFormat="1">
      <c r="A284">
        <v>3537</v>
      </c>
      <c r="B284" t="s">
        <v>323</v>
      </c>
      <c r="C284" s="40">
        <v>175589</v>
      </c>
      <c r="D284" s="40">
        <v>221442</v>
      </c>
      <c r="E284" s="40">
        <v>163530</v>
      </c>
      <c r="F284">
        <v>-20.7</v>
      </c>
      <c r="G284">
        <v>7.37</v>
      </c>
      <c r="H284" s="40">
        <v>397031</v>
      </c>
      <c r="I284" s="40">
        <v>340241</v>
      </c>
      <c r="J284">
        <v>16.690000000000001</v>
      </c>
      <c r="K284">
        <v>0</v>
      </c>
    </row>
    <row r="285" spans="1:11" customFormat="1">
      <c r="A285">
        <v>3531</v>
      </c>
      <c r="B285" t="s">
        <v>4096</v>
      </c>
      <c r="C285" s="40">
        <v>85892</v>
      </c>
      <c r="D285" s="40">
        <v>158910</v>
      </c>
      <c r="E285" s="40">
        <v>113382</v>
      </c>
      <c r="F285">
        <v>-45.94</v>
      </c>
      <c r="G285">
        <v>-24.24</v>
      </c>
      <c r="H285" s="40">
        <v>244802</v>
      </c>
      <c r="I285" s="40">
        <v>274836</v>
      </c>
      <c r="J285">
        <v>-10.92</v>
      </c>
      <c r="K285">
        <v>0</v>
      </c>
    </row>
    <row r="286" spans="1:11" customFormat="1">
      <c r="A286">
        <v>3529</v>
      </c>
      <c r="B286" t="s">
        <v>322</v>
      </c>
      <c r="C286" s="40">
        <v>44718</v>
      </c>
      <c r="D286" s="40">
        <v>229494</v>
      </c>
      <c r="E286" s="40">
        <v>47809</v>
      </c>
      <c r="F286">
        <v>-80.510000000000005</v>
      </c>
      <c r="G286">
        <v>-6.46</v>
      </c>
      <c r="H286" s="40">
        <v>274212</v>
      </c>
      <c r="I286" s="40">
        <v>231075</v>
      </c>
      <c r="J286">
        <v>18.66</v>
      </c>
      <c r="K286">
        <v>0</v>
      </c>
    </row>
    <row r="287" spans="1:11" customFormat="1">
      <c r="A287">
        <v>3527</v>
      </c>
      <c r="B287" t="s">
        <v>321</v>
      </c>
      <c r="C287" s="40">
        <v>149086</v>
      </c>
      <c r="D287" s="40">
        <v>186524</v>
      </c>
      <c r="E287" s="40">
        <v>117741</v>
      </c>
      <c r="F287">
        <v>-20.07</v>
      </c>
      <c r="G287">
        <v>26.62</v>
      </c>
      <c r="H287" s="40">
        <v>335610</v>
      </c>
      <c r="I287" s="40">
        <v>273535</v>
      </c>
      <c r="J287">
        <v>22.69</v>
      </c>
      <c r="K287">
        <v>0</v>
      </c>
    </row>
    <row r="288" spans="1:11" customFormat="1">
      <c r="A288">
        <v>3526</v>
      </c>
      <c r="B288" t="s">
        <v>1960</v>
      </c>
      <c r="C288" s="40">
        <v>132309</v>
      </c>
      <c r="D288" s="40">
        <v>171974</v>
      </c>
      <c r="E288" s="40">
        <v>111832</v>
      </c>
      <c r="F288">
        <v>-23.06</v>
      </c>
      <c r="G288">
        <v>18.309999999999999</v>
      </c>
      <c r="H288" s="40">
        <v>304283</v>
      </c>
      <c r="I288" s="40">
        <v>276104</v>
      </c>
      <c r="J288">
        <v>10.199999999999999</v>
      </c>
      <c r="K288">
        <v>0</v>
      </c>
    </row>
    <row r="289" spans="1:11" customFormat="1">
      <c r="A289">
        <v>3522</v>
      </c>
      <c r="B289" t="s">
        <v>320</v>
      </c>
      <c r="C289" s="40">
        <v>63494</v>
      </c>
      <c r="D289" s="40">
        <v>112675</v>
      </c>
      <c r="E289" s="40">
        <v>109532</v>
      </c>
      <c r="F289">
        <v>-43.64</v>
      </c>
      <c r="G289">
        <v>-42.03</v>
      </c>
      <c r="H289" s="40">
        <v>176169</v>
      </c>
      <c r="I289" s="40">
        <v>261456</v>
      </c>
      <c r="J289">
        <v>-32.619999999999997</v>
      </c>
      <c r="K289">
        <v>0</v>
      </c>
    </row>
    <row r="290" spans="1:11" customFormat="1">
      <c r="A290">
        <v>3520</v>
      </c>
      <c r="B290" t="s">
        <v>4107</v>
      </c>
      <c r="C290" s="40">
        <v>27138</v>
      </c>
      <c r="D290" s="40">
        <v>45764</v>
      </c>
      <c r="E290" s="40">
        <v>38913</v>
      </c>
      <c r="F290">
        <v>-40.700000000000003</v>
      </c>
      <c r="G290">
        <v>-30.25</v>
      </c>
      <c r="H290" s="40">
        <v>72902</v>
      </c>
      <c r="I290" s="40">
        <v>103623</v>
      </c>
      <c r="J290">
        <v>-29.64</v>
      </c>
      <c r="K290">
        <v>0</v>
      </c>
    </row>
    <row r="291" spans="1:11" customFormat="1">
      <c r="A291">
        <v>3516</v>
      </c>
      <c r="B291" t="s">
        <v>319</v>
      </c>
      <c r="C291" s="40">
        <v>34327</v>
      </c>
      <c r="D291" s="40">
        <v>63852</v>
      </c>
      <c r="E291" s="40">
        <v>37391</v>
      </c>
      <c r="F291">
        <v>-46.23</v>
      </c>
      <c r="G291">
        <v>-8.19</v>
      </c>
      <c r="H291" s="40">
        <v>98179</v>
      </c>
      <c r="I291" s="40">
        <v>140590</v>
      </c>
      <c r="J291">
        <v>-30.16</v>
      </c>
      <c r="K291">
        <v>0</v>
      </c>
    </row>
    <row r="292" spans="1:11" customFormat="1">
      <c r="A292">
        <v>3511</v>
      </c>
      <c r="B292" t="s">
        <v>3665</v>
      </c>
      <c r="C292" s="40">
        <v>75004</v>
      </c>
      <c r="D292" s="40">
        <v>123676</v>
      </c>
      <c r="E292" s="40">
        <v>44620</v>
      </c>
      <c r="F292">
        <v>-39.35</v>
      </c>
      <c r="G292">
        <v>68.09</v>
      </c>
      <c r="H292" s="40">
        <v>198680</v>
      </c>
      <c r="I292" s="40">
        <v>143677</v>
      </c>
      <c r="J292">
        <v>38.28</v>
      </c>
      <c r="K292">
        <v>0</v>
      </c>
    </row>
    <row r="293" spans="1:11" customFormat="1">
      <c r="A293">
        <v>3491</v>
      </c>
      <c r="B293" t="s">
        <v>2539</v>
      </c>
      <c r="C293" s="40">
        <v>92506</v>
      </c>
      <c r="D293" s="40">
        <v>130232</v>
      </c>
      <c r="E293" s="40">
        <v>83747</v>
      </c>
      <c r="F293">
        <v>-28.96</v>
      </c>
      <c r="G293">
        <v>10.45</v>
      </c>
      <c r="H293" s="40">
        <v>222738</v>
      </c>
      <c r="I293" s="40">
        <v>178376</v>
      </c>
      <c r="J293">
        <v>24.86</v>
      </c>
      <c r="K293">
        <v>0</v>
      </c>
    </row>
    <row r="294" spans="1:11" customFormat="1">
      <c r="A294">
        <v>3489</v>
      </c>
      <c r="B294" t="s">
        <v>315</v>
      </c>
      <c r="C294" s="40">
        <v>5899</v>
      </c>
      <c r="D294" s="40">
        <v>126453</v>
      </c>
      <c r="E294" s="40">
        <v>59038</v>
      </c>
      <c r="F294">
        <v>-95.33</v>
      </c>
      <c r="G294">
        <v>-90</v>
      </c>
      <c r="H294" s="40">
        <v>132352</v>
      </c>
      <c r="I294" s="40">
        <v>75748</v>
      </c>
      <c r="J294">
        <v>74.72</v>
      </c>
      <c r="K294">
        <v>0</v>
      </c>
    </row>
    <row r="295" spans="1:11" customFormat="1">
      <c r="A295">
        <v>3484</v>
      </c>
      <c r="B295" t="s">
        <v>314</v>
      </c>
      <c r="C295" s="40">
        <v>177842</v>
      </c>
      <c r="D295" s="40">
        <v>293734</v>
      </c>
      <c r="E295" s="40">
        <v>206486</v>
      </c>
      <c r="F295">
        <v>-39.450000000000003</v>
      </c>
      <c r="G295">
        <v>-13.87</v>
      </c>
      <c r="H295" s="40">
        <v>471576</v>
      </c>
      <c r="I295" s="40">
        <v>508147</v>
      </c>
      <c r="J295">
        <v>-7.19</v>
      </c>
      <c r="K295">
        <v>0</v>
      </c>
    </row>
    <row r="296" spans="1:11" customFormat="1">
      <c r="A296">
        <v>3483</v>
      </c>
      <c r="B296" t="s">
        <v>313</v>
      </c>
      <c r="C296" s="40">
        <v>177897</v>
      </c>
      <c r="D296" s="40">
        <v>281309</v>
      </c>
      <c r="E296" s="40">
        <v>179441</v>
      </c>
      <c r="F296">
        <v>-36.76</v>
      </c>
      <c r="G296">
        <v>-0.86</v>
      </c>
      <c r="H296" s="40">
        <v>459206</v>
      </c>
      <c r="I296" s="40">
        <v>433367</v>
      </c>
      <c r="J296">
        <v>5.96</v>
      </c>
      <c r="K296">
        <v>0</v>
      </c>
    </row>
    <row r="297" spans="1:11" customFormat="1">
      <c r="A297">
        <v>3452</v>
      </c>
      <c r="B297" t="s">
        <v>3925</v>
      </c>
      <c r="C297" s="40">
        <v>511251</v>
      </c>
      <c r="D297" s="40">
        <v>491083</v>
      </c>
      <c r="E297" s="40">
        <v>219317</v>
      </c>
      <c r="F297">
        <v>4.0999999999999996</v>
      </c>
      <c r="G297">
        <v>133.11000000000001</v>
      </c>
      <c r="H297" s="40">
        <v>1002333</v>
      </c>
      <c r="I297" s="40">
        <v>575972</v>
      </c>
      <c r="J297">
        <v>74.02</v>
      </c>
      <c r="K297">
        <v>0</v>
      </c>
    </row>
    <row r="298" spans="1:11" customFormat="1">
      <c r="A298">
        <v>3441</v>
      </c>
      <c r="B298" t="s">
        <v>4095</v>
      </c>
      <c r="C298" s="40">
        <v>22246</v>
      </c>
      <c r="D298" s="40">
        <v>43721</v>
      </c>
      <c r="E298" s="40">
        <v>25835</v>
      </c>
      <c r="F298">
        <v>-49.11</v>
      </c>
      <c r="G298">
        <v>-13.89</v>
      </c>
      <c r="H298" s="40">
        <v>65967</v>
      </c>
      <c r="I298" s="40">
        <v>88788</v>
      </c>
      <c r="J298">
        <v>-25.7</v>
      </c>
      <c r="K298">
        <v>0</v>
      </c>
    </row>
    <row r="299" spans="1:11" customFormat="1">
      <c r="A299">
        <v>3438</v>
      </c>
      <c r="B299" t="s">
        <v>1947</v>
      </c>
      <c r="C299" s="40">
        <v>67900</v>
      </c>
      <c r="D299" s="40">
        <v>90506</v>
      </c>
      <c r="E299" s="40">
        <v>71551</v>
      </c>
      <c r="F299">
        <v>-24.97</v>
      </c>
      <c r="G299">
        <v>-5.0999999999999996</v>
      </c>
      <c r="H299" s="40">
        <v>158406</v>
      </c>
      <c r="I299" s="40">
        <v>155539</v>
      </c>
      <c r="J299">
        <v>1.84</v>
      </c>
      <c r="K299">
        <v>0</v>
      </c>
    </row>
    <row r="300" spans="1:11" customFormat="1">
      <c r="A300">
        <v>3434</v>
      </c>
      <c r="B300" t="s">
        <v>310</v>
      </c>
      <c r="C300" s="40">
        <v>52911</v>
      </c>
      <c r="D300" s="40">
        <v>51321</v>
      </c>
      <c r="E300" s="40">
        <v>42833</v>
      </c>
      <c r="F300">
        <v>3.09</v>
      </c>
      <c r="G300">
        <v>23.52</v>
      </c>
      <c r="H300" s="40">
        <v>104232</v>
      </c>
      <c r="I300" s="40">
        <v>101243</v>
      </c>
      <c r="J300">
        <v>2.95</v>
      </c>
      <c r="K300">
        <v>0</v>
      </c>
    </row>
    <row r="301" spans="1:11" customFormat="1">
      <c r="A301">
        <v>3388</v>
      </c>
      <c r="B301" t="s">
        <v>308</v>
      </c>
      <c r="C301" s="40">
        <v>392721</v>
      </c>
      <c r="D301" s="40">
        <v>627765</v>
      </c>
      <c r="E301" s="40">
        <v>414661</v>
      </c>
      <c r="F301">
        <v>-37.44</v>
      </c>
      <c r="G301">
        <v>-5.29</v>
      </c>
      <c r="H301" s="40">
        <v>1020486</v>
      </c>
      <c r="I301" s="40">
        <v>1037497</v>
      </c>
      <c r="J301">
        <v>-1.63</v>
      </c>
      <c r="K301">
        <v>0</v>
      </c>
    </row>
    <row r="302" spans="1:11" customFormat="1">
      <c r="A302">
        <v>3373</v>
      </c>
      <c r="B302" t="s">
        <v>306</v>
      </c>
      <c r="C302" s="40">
        <v>71090</v>
      </c>
      <c r="D302" s="40">
        <v>86213</v>
      </c>
      <c r="E302" s="40">
        <v>60331</v>
      </c>
      <c r="F302">
        <v>-17.54</v>
      </c>
      <c r="G302">
        <v>17.829999999999998</v>
      </c>
      <c r="H302" s="40">
        <v>157304</v>
      </c>
      <c r="I302" s="40">
        <v>130676</v>
      </c>
      <c r="J302">
        <v>20.37</v>
      </c>
      <c r="K302">
        <v>0</v>
      </c>
    </row>
    <row r="303" spans="1:11" customFormat="1">
      <c r="A303">
        <v>3372</v>
      </c>
      <c r="B303" t="s">
        <v>305</v>
      </c>
      <c r="C303" s="40">
        <v>133838</v>
      </c>
      <c r="D303" s="40">
        <v>141398</v>
      </c>
      <c r="E303" s="40">
        <v>150087</v>
      </c>
      <c r="F303">
        <v>-5.34</v>
      </c>
      <c r="G303">
        <v>-10.82</v>
      </c>
      <c r="H303" s="40">
        <v>275236</v>
      </c>
      <c r="I303" s="40">
        <v>346125</v>
      </c>
      <c r="J303">
        <v>-20.48</v>
      </c>
      <c r="K303">
        <v>0</v>
      </c>
    </row>
    <row r="304" spans="1:11" customFormat="1">
      <c r="A304">
        <v>3360</v>
      </c>
      <c r="B304" t="s">
        <v>303</v>
      </c>
      <c r="C304" s="40">
        <v>807868</v>
      </c>
      <c r="D304" s="40">
        <v>882431</v>
      </c>
      <c r="E304" s="40">
        <v>551370</v>
      </c>
      <c r="F304">
        <v>-8.44</v>
      </c>
      <c r="G304">
        <v>46.52</v>
      </c>
      <c r="H304" s="40">
        <v>1690299</v>
      </c>
      <c r="I304" s="40">
        <v>1577101</v>
      </c>
      <c r="J304">
        <v>7.17</v>
      </c>
      <c r="K304">
        <v>0</v>
      </c>
    </row>
    <row r="305" spans="1:11" customFormat="1">
      <c r="A305">
        <v>3339</v>
      </c>
      <c r="B305" t="s">
        <v>1952</v>
      </c>
      <c r="C305" s="40">
        <v>63037</v>
      </c>
      <c r="D305" s="40">
        <v>67931</v>
      </c>
      <c r="E305" s="40">
        <v>115051</v>
      </c>
      <c r="F305">
        <v>-7.2</v>
      </c>
      <c r="G305">
        <v>-45.2</v>
      </c>
      <c r="H305" s="40">
        <v>130968</v>
      </c>
      <c r="I305" s="40">
        <v>221724</v>
      </c>
      <c r="J305">
        <v>-40.93</v>
      </c>
      <c r="K305">
        <v>0</v>
      </c>
    </row>
    <row r="306" spans="1:11" customFormat="1">
      <c r="A306">
        <v>3332</v>
      </c>
      <c r="B306" t="s">
        <v>302</v>
      </c>
      <c r="C306" s="40">
        <v>64098</v>
      </c>
      <c r="D306" s="40">
        <v>93800</v>
      </c>
      <c r="E306" s="40">
        <v>68565</v>
      </c>
      <c r="F306">
        <v>-31.66</v>
      </c>
      <c r="G306">
        <v>-6.51</v>
      </c>
      <c r="H306" s="40">
        <v>157898</v>
      </c>
      <c r="I306" s="40">
        <v>176781</v>
      </c>
      <c r="J306">
        <v>-10.68</v>
      </c>
      <c r="K306">
        <v>0</v>
      </c>
    </row>
    <row r="307" spans="1:11" customFormat="1">
      <c r="A307">
        <v>3323</v>
      </c>
      <c r="B307" t="s">
        <v>301</v>
      </c>
      <c r="C307" s="40">
        <v>232593</v>
      </c>
      <c r="D307" s="40">
        <v>352779</v>
      </c>
      <c r="E307" s="40">
        <v>266642</v>
      </c>
      <c r="F307">
        <v>-34.06</v>
      </c>
      <c r="G307">
        <v>-12.76</v>
      </c>
      <c r="H307" s="40">
        <v>585372</v>
      </c>
      <c r="I307" s="40">
        <v>752484</v>
      </c>
      <c r="J307">
        <v>-22.2</v>
      </c>
      <c r="K307">
        <v>0</v>
      </c>
    </row>
    <row r="308" spans="1:11" customFormat="1">
      <c r="A308">
        <v>3322</v>
      </c>
      <c r="B308" t="s">
        <v>4106</v>
      </c>
      <c r="C308" s="40">
        <v>130444</v>
      </c>
      <c r="D308" s="40">
        <v>252304</v>
      </c>
      <c r="E308" s="40">
        <v>139868</v>
      </c>
      <c r="F308">
        <v>-48.29</v>
      </c>
      <c r="G308">
        <v>-6.73</v>
      </c>
      <c r="H308" s="40">
        <v>382748</v>
      </c>
      <c r="I308" s="40">
        <v>332043</v>
      </c>
      <c r="J308">
        <v>15.27</v>
      </c>
      <c r="K308">
        <v>0</v>
      </c>
    </row>
    <row r="309" spans="1:11" customFormat="1">
      <c r="A309">
        <v>3317</v>
      </c>
      <c r="B309" t="s">
        <v>3908</v>
      </c>
      <c r="C309" s="40">
        <v>124060</v>
      </c>
      <c r="D309" s="40">
        <v>202350</v>
      </c>
      <c r="E309" s="40">
        <v>130965</v>
      </c>
      <c r="F309">
        <v>-38.69</v>
      </c>
      <c r="G309">
        <v>-5.27</v>
      </c>
      <c r="H309" s="40">
        <v>326410</v>
      </c>
      <c r="I309" s="40">
        <v>296959</v>
      </c>
      <c r="J309">
        <v>9.91</v>
      </c>
      <c r="K309">
        <v>0</v>
      </c>
    </row>
    <row r="310" spans="1:11" customFormat="1">
      <c r="A310">
        <v>3313</v>
      </c>
      <c r="B310" t="s">
        <v>300</v>
      </c>
      <c r="C310" s="40">
        <v>112220</v>
      </c>
      <c r="D310" s="40">
        <v>123010</v>
      </c>
      <c r="E310" s="40">
        <v>129122</v>
      </c>
      <c r="F310">
        <v>-8.77</v>
      </c>
      <c r="G310">
        <v>-13.08</v>
      </c>
      <c r="H310" s="40">
        <v>235230</v>
      </c>
      <c r="I310" s="40">
        <v>302951</v>
      </c>
      <c r="J310">
        <v>-22.35</v>
      </c>
      <c r="K310">
        <v>0</v>
      </c>
    </row>
    <row r="311" spans="1:11" customFormat="1">
      <c r="A311">
        <v>3310</v>
      </c>
      <c r="B311" t="s">
        <v>4105</v>
      </c>
      <c r="C311" s="40">
        <v>94535</v>
      </c>
      <c r="D311" s="40">
        <v>66376</v>
      </c>
      <c r="E311" s="40">
        <v>34018</v>
      </c>
      <c r="F311">
        <v>42.42</v>
      </c>
      <c r="G311">
        <v>177.89</v>
      </c>
      <c r="H311" s="40">
        <v>160911</v>
      </c>
      <c r="I311" s="40">
        <v>88257</v>
      </c>
      <c r="J311">
        <v>82.32</v>
      </c>
      <c r="K311">
        <v>1</v>
      </c>
    </row>
    <row r="312" spans="1:11" customFormat="1">
      <c r="A312">
        <v>3299</v>
      </c>
      <c r="B312" t="s">
        <v>298</v>
      </c>
      <c r="C312" s="40">
        <v>139702</v>
      </c>
      <c r="D312" s="40">
        <v>256664</v>
      </c>
      <c r="E312" s="40">
        <v>190702</v>
      </c>
      <c r="F312">
        <v>-45.57</v>
      </c>
      <c r="G312">
        <v>-26.74</v>
      </c>
      <c r="H312" s="40">
        <v>396365</v>
      </c>
      <c r="I312" s="40">
        <v>436121</v>
      </c>
      <c r="J312">
        <v>-9.11</v>
      </c>
      <c r="K312">
        <v>0</v>
      </c>
    </row>
    <row r="313" spans="1:11" customFormat="1">
      <c r="A313">
        <v>3297</v>
      </c>
      <c r="B313" t="s">
        <v>297</v>
      </c>
      <c r="C313" s="40">
        <v>29055</v>
      </c>
      <c r="D313" s="40">
        <v>58828</v>
      </c>
      <c r="E313" s="40">
        <v>35901</v>
      </c>
      <c r="F313">
        <v>-50.61</v>
      </c>
      <c r="G313">
        <v>-19.059999999999999</v>
      </c>
      <c r="H313" s="40">
        <v>87889</v>
      </c>
      <c r="I313" s="40">
        <v>98428</v>
      </c>
      <c r="J313">
        <v>-10.7</v>
      </c>
      <c r="K313">
        <v>0</v>
      </c>
    </row>
    <row r="314" spans="1:11" customFormat="1">
      <c r="A314">
        <v>3294</v>
      </c>
      <c r="B314" t="s">
        <v>296</v>
      </c>
      <c r="C314" s="40">
        <v>271184</v>
      </c>
      <c r="D314" s="40">
        <v>420732</v>
      </c>
      <c r="E314" s="40">
        <v>363905</v>
      </c>
      <c r="F314">
        <v>-35.54</v>
      </c>
      <c r="G314">
        <v>-25.47</v>
      </c>
      <c r="H314" s="40">
        <v>691916</v>
      </c>
      <c r="I314" s="40">
        <v>851089</v>
      </c>
      <c r="J314">
        <v>-18.7</v>
      </c>
      <c r="K314">
        <v>0</v>
      </c>
    </row>
    <row r="315" spans="1:11" customFormat="1">
      <c r="A315">
        <v>3293</v>
      </c>
      <c r="B315" t="s">
        <v>3966</v>
      </c>
      <c r="C315" s="40">
        <v>254589</v>
      </c>
      <c r="D315" s="40">
        <v>271153</v>
      </c>
      <c r="E315" s="40">
        <v>100955</v>
      </c>
      <c r="F315">
        <v>-6.1</v>
      </c>
      <c r="G315">
        <v>152.18</v>
      </c>
      <c r="H315" s="40">
        <v>525742</v>
      </c>
      <c r="I315" s="40">
        <v>213423</v>
      </c>
      <c r="J315">
        <v>146.33000000000001</v>
      </c>
      <c r="K315">
        <v>0</v>
      </c>
    </row>
    <row r="316" spans="1:11" customFormat="1">
      <c r="A316">
        <v>3291</v>
      </c>
      <c r="B316" t="s">
        <v>295</v>
      </c>
      <c r="C316" s="40">
        <v>46027</v>
      </c>
      <c r="D316" s="40">
        <v>55125</v>
      </c>
      <c r="E316" s="40">
        <v>36835</v>
      </c>
      <c r="F316">
        <v>-16.5</v>
      </c>
      <c r="G316">
        <v>24.95</v>
      </c>
      <c r="H316" s="40">
        <v>101152</v>
      </c>
      <c r="I316" s="40">
        <v>99918</v>
      </c>
      <c r="J316">
        <v>1.23</v>
      </c>
      <c r="K316">
        <v>0</v>
      </c>
    </row>
    <row r="317" spans="1:11" customFormat="1">
      <c r="A317">
        <v>3290</v>
      </c>
      <c r="B317" t="s">
        <v>1953</v>
      </c>
      <c r="C317" s="40">
        <v>142371</v>
      </c>
      <c r="D317" s="40">
        <v>210910</v>
      </c>
      <c r="E317" s="40">
        <v>203162</v>
      </c>
      <c r="F317">
        <v>-32.49</v>
      </c>
      <c r="G317">
        <v>-29.92</v>
      </c>
      <c r="H317" s="40">
        <v>353281</v>
      </c>
      <c r="I317" s="40">
        <v>539983</v>
      </c>
      <c r="J317">
        <v>-34.57</v>
      </c>
      <c r="K317">
        <v>0</v>
      </c>
    </row>
    <row r="318" spans="1:11" customFormat="1">
      <c r="A318">
        <v>3287</v>
      </c>
      <c r="B318" t="s">
        <v>3919</v>
      </c>
      <c r="C318" s="40">
        <v>25160</v>
      </c>
      <c r="D318" s="40">
        <v>21731</v>
      </c>
      <c r="E318" s="40">
        <v>26777</v>
      </c>
      <c r="F318">
        <v>15.77</v>
      </c>
      <c r="G318">
        <v>-6.03</v>
      </c>
      <c r="H318" s="40">
        <v>46891</v>
      </c>
      <c r="I318" s="40">
        <v>58920</v>
      </c>
      <c r="J318">
        <v>-20.41</v>
      </c>
      <c r="K318">
        <v>1</v>
      </c>
    </row>
    <row r="319" spans="1:11" customFormat="1">
      <c r="A319">
        <v>3285</v>
      </c>
      <c r="B319" t="s">
        <v>294</v>
      </c>
      <c r="C319" s="40">
        <v>92019</v>
      </c>
      <c r="D319" s="40">
        <v>114816</v>
      </c>
      <c r="E319" s="40">
        <v>80875</v>
      </c>
      <c r="F319">
        <v>-19.850000000000001</v>
      </c>
      <c r="G319">
        <v>13.77</v>
      </c>
      <c r="H319" s="40">
        <v>206835</v>
      </c>
      <c r="I319" s="40">
        <v>175702</v>
      </c>
      <c r="J319">
        <v>17.71</v>
      </c>
      <c r="K319">
        <v>0</v>
      </c>
    </row>
    <row r="320" spans="1:11" customFormat="1">
      <c r="A320">
        <v>3284</v>
      </c>
      <c r="B320" t="s">
        <v>293</v>
      </c>
      <c r="C320" s="40">
        <v>53093</v>
      </c>
      <c r="D320" s="40">
        <v>69364</v>
      </c>
      <c r="E320" s="40">
        <v>61887</v>
      </c>
      <c r="F320">
        <v>-23.45</v>
      </c>
      <c r="G320">
        <v>-14.2</v>
      </c>
      <c r="H320" s="40">
        <v>122457</v>
      </c>
      <c r="I320" s="40">
        <v>142292</v>
      </c>
      <c r="J320">
        <v>-13.93</v>
      </c>
      <c r="K320">
        <v>0</v>
      </c>
    </row>
    <row r="321" spans="1:11" customFormat="1">
      <c r="A321">
        <v>3272</v>
      </c>
      <c r="B321" t="s">
        <v>292</v>
      </c>
      <c r="C321" s="40">
        <v>166131</v>
      </c>
      <c r="D321" s="40">
        <v>271805</v>
      </c>
      <c r="E321" s="40">
        <v>192463</v>
      </c>
      <c r="F321">
        <v>-38.869999999999997</v>
      </c>
      <c r="G321">
        <v>-13.68</v>
      </c>
      <c r="H321" s="40">
        <v>437936</v>
      </c>
      <c r="I321" s="40">
        <v>418492</v>
      </c>
      <c r="J321">
        <v>4.6399999999999997</v>
      </c>
      <c r="K321">
        <v>0</v>
      </c>
    </row>
    <row r="322" spans="1:11" customFormat="1">
      <c r="A322">
        <v>3268</v>
      </c>
      <c r="B322" t="s">
        <v>291</v>
      </c>
      <c r="C322" s="40">
        <v>33162</v>
      </c>
      <c r="D322" s="40">
        <v>36631</v>
      </c>
      <c r="E322" s="40">
        <v>30303</v>
      </c>
      <c r="F322">
        <v>-9.4700000000000006</v>
      </c>
      <c r="G322">
        <v>9.43</v>
      </c>
      <c r="H322" s="40">
        <v>69801</v>
      </c>
      <c r="I322" s="40">
        <v>83503</v>
      </c>
      <c r="J322">
        <v>-16.399999999999999</v>
      </c>
      <c r="K322">
        <v>0</v>
      </c>
    </row>
    <row r="323" spans="1:11" customFormat="1">
      <c r="A323">
        <v>3265</v>
      </c>
      <c r="B323" t="s">
        <v>290</v>
      </c>
      <c r="C323" s="40">
        <v>197124</v>
      </c>
      <c r="D323" s="40">
        <v>189793</v>
      </c>
      <c r="E323" s="40">
        <v>294802</v>
      </c>
      <c r="F323">
        <v>3.86</v>
      </c>
      <c r="G323">
        <v>-33.130000000000003</v>
      </c>
      <c r="H323" s="40">
        <v>386917</v>
      </c>
      <c r="I323" s="40">
        <v>622421</v>
      </c>
      <c r="J323">
        <v>-37.83</v>
      </c>
      <c r="K323">
        <v>0</v>
      </c>
    </row>
    <row r="324" spans="1:11" customFormat="1">
      <c r="A324">
        <v>3264</v>
      </c>
      <c r="B324" t="s">
        <v>3907</v>
      </c>
      <c r="C324" s="40">
        <v>398519</v>
      </c>
      <c r="D324" s="40">
        <v>429411</v>
      </c>
      <c r="E324" s="40">
        <v>475284</v>
      </c>
      <c r="F324">
        <v>-7.19</v>
      </c>
      <c r="G324">
        <v>-16.149999999999999</v>
      </c>
      <c r="H324" s="40">
        <v>827930</v>
      </c>
      <c r="I324" s="40">
        <v>976938</v>
      </c>
      <c r="J324">
        <v>-15.25</v>
      </c>
      <c r="K324">
        <v>0</v>
      </c>
    </row>
    <row r="325" spans="1:11" customFormat="1">
      <c r="A325">
        <v>3260</v>
      </c>
      <c r="B325" t="s">
        <v>3906</v>
      </c>
      <c r="C325" s="40">
        <v>1337023</v>
      </c>
      <c r="D325" s="40">
        <v>1824713</v>
      </c>
      <c r="E325" s="40">
        <v>1373477</v>
      </c>
      <c r="F325">
        <v>-26.72</v>
      </c>
      <c r="G325">
        <v>-2.65</v>
      </c>
      <c r="H325" s="40">
        <v>3161736</v>
      </c>
      <c r="I325" s="40">
        <v>3379586</v>
      </c>
      <c r="J325">
        <v>-6.44</v>
      </c>
      <c r="K325">
        <v>0</v>
      </c>
    </row>
    <row r="326" spans="1:11" customFormat="1">
      <c r="A326">
        <v>3259</v>
      </c>
      <c r="B326" t="s">
        <v>3905</v>
      </c>
      <c r="C326" s="40">
        <v>35875</v>
      </c>
      <c r="D326" s="40">
        <v>71865</v>
      </c>
      <c r="E326" s="40">
        <v>30554</v>
      </c>
      <c r="F326">
        <v>-50.08</v>
      </c>
      <c r="G326">
        <v>17.41</v>
      </c>
      <c r="H326" s="40">
        <v>107740</v>
      </c>
      <c r="I326" s="40">
        <v>89924</v>
      </c>
      <c r="J326">
        <v>19.809999999999999</v>
      </c>
      <c r="K326">
        <v>0</v>
      </c>
    </row>
    <row r="327" spans="1:11" customFormat="1">
      <c r="A327">
        <v>3252</v>
      </c>
      <c r="B327" t="s">
        <v>289</v>
      </c>
      <c r="C327" s="40">
        <v>7543</v>
      </c>
      <c r="D327" s="40">
        <v>7288</v>
      </c>
      <c r="E327" s="40">
        <v>20074</v>
      </c>
      <c r="F327">
        <v>3.49</v>
      </c>
      <c r="G327">
        <v>-62.42</v>
      </c>
      <c r="H327" s="40">
        <v>14832</v>
      </c>
      <c r="I327" s="40">
        <v>38396</v>
      </c>
      <c r="J327">
        <v>-61.37</v>
      </c>
      <c r="K327">
        <v>0</v>
      </c>
    </row>
    <row r="328" spans="1:11" customFormat="1">
      <c r="A328">
        <v>3236</v>
      </c>
      <c r="B328" t="s">
        <v>288</v>
      </c>
      <c r="C328" s="40">
        <v>125293</v>
      </c>
      <c r="D328" s="40">
        <v>168186</v>
      </c>
      <c r="E328" s="40">
        <v>114436</v>
      </c>
      <c r="F328">
        <v>-25.5</v>
      </c>
      <c r="G328">
        <v>9.48</v>
      </c>
      <c r="H328" s="40">
        <v>293479</v>
      </c>
      <c r="I328" s="40">
        <v>272528</v>
      </c>
      <c r="J328">
        <v>7.68</v>
      </c>
      <c r="K328">
        <v>0</v>
      </c>
    </row>
    <row r="329" spans="1:11" customFormat="1">
      <c r="A329">
        <v>3234</v>
      </c>
      <c r="B329" t="s">
        <v>287</v>
      </c>
      <c r="C329" s="40">
        <v>425702</v>
      </c>
      <c r="D329" s="40">
        <v>526321</v>
      </c>
      <c r="E329" s="40">
        <v>209861</v>
      </c>
      <c r="F329">
        <v>-19.11</v>
      </c>
      <c r="G329">
        <v>102.84</v>
      </c>
      <c r="H329" s="40">
        <v>952024</v>
      </c>
      <c r="I329" s="40">
        <v>471828</v>
      </c>
      <c r="J329">
        <v>101.77</v>
      </c>
      <c r="K329">
        <v>0</v>
      </c>
    </row>
    <row r="330" spans="1:11" customFormat="1">
      <c r="A330">
        <v>3230</v>
      </c>
      <c r="B330" t="s">
        <v>4094</v>
      </c>
      <c r="C330" s="40">
        <v>57731</v>
      </c>
      <c r="D330" s="40">
        <v>97665</v>
      </c>
      <c r="E330" s="40">
        <v>94980</v>
      </c>
      <c r="F330">
        <v>-40.880000000000003</v>
      </c>
      <c r="G330">
        <v>-39.21</v>
      </c>
      <c r="H330" s="40">
        <v>155396</v>
      </c>
      <c r="I330" s="40">
        <v>296907</v>
      </c>
      <c r="J330">
        <v>-47.66</v>
      </c>
      <c r="K330">
        <v>0</v>
      </c>
    </row>
    <row r="331" spans="1:11" customFormat="1">
      <c r="A331">
        <v>3228</v>
      </c>
      <c r="B331" t="s">
        <v>285</v>
      </c>
      <c r="C331" s="40">
        <v>20195</v>
      </c>
      <c r="D331" s="40">
        <v>20193</v>
      </c>
      <c r="E331" s="40">
        <v>23294</v>
      </c>
      <c r="F331">
        <v>0</v>
      </c>
      <c r="G331">
        <v>-13.3</v>
      </c>
      <c r="H331" s="40">
        <v>40388</v>
      </c>
      <c r="I331" s="40">
        <v>45353</v>
      </c>
      <c r="J331">
        <v>-10.94</v>
      </c>
      <c r="K331">
        <v>0</v>
      </c>
    </row>
    <row r="332" spans="1:11" customFormat="1">
      <c r="A332">
        <v>3227</v>
      </c>
      <c r="B332" t="s">
        <v>284</v>
      </c>
      <c r="C332" s="40">
        <v>299487</v>
      </c>
      <c r="D332" s="40">
        <v>370941</v>
      </c>
      <c r="E332" s="40">
        <v>337724</v>
      </c>
      <c r="F332">
        <v>-19.260000000000002</v>
      </c>
      <c r="G332">
        <v>-11.32</v>
      </c>
      <c r="H332" s="40">
        <v>670428</v>
      </c>
      <c r="I332" s="40">
        <v>698370</v>
      </c>
      <c r="J332">
        <v>-4</v>
      </c>
      <c r="K332">
        <v>0</v>
      </c>
    </row>
    <row r="333" spans="1:11" customFormat="1">
      <c r="A333">
        <v>3226</v>
      </c>
      <c r="B333" t="s">
        <v>283</v>
      </c>
      <c r="C333" s="40">
        <v>82309</v>
      </c>
      <c r="D333" s="40">
        <v>137139</v>
      </c>
      <c r="E333" s="40">
        <v>72644</v>
      </c>
      <c r="F333">
        <v>-39.979999999999997</v>
      </c>
      <c r="G333">
        <v>13.3</v>
      </c>
      <c r="H333" s="40">
        <v>219448</v>
      </c>
      <c r="I333" s="40">
        <v>135703</v>
      </c>
      <c r="J333">
        <v>61.71</v>
      </c>
      <c r="K333">
        <v>0</v>
      </c>
    </row>
    <row r="334" spans="1:11" customFormat="1">
      <c r="A334">
        <v>3221</v>
      </c>
      <c r="B334" t="s">
        <v>3928</v>
      </c>
      <c r="C334" s="40">
        <v>111214</v>
      </c>
      <c r="D334" s="40">
        <v>177534</v>
      </c>
      <c r="E334" s="40">
        <v>103517</v>
      </c>
      <c r="F334">
        <v>-37.35</v>
      </c>
      <c r="G334">
        <v>7.43</v>
      </c>
      <c r="H334" s="40">
        <v>288748</v>
      </c>
      <c r="I334" s="40">
        <v>249733</v>
      </c>
      <c r="J334">
        <v>15.62</v>
      </c>
      <c r="K334">
        <v>0</v>
      </c>
    </row>
    <row r="335" spans="1:11" customFormat="1">
      <c r="A335">
        <v>3213</v>
      </c>
      <c r="B335" t="s">
        <v>3918</v>
      </c>
      <c r="C335" s="40">
        <v>148489</v>
      </c>
      <c r="D335" s="40">
        <v>126396</v>
      </c>
      <c r="E335" s="40">
        <v>145128</v>
      </c>
      <c r="F335">
        <v>17.47</v>
      </c>
      <c r="G335">
        <v>2.31</v>
      </c>
      <c r="H335" s="40">
        <v>274885</v>
      </c>
      <c r="I335" s="40">
        <v>331939</v>
      </c>
      <c r="J335">
        <v>-17.18</v>
      </c>
      <c r="K335">
        <v>1</v>
      </c>
    </row>
    <row r="336" spans="1:11" customFormat="1">
      <c r="A336">
        <v>3211</v>
      </c>
      <c r="B336" t="s">
        <v>3643</v>
      </c>
      <c r="C336" s="40">
        <v>1416946</v>
      </c>
      <c r="D336" s="40">
        <v>1513197</v>
      </c>
      <c r="E336" s="40">
        <v>1454541</v>
      </c>
      <c r="F336">
        <v>-6.36</v>
      </c>
      <c r="G336">
        <v>-2.58</v>
      </c>
      <c r="H336" s="40">
        <v>2930143</v>
      </c>
      <c r="I336" s="40">
        <v>3473849</v>
      </c>
      <c r="J336">
        <v>-15.65</v>
      </c>
      <c r="K336">
        <v>0</v>
      </c>
    </row>
    <row r="337" spans="1:11" customFormat="1">
      <c r="A337">
        <v>3207</v>
      </c>
      <c r="B337" t="s">
        <v>281</v>
      </c>
      <c r="C337" s="40">
        <v>45589</v>
      </c>
      <c r="D337" s="40">
        <v>92023</v>
      </c>
      <c r="E337" s="40">
        <v>49404</v>
      </c>
      <c r="F337">
        <v>-50.45</v>
      </c>
      <c r="G337">
        <v>-7.72</v>
      </c>
      <c r="H337" s="40">
        <v>137612</v>
      </c>
      <c r="I337" s="40">
        <v>143548</v>
      </c>
      <c r="J337">
        <v>-4.13</v>
      </c>
      <c r="K337">
        <v>0</v>
      </c>
    </row>
    <row r="338" spans="1:11" customFormat="1">
      <c r="A338">
        <v>3206</v>
      </c>
      <c r="B338" t="s">
        <v>3871</v>
      </c>
      <c r="C338" s="40">
        <v>88646</v>
      </c>
      <c r="D338" s="40">
        <v>172409</v>
      </c>
      <c r="E338" s="40">
        <v>75887</v>
      </c>
      <c r="F338">
        <v>-48.58</v>
      </c>
      <c r="G338">
        <v>16.809999999999999</v>
      </c>
      <c r="H338" s="40">
        <v>261054</v>
      </c>
      <c r="I338" s="40">
        <v>211571</v>
      </c>
      <c r="J338">
        <v>23.38</v>
      </c>
      <c r="K338">
        <v>0</v>
      </c>
    </row>
    <row r="339" spans="1:11" customFormat="1">
      <c r="A339">
        <v>3205</v>
      </c>
      <c r="B339" t="s">
        <v>280</v>
      </c>
      <c r="C339" s="40">
        <v>161228</v>
      </c>
      <c r="D339" s="40">
        <v>218549</v>
      </c>
      <c r="E339" s="40">
        <v>52690</v>
      </c>
      <c r="F339">
        <v>-26.22</v>
      </c>
      <c r="G339">
        <v>205.99</v>
      </c>
      <c r="H339" s="40">
        <v>379777</v>
      </c>
      <c r="I339" s="40">
        <v>107888</v>
      </c>
      <c r="J339">
        <v>252.01</v>
      </c>
      <c r="K339">
        <v>0</v>
      </c>
    </row>
    <row r="340" spans="1:11" customFormat="1">
      <c r="A340">
        <v>3188</v>
      </c>
      <c r="B340" t="s">
        <v>279</v>
      </c>
      <c r="C340" s="40">
        <v>3559</v>
      </c>
      <c r="D340" s="40">
        <v>23309</v>
      </c>
      <c r="E340" s="40">
        <v>12022</v>
      </c>
      <c r="F340">
        <v>-84.73</v>
      </c>
      <c r="G340">
        <v>-70.39</v>
      </c>
      <c r="H340" s="40">
        <v>26868</v>
      </c>
      <c r="I340" s="40">
        <v>31446</v>
      </c>
      <c r="J340">
        <v>-14.55</v>
      </c>
      <c r="K340">
        <v>0</v>
      </c>
    </row>
    <row r="341" spans="1:11" customFormat="1">
      <c r="A341">
        <v>3171</v>
      </c>
      <c r="B341" t="s">
        <v>1999</v>
      </c>
      <c r="C341" s="40">
        <v>107564</v>
      </c>
      <c r="D341" s="40">
        <v>157832</v>
      </c>
      <c r="E341" s="40">
        <v>115140</v>
      </c>
      <c r="F341">
        <v>-31.84</v>
      </c>
      <c r="G341">
        <v>-6.57</v>
      </c>
      <c r="H341" s="40">
        <v>265396</v>
      </c>
      <c r="I341" s="40">
        <v>254223</v>
      </c>
      <c r="J341">
        <v>4.3899999999999997</v>
      </c>
      <c r="K341">
        <v>0</v>
      </c>
    </row>
    <row r="342" spans="1:11" customFormat="1">
      <c r="A342">
        <v>3169</v>
      </c>
      <c r="B342" t="s">
        <v>3904</v>
      </c>
      <c r="C342" s="40">
        <v>47337</v>
      </c>
      <c r="D342" s="40">
        <v>60287</v>
      </c>
      <c r="E342" s="40">
        <v>40833</v>
      </c>
      <c r="F342">
        <v>-21.48</v>
      </c>
      <c r="G342">
        <v>15.92</v>
      </c>
      <c r="H342" s="40">
        <v>107624</v>
      </c>
      <c r="I342" s="40">
        <v>93388</v>
      </c>
      <c r="J342">
        <v>15.24</v>
      </c>
      <c r="K342">
        <v>0</v>
      </c>
    </row>
    <row r="343" spans="1:11" customFormat="1">
      <c r="A343">
        <v>3163</v>
      </c>
      <c r="B343" t="s">
        <v>277</v>
      </c>
      <c r="C343" s="40">
        <v>175680</v>
      </c>
      <c r="D343" s="40">
        <v>238372</v>
      </c>
      <c r="E343" s="40">
        <v>153831</v>
      </c>
      <c r="F343">
        <v>-26.3</v>
      </c>
      <c r="G343">
        <v>14.2</v>
      </c>
      <c r="H343" s="40">
        <v>414051</v>
      </c>
      <c r="I343" s="40">
        <v>347161</v>
      </c>
      <c r="J343">
        <v>19.260000000000002</v>
      </c>
      <c r="K343">
        <v>0</v>
      </c>
    </row>
    <row r="344" spans="1:11" customFormat="1">
      <c r="A344">
        <v>3152</v>
      </c>
      <c r="B344" t="s">
        <v>3637</v>
      </c>
      <c r="C344" s="40">
        <v>125046</v>
      </c>
      <c r="D344" s="40">
        <v>165439</v>
      </c>
      <c r="E344" s="40">
        <v>104070</v>
      </c>
      <c r="F344">
        <v>-24.41</v>
      </c>
      <c r="G344">
        <v>20.149999999999999</v>
      </c>
      <c r="H344" s="40">
        <v>290485</v>
      </c>
      <c r="I344" s="40">
        <v>226295</v>
      </c>
      <c r="J344">
        <v>28.36</v>
      </c>
      <c r="K344">
        <v>0</v>
      </c>
    </row>
    <row r="345" spans="1:11" customFormat="1">
      <c r="A345">
        <v>3144</v>
      </c>
      <c r="B345" t="s">
        <v>276</v>
      </c>
      <c r="C345" s="40">
        <v>131659</v>
      </c>
      <c r="D345" s="40">
        <v>177834</v>
      </c>
      <c r="E345" s="40">
        <v>103416</v>
      </c>
      <c r="F345" s="372">
        <v>-25.96</v>
      </c>
      <c r="G345">
        <v>27.31</v>
      </c>
      <c r="H345" s="40">
        <v>309493</v>
      </c>
      <c r="I345" s="40">
        <v>259238</v>
      </c>
      <c r="J345">
        <v>19.38</v>
      </c>
      <c r="K345">
        <v>0</v>
      </c>
    </row>
    <row r="346" spans="1:11" customFormat="1">
      <c r="A346">
        <v>3141</v>
      </c>
      <c r="B346" t="s">
        <v>275</v>
      </c>
      <c r="C346" s="40">
        <v>61032</v>
      </c>
      <c r="D346" s="40">
        <v>117334</v>
      </c>
      <c r="E346" s="40">
        <v>52760</v>
      </c>
      <c r="F346">
        <v>-47.98</v>
      </c>
      <c r="G346">
        <v>15.67</v>
      </c>
      <c r="H346" s="40">
        <v>178366</v>
      </c>
      <c r="I346" s="40">
        <v>152480</v>
      </c>
      <c r="J346">
        <v>16.97</v>
      </c>
      <c r="K346">
        <v>0</v>
      </c>
    </row>
    <row r="347" spans="1:11" customFormat="1">
      <c r="A347">
        <v>3131</v>
      </c>
      <c r="B347" t="s">
        <v>4116</v>
      </c>
      <c r="C347" s="40">
        <v>162830</v>
      </c>
      <c r="D347" s="40">
        <v>144217</v>
      </c>
      <c r="E347" s="40">
        <v>114885</v>
      </c>
      <c r="F347">
        <v>12.9</v>
      </c>
      <c r="G347">
        <v>41.73</v>
      </c>
      <c r="H347" s="40">
        <v>307048</v>
      </c>
      <c r="I347" s="40">
        <v>235491</v>
      </c>
      <c r="J347">
        <v>30.38</v>
      </c>
      <c r="K347">
        <v>1</v>
      </c>
    </row>
    <row r="348" spans="1:11" customFormat="1">
      <c r="A348">
        <v>3118</v>
      </c>
      <c r="B348" t="s">
        <v>4079</v>
      </c>
      <c r="C348" s="40">
        <v>27917</v>
      </c>
      <c r="D348" s="40">
        <v>34247</v>
      </c>
      <c r="E348" s="40">
        <v>25364</v>
      </c>
      <c r="F348">
        <v>-18.48</v>
      </c>
      <c r="G348">
        <v>10.06</v>
      </c>
      <c r="H348" s="40">
        <v>62165</v>
      </c>
      <c r="I348" s="40">
        <v>65916</v>
      </c>
      <c r="J348">
        <v>-5.69</v>
      </c>
      <c r="K348">
        <v>0</v>
      </c>
    </row>
    <row r="349" spans="1:11" customFormat="1">
      <c r="A349">
        <v>3115</v>
      </c>
      <c r="B349" t="s">
        <v>1452</v>
      </c>
      <c r="C349" s="40">
        <v>27018</v>
      </c>
      <c r="D349" s="40">
        <v>58429</v>
      </c>
      <c r="E349" s="40">
        <v>43528</v>
      </c>
      <c r="F349">
        <v>-53.75</v>
      </c>
      <c r="G349">
        <v>-37.92</v>
      </c>
      <c r="H349" s="40">
        <v>85447</v>
      </c>
      <c r="I349" s="40">
        <v>120777</v>
      </c>
      <c r="J349">
        <v>-29.25</v>
      </c>
      <c r="K349">
        <v>0</v>
      </c>
    </row>
    <row r="350" spans="1:11" customFormat="1">
      <c r="A350">
        <v>3105</v>
      </c>
      <c r="B350" t="s">
        <v>274</v>
      </c>
      <c r="C350" s="40">
        <v>1084586</v>
      </c>
      <c r="D350" s="40">
        <v>1088596</v>
      </c>
      <c r="E350" s="40">
        <v>900535</v>
      </c>
      <c r="F350">
        <v>-0.36</v>
      </c>
      <c r="G350">
        <v>20.43</v>
      </c>
      <c r="H350" s="40">
        <v>2173182</v>
      </c>
      <c r="I350" s="40">
        <v>1766855</v>
      </c>
      <c r="J350">
        <v>22.99</v>
      </c>
      <c r="K350">
        <v>0</v>
      </c>
    </row>
    <row r="351" spans="1:11" customFormat="1">
      <c r="A351">
        <v>3095</v>
      </c>
      <c r="B351" t="s">
        <v>273</v>
      </c>
      <c r="C351" s="40">
        <v>97513</v>
      </c>
      <c r="D351" s="40">
        <v>183401</v>
      </c>
      <c r="E351" s="40">
        <v>450342</v>
      </c>
      <c r="F351">
        <v>-46.83</v>
      </c>
      <c r="G351">
        <v>-78.34</v>
      </c>
      <c r="H351" s="40">
        <v>280914</v>
      </c>
      <c r="I351" s="40">
        <v>1113708</v>
      </c>
      <c r="J351">
        <v>-74.77</v>
      </c>
      <c r="K351">
        <v>0</v>
      </c>
    </row>
    <row r="352" spans="1:11" customFormat="1">
      <c r="A352">
        <v>3093</v>
      </c>
      <c r="B352" t="s">
        <v>272</v>
      </c>
      <c r="C352" s="40">
        <v>95711</v>
      </c>
      <c r="D352" s="40">
        <v>64891</v>
      </c>
      <c r="E352" s="40">
        <v>78789</v>
      </c>
      <c r="F352">
        <v>47.49</v>
      </c>
      <c r="G352">
        <v>21.47</v>
      </c>
      <c r="H352" s="40">
        <v>160602</v>
      </c>
      <c r="I352" s="40">
        <v>160351</v>
      </c>
      <c r="J352">
        <v>0.15</v>
      </c>
      <c r="K352">
        <v>1</v>
      </c>
    </row>
    <row r="353" spans="1:11" customFormat="1">
      <c r="A353">
        <v>3092</v>
      </c>
      <c r="B353" t="s">
        <v>271</v>
      </c>
      <c r="C353" s="40">
        <v>160056</v>
      </c>
      <c r="D353" s="40">
        <v>211896</v>
      </c>
      <c r="E353" s="40">
        <v>160871</v>
      </c>
      <c r="F353">
        <v>-24.46</v>
      </c>
      <c r="G353">
        <v>-0.5</v>
      </c>
      <c r="H353" s="40">
        <v>371952</v>
      </c>
      <c r="I353" s="40">
        <v>369440</v>
      </c>
      <c r="J353">
        <v>0.67</v>
      </c>
      <c r="K353">
        <v>0</v>
      </c>
    </row>
    <row r="354" spans="1:11" customFormat="1">
      <c r="A354">
        <v>3089</v>
      </c>
      <c r="B354" t="s">
        <v>270</v>
      </c>
      <c r="C354" s="40">
        <v>18564</v>
      </c>
      <c r="D354" s="40">
        <v>18701</v>
      </c>
      <c r="E354" s="40">
        <v>26521</v>
      </c>
      <c r="F354">
        <v>-0.73</v>
      </c>
      <c r="G354">
        <v>-30</v>
      </c>
      <c r="H354" s="40">
        <v>37265</v>
      </c>
      <c r="I354" s="40">
        <v>61068</v>
      </c>
      <c r="J354">
        <v>-38.97</v>
      </c>
      <c r="K354">
        <v>0</v>
      </c>
    </row>
    <row r="355" spans="1:11" customFormat="1">
      <c r="A355">
        <v>3088</v>
      </c>
      <c r="B355" t="s">
        <v>269</v>
      </c>
      <c r="C355" s="40">
        <v>319747</v>
      </c>
      <c r="D355" s="40">
        <v>541269</v>
      </c>
      <c r="E355" s="40">
        <v>370894</v>
      </c>
      <c r="F355">
        <v>-40.92</v>
      </c>
      <c r="G355">
        <v>-13.79</v>
      </c>
      <c r="H355" s="40">
        <v>861016</v>
      </c>
      <c r="I355" s="40">
        <v>748732</v>
      </c>
      <c r="J355">
        <v>14.99</v>
      </c>
      <c r="K355">
        <v>0</v>
      </c>
    </row>
    <row r="356" spans="1:11" customFormat="1">
      <c r="A356">
        <v>3081</v>
      </c>
      <c r="B356" t="s">
        <v>3629</v>
      </c>
      <c r="C356" s="40">
        <v>185792</v>
      </c>
      <c r="D356" s="40">
        <v>209359</v>
      </c>
      <c r="E356" s="40">
        <v>107493</v>
      </c>
      <c r="F356">
        <v>-11.25</v>
      </c>
      <c r="G356">
        <v>72.84</v>
      </c>
      <c r="H356" s="40">
        <v>395151</v>
      </c>
      <c r="I356" s="40">
        <v>243413</v>
      </c>
      <c r="J356">
        <v>62.33</v>
      </c>
      <c r="K356">
        <v>0</v>
      </c>
    </row>
    <row r="357" spans="1:11" customFormat="1">
      <c r="A357">
        <v>3078</v>
      </c>
      <c r="B357" t="s">
        <v>3932</v>
      </c>
      <c r="C357" s="40">
        <v>283477</v>
      </c>
      <c r="D357" s="40">
        <v>556984</v>
      </c>
      <c r="E357" s="40">
        <v>284503</v>
      </c>
      <c r="F357">
        <v>-49.1</v>
      </c>
      <c r="G357">
        <v>-0.36</v>
      </c>
      <c r="H357" s="40">
        <v>840461</v>
      </c>
      <c r="I357" s="40">
        <v>703015</v>
      </c>
      <c r="J357">
        <v>19.55</v>
      </c>
      <c r="K357">
        <v>0</v>
      </c>
    </row>
    <row r="358" spans="1:11" customFormat="1">
      <c r="A358">
        <v>3073</v>
      </c>
      <c r="B358" t="s">
        <v>3903</v>
      </c>
      <c r="C358" s="40">
        <v>1008</v>
      </c>
      <c r="D358" s="40">
        <v>1416</v>
      </c>
      <c r="E358" s="40">
        <v>2681</v>
      </c>
      <c r="F358">
        <v>-28.81</v>
      </c>
      <c r="G358">
        <v>-62.4</v>
      </c>
      <c r="H358" s="40">
        <v>2423</v>
      </c>
      <c r="I358" s="40">
        <v>10519</v>
      </c>
      <c r="J358">
        <v>-76.959999999999994</v>
      </c>
      <c r="K358">
        <v>0</v>
      </c>
    </row>
    <row r="359" spans="1:11" customFormat="1">
      <c r="A359">
        <v>3071</v>
      </c>
      <c r="B359" t="s">
        <v>4091</v>
      </c>
      <c r="C359" s="40">
        <v>152300</v>
      </c>
      <c r="D359" s="40">
        <v>208123</v>
      </c>
      <c r="E359" s="40">
        <v>139340</v>
      </c>
      <c r="F359">
        <v>-26.82</v>
      </c>
      <c r="G359">
        <v>9.3000000000000007</v>
      </c>
      <c r="H359" s="40">
        <v>360423</v>
      </c>
      <c r="I359" s="40">
        <v>354623</v>
      </c>
      <c r="J359">
        <v>1.63</v>
      </c>
      <c r="K359">
        <v>0</v>
      </c>
    </row>
    <row r="360" spans="1:11" customFormat="1">
      <c r="A360">
        <v>3068</v>
      </c>
      <c r="B360" t="s">
        <v>267</v>
      </c>
      <c r="C360" s="40">
        <v>164674</v>
      </c>
      <c r="D360" s="40">
        <v>271624</v>
      </c>
      <c r="E360" s="40">
        <v>171462</v>
      </c>
      <c r="F360">
        <v>-39.369999999999997</v>
      </c>
      <c r="G360">
        <v>-3.95</v>
      </c>
      <c r="H360" s="40">
        <v>436298</v>
      </c>
      <c r="I360" s="40">
        <v>421010</v>
      </c>
      <c r="J360">
        <v>3.63</v>
      </c>
      <c r="K360">
        <v>0</v>
      </c>
    </row>
    <row r="361" spans="1:11" customFormat="1">
      <c r="A361">
        <v>2916</v>
      </c>
      <c r="B361" t="s">
        <v>4122</v>
      </c>
      <c r="C361" s="40">
        <v>133851</v>
      </c>
      <c r="D361" s="40">
        <v>134978</v>
      </c>
      <c r="E361" s="40">
        <v>135063</v>
      </c>
      <c r="F361">
        <v>-0.83</v>
      </c>
      <c r="G361">
        <v>-0.89</v>
      </c>
      <c r="H361" s="40">
        <v>268829</v>
      </c>
      <c r="I361" s="40">
        <v>262591</v>
      </c>
      <c r="J361">
        <v>2.37</v>
      </c>
      <c r="K361">
        <v>0</v>
      </c>
    </row>
    <row r="362" spans="1:11" customFormat="1">
      <c r="A362">
        <v>2740</v>
      </c>
      <c r="B362" t="s">
        <v>2039</v>
      </c>
      <c r="C362" s="40">
        <v>89466</v>
      </c>
      <c r="D362" s="40">
        <v>70768</v>
      </c>
      <c r="E362" s="40">
        <v>86023</v>
      </c>
      <c r="F362">
        <v>26.42</v>
      </c>
      <c r="G362">
        <v>4</v>
      </c>
      <c r="H362" s="40">
        <v>160234</v>
      </c>
      <c r="I362" s="40">
        <v>152395</v>
      </c>
      <c r="J362">
        <v>5.14</v>
      </c>
      <c r="K362">
        <v>1</v>
      </c>
    </row>
    <row r="363" spans="1:11" customFormat="1">
      <c r="A363">
        <v>2736</v>
      </c>
      <c r="B363" t="s">
        <v>2452</v>
      </c>
      <c r="C363" s="40">
        <v>107676</v>
      </c>
      <c r="D363" s="40">
        <v>62085</v>
      </c>
      <c r="E363" s="40">
        <v>104241</v>
      </c>
      <c r="F363">
        <v>73.430000000000007</v>
      </c>
      <c r="G363">
        <v>3.29</v>
      </c>
      <c r="H363" s="40">
        <v>169761</v>
      </c>
      <c r="I363" s="40">
        <v>179133</v>
      </c>
      <c r="J363">
        <v>-5.23</v>
      </c>
      <c r="K363">
        <v>1</v>
      </c>
    </row>
    <row r="364" spans="1:11" customFormat="1">
      <c r="A364">
        <v>2734</v>
      </c>
      <c r="B364" t="s">
        <v>265</v>
      </c>
      <c r="C364" s="40">
        <v>169668</v>
      </c>
      <c r="D364" s="40">
        <v>119609</v>
      </c>
      <c r="E364" s="40">
        <v>142409</v>
      </c>
      <c r="F364">
        <v>41.85</v>
      </c>
      <c r="G364">
        <v>19.14</v>
      </c>
      <c r="H364" s="40">
        <v>289276</v>
      </c>
      <c r="I364" s="40">
        <v>263759</v>
      </c>
      <c r="J364">
        <v>9.67</v>
      </c>
      <c r="K364">
        <v>1</v>
      </c>
    </row>
    <row r="365" spans="1:11" customFormat="1">
      <c r="A365">
        <v>2732</v>
      </c>
      <c r="B365" t="s">
        <v>2489</v>
      </c>
      <c r="C365" s="40">
        <v>158600</v>
      </c>
      <c r="D365" s="40">
        <v>150669</v>
      </c>
      <c r="E365" s="40">
        <v>130846</v>
      </c>
      <c r="F365">
        <v>5.26</v>
      </c>
      <c r="G365">
        <v>21.21</v>
      </c>
      <c r="H365" s="40">
        <v>309269</v>
      </c>
      <c r="I365" s="40">
        <v>259480</v>
      </c>
      <c r="J365">
        <v>19.18</v>
      </c>
      <c r="K365">
        <v>0</v>
      </c>
    </row>
    <row r="366" spans="1:11" customFormat="1">
      <c r="A366">
        <v>2729</v>
      </c>
      <c r="B366" t="s">
        <v>3961</v>
      </c>
      <c r="C366" s="40">
        <v>406615</v>
      </c>
      <c r="D366" s="40">
        <v>314824</v>
      </c>
      <c r="E366" s="40">
        <v>350294</v>
      </c>
      <c r="F366">
        <v>29.15</v>
      </c>
      <c r="G366">
        <v>16.07</v>
      </c>
      <c r="H366" s="40">
        <v>721438</v>
      </c>
      <c r="I366" s="40">
        <v>601686</v>
      </c>
      <c r="J366">
        <v>19.899999999999999</v>
      </c>
      <c r="K366">
        <v>1</v>
      </c>
    </row>
    <row r="367" spans="1:11" customFormat="1">
      <c r="A367">
        <v>2233</v>
      </c>
      <c r="B367" t="s">
        <v>262</v>
      </c>
      <c r="C367" s="40">
        <v>93061</v>
      </c>
      <c r="D367" s="40">
        <v>196529</v>
      </c>
      <c r="E367" s="40">
        <v>138980</v>
      </c>
      <c r="F367">
        <v>-52.64</v>
      </c>
      <c r="G367">
        <v>-33.04</v>
      </c>
      <c r="H367" s="40">
        <v>289590</v>
      </c>
      <c r="I367" s="40">
        <v>339394</v>
      </c>
      <c r="J367">
        <v>-14.67</v>
      </c>
      <c r="K367">
        <v>0</v>
      </c>
    </row>
    <row r="368" spans="1:11" customFormat="1">
      <c r="A368">
        <v>2230</v>
      </c>
      <c r="B368" t="s">
        <v>261</v>
      </c>
      <c r="C368" s="40">
        <v>29984</v>
      </c>
      <c r="D368" s="40">
        <v>30371</v>
      </c>
      <c r="E368" s="40">
        <v>23882</v>
      </c>
      <c r="F368">
        <v>-1.27</v>
      </c>
      <c r="G368">
        <v>25.55</v>
      </c>
      <c r="H368" s="40">
        <v>60355</v>
      </c>
      <c r="I368" s="40">
        <v>57525</v>
      </c>
      <c r="J368">
        <v>4.91</v>
      </c>
      <c r="K368">
        <v>0</v>
      </c>
    </row>
    <row r="369" spans="1:11" customFormat="1">
      <c r="A369">
        <v>2067</v>
      </c>
      <c r="B369" t="s">
        <v>1430</v>
      </c>
      <c r="C369" s="40">
        <v>45870</v>
      </c>
      <c r="D369" s="40">
        <v>73324</v>
      </c>
      <c r="E369" s="40">
        <v>63807</v>
      </c>
      <c r="F369">
        <v>-37.44</v>
      </c>
      <c r="G369">
        <v>-28.11</v>
      </c>
      <c r="H369" s="40">
        <v>119194</v>
      </c>
      <c r="I369" s="40">
        <v>141959</v>
      </c>
      <c r="J369">
        <v>-16.03</v>
      </c>
      <c r="K369">
        <v>0</v>
      </c>
    </row>
    <row r="370" spans="1:11" customFormat="1">
      <c r="A370">
        <v>2064</v>
      </c>
      <c r="B370" t="s">
        <v>259</v>
      </c>
      <c r="C370" s="40">
        <v>113591</v>
      </c>
      <c r="D370" s="40">
        <v>152009</v>
      </c>
      <c r="E370" s="40">
        <v>152090</v>
      </c>
      <c r="F370">
        <v>-25.27</v>
      </c>
      <c r="G370">
        <v>-25.31</v>
      </c>
      <c r="H370" s="40">
        <v>265323</v>
      </c>
      <c r="I370" s="40">
        <v>377124</v>
      </c>
      <c r="J370">
        <v>-29.64</v>
      </c>
      <c r="K370">
        <v>0</v>
      </c>
    </row>
    <row r="371" spans="1:11" customFormat="1">
      <c r="A371">
        <v>2063</v>
      </c>
      <c r="B371" t="s">
        <v>258</v>
      </c>
      <c r="C371" s="40">
        <v>39849</v>
      </c>
      <c r="D371" s="40">
        <v>60717</v>
      </c>
      <c r="E371" s="40">
        <v>27918</v>
      </c>
      <c r="F371">
        <v>-34.36</v>
      </c>
      <c r="G371">
        <v>42.73</v>
      </c>
      <c r="H371" s="40">
        <v>100566</v>
      </c>
      <c r="I371" s="40">
        <v>80000</v>
      </c>
      <c r="J371">
        <v>25.7</v>
      </c>
      <c r="K371">
        <v>0</v>
      </c>
    </row>
    <row r="372" spans="1:11" customFormat="1">
      <c r="A372">
        <v>2061</v>
      </c>
      <c r="B372" t="s">
        <v>257</v>
      </c>
      <c r="C372" s="40">
        <v>46088</v>
      </c>
      <c r="D372" s="40">
        <v>84359</v>
      </c>
      <c r="E372" s="40">
        <v>55712</v>
      </c>
      <c r="F372">
        <v>-45.36</v>
      </c>
      <c r="G372">
        <v>-17.27</v>
      </c>
      <c r="H372" s="40">
        <v>130447</v>
      </c>
      <c r="I372" s="40">
        <v>162419</v>
      </c>
      <c r="J372">
        <v>-19.68</v>
      </c>
      <c r="K372">
        <v>0</v>
      </c>
    </row>
    <row r="373" spans="1:11" customFormat="1">
      <c r="A373">
        <v>2035</v>
      </c>
      <c r="B373" t="s">
        <v>4085</v>
      </c>
      <c r="C373" s="40">
        <v>730200</v>
      </c>
      <c r="D373" s="40">
        <v>794612</v>
      </c>
      <c r="E373" s="40">
        <v>1114650</v>
      </c>
      <c r="F373">
        <v>-8.1</v>
      </c>
      <c r="G373">
        <v>-34.49</v>
      </c>
      <c r="H373" s="40">
        <v>1524812</v>
      </c>
      <c r="I373" s="40">
        <v>2531016</v>
      </c>
      <c r="J373">
        <v>-39.75</v>
      </c>
      <c r="K373">
        <v>0</v>
      </c>
    </row>
    <row r="374" spans="1:11" customFormat="1">
      <c r="A374">
        <v>1815</v>
      </c>
      <c r="B374" t="s">
        <v>1957</v>
      </c>
      <c r="C374" s="40">
        <v>347118</v>
      </c>
      <c r="D374" s="40">
        <v>436988</v>
      </c>
      <c r="E374" s="40">
        <v>406974</v>
      </c>
      <c r="F374">
        <v>-20.56</v>
      </c>
      <c r="G374">
        <v>-14.7</v>
      </c>
      <c r="H374" s="40">
        <v>784106</v>
      </c>
      <c r="I374" s="40">
        <v>816935</v>
      </c>
      <c r="J374">
        <v>-4.01</v>
      </c>
      <c r="K374">
        <v>0</v>
      </c>
    </row>
    <row r="375" spans="1:11" customFormat="1">
      <c r="A375">
        <v>1788</v>
      </c>
      <c r="B375" t="s">
        <v>4078</v>
      </c>
      <c r="C375" s="40">
        <v>199251</v>
      </c>
      <c r="D375" s="40">
        <v>229798</v>
      </c>
      <c r="E375" s="40">
        <v>208811</v>
      </c>
      <c r="F375">
        <v>-13.29</v>
      </c>
      <c r="G375">
        <v>-4.57</v>
      </c>
      <c r="H375" s="40">
        <v>429049</v>
      </c>
      <c r="I375" s="40">
        <v>404962</v>
      </c>
      <c r="J375">
        <v>5.94</v>
      </c>
      <c r="K375">
        <v>0</v>
      </c>
    </row>
    <row r="376" spans="1:11" customFormat="1">
      <c r="A376">
        <v>1785</v>
      </c>
      <c r="B376" t="s">
        <v>1425</v>
      </c>
      <c r="C376" s="40">
        <v>1826728</v>
      </c>
      <c r="D376" s="40">
        <v>2767569</v>
      </c>
      <c r="E376" s="40">
        <v>4559165</v>
      </c>
      <c r="F376">
        <v>-33.99</v>
      </c>
      <c r="G376">
        <v>-59.93</v>
      </c>
      <c r="H376" s="40">
        <v>4594297</v>
      </c>
      <c r="I376" s="40">
        <v>11911087</v>
      </c>
      <c r="J376">
        <v>-61.42</v>
      </c>
      <c r="K376">
        <v>0</v>
      </c>
    </row>
    <row r="377" spans="1:11" customFormat="1">
      <c r="A377">
        <v>1781</v>
      </c>
      <c r="B377" t="s">
        <v>4077</v>
      </c>
      <c r="C377" s="40">
        <v>20025</v>
      </c>
      <c r="D377" s="40">
        <v>39169</v>
      </c>
      <c r="E377" s="40">
        <v>53426</v>
      </c>
      <c r="F377">
        <v>-48.87</v>
      </c>
      <c r="G377">
        <v>-62.51</v>
      </c>
      <c r="H377" s="40">
        <v>59194</v>
      </c>
      <c r="I377" s="40">
        <v>108940</v>
      </c>
      <c r="J377">
        <v>-45.66</v>
      </c>
      <c r="K377">
        <v>0</v>
      </c>
    </row>
    <row r="378" spans="1:11" customFormat="1">
      <c r="A378">
        <v>1777</v>
      </c>
      <c r="B378" t="s">
        <v>253</v>
      </c>
      <c r="C378" s="40">
        <v>70035</v>
      </c>
      <c r="D378" s="40">
        <v>69166</v>
      </c>
      <c r="E378" s="40">
        <v>51795</v>
      </c>
      <c r="F378">
        <v>1.25</v>
      </c>
      <c r="G378">
        <v>35.21</v>
      </c>
      <c r="H378" s="40">
        <v>139201</v>
      </c>
      <c r="I378" s="40">
        <v>103306</v>
      </c>
      <c r="J378">
        <v>34.74</v>
      </c>
      <c r="K378">
        <v>0</v>
      </c>
    </row>
    <row r="379" spans="1:11" customFormat="1">
      <c r="A379">
        <v>1752</v>
      </c>
      <c r="B379" t="s">
        <v>252</v>
      </c>
      <c r="C379" s="40">
        <v>121982</v>
      </c>
      <c r="D379" s="40">
        <v>125256</v>
      </c>
      <c r="E379" s="40">
        <v>101173</v>
      </c>
      <c r="F379">
        <v>-2.61</v>
      </c>
      <c r="G379">
        <v>20.56</v>
      </c>
      <c r="H379" s="40">
        <v>247238</v>
      </c>
      <c r="I379" s="40">
        <v>245820</v>
      </c>
      <c r="J379">
        <v>0.56999999999999995</v>
      </c>
      <c r="K379">
        <v>0</v>
      </c>
    </row>
    <row r="380" spans="1:11" customFormat="1">
      <c r="A380">
        <v>1595</v>
      </c>
      <c r="B380" t="s">
        <v>1956</v>
      </c>
      <c r="C380" s="40">
        <v>54938</v>
      </c>
      <c r="D380" s="40">
        <v>56420</v>
      </c>
      <c r="E380" s="40">
        <v>102813</v>
      </c>
      <c r="F380">
        <v>-2.62</v>
      </c>
      <c r="G380">
        <v>-46.56</v>
      </c>
      <c r="H380" s="40">
        <v>111358</v>
      </c>
      <c r="I380" s="40">
        <v>176658</v>
      </c>
      <c r="J380">
        <v>-36.96</v>
      </c>
      <c r="K380">
        <v>0</v>
      </c>
    </row>
    <row r="381" spans="1:11" customFormat="1">
      <c r="A381">
        <v>1593</v>
      </c>
      <c r="B381" t="s">
        <v>250</v>
      </c>
      <c r="C381" s="40">
        <v>37018</v>
      </c>
      <c r="D381" s="40">
        <v>74014</v>
      </c>
      <c r="E381" s="40">
        <v>41001</v>
      </c>
      <c r="F381">
        <v>-49.98</v>
      </c>
      <c r="G381">
        <v>-9.7100000000000009</v>
      </c>
      <c r="H381" s="40">
        <v>111032</v>
      </c>
      <c r="I381" s="40">
        <v>123343</v>
      </c>
      <c r="J381">
        <v>-9.98</v>
      </c>
      <c r="K381">
        <v>0</v>
      </c>
    </row>
    <row r="382" spans="1:11" customFormat="1">
      <c r="A382">
        <v>1584</v>
      </c>
      <c r="B382" t="s">
        <v>4124</v>
      </c>
      <c r="C382" s="40">
        <v>46653</v>
      </c>
      <c r="D382" s="40">
        <v>60938</v>
      </c>
      <c r="E382" s="40">
        <v>84448</v>
      </c>
      <c r="F382">
        <v>-23.44</v>
      </c>
      <c r="G382">
        <v>-44.75</v>
      </c>
      <c r="H382" s="40">
        <v>107591</v>
      </c>
      <c r="I382" s="40">
        <v>176729</v>
      </c>
      <c r="J382">
        <v>-39.119999999999997</v>
      </c>
      <c r="K382">
        <v>0</v>
      </c>
    </row>
    <row r="383" spans="1:11" customFormat="1">
      <c r="A383">
        <v>1580</v>
      </c>
      <c r="B383" t="s">
        <v>3886</v>
      </c>
      <c r="C383" s="40">
        <v>165557</v>
      </c>
      <c r="D383" s="40">
        <v>338688</v>
      </c>
      <c r="E383" s="40">
        <v>140713</v>
      </c>
      <c r="F383">
        <v>-51.11</v>
      </c>
      <c r="G383">
        <v>17.649999999999999</v>
      </c>
      <c r="H383" s="40">
        <v>504936</v>
      </c>
      <c r="I383" s="40">
        <v>523069</v>
      </c>
      <c r="J383">
        <v>-3.46</v>
      </c>
      <c r="K383">
        <v>0</v>
      </c>
    </row>
    <row r="384" spans="1:11" customFormat="1">
      <c r="A384">
        <v>1569</v>
      </c>
      <c r="B384" t="s">
        <v>249</v>
      </c>
      <c r="C384" s="40">
        <v>111786</v>
      </c>
      <c r="D384" s="40">
        <v>187254</v>
      </c>
      <c r="E384" s="40">
        <v>140433</v>
      </c>
      <c r="F384">
        <v>-40.299999999999997</v>
      </c>
      <c r="G384">
        <v>-20.39</v>
      </c>
      <c r="H384" s="40">
        <v>299040</v>
      </c>
      <c r="I384" s="40">
        <v>374267</v>
      </c>
      <c r="J384">
        <v>-20.09</v>
      </c>
      <c r="K384">
        <v>0</v>
      </c>
    </row>
    <row r="385" spans="1:11" customFormat="1">
      <c r="A385">
        <v>1566</v>
      </c>
      <c r="B385" t="s">
        <v>248</v>
      </c>
      <c r="C385" s="40">
        <v>378310</v>
      </c>
      <c r="D385" s="40">
        <v>452772</v>
      </c>
      <c r="E385" s="40">
        <v>128051</v>
      </c>
      <c r="F385">
        <v>-16.440000000000001</v>
      </c>
      <c r="G385">
        <v>195.43</v>
      </c>
      <c r="H385" s="40">
        <v>831082</v>
      </c>
      <c r="I385" s="40">
        <v>300261</v>
      </c>
      <c r="J385">
        <v>176.78</v>
      </c>
      <c r="K385">
        <v>0</v>
      </c>
    </row>
    <row r="386" spans="1:11" customFormat="1">
      <c r="A386">
        <v>1565</v>
      </c>
      <c r="B386" t="s">
        <v>3892</v>
      </c>
      <c r="C386" s="40">
        <v>441428</v>
      </c>
      <c r="D386" s="40">
        <v>539637</v>
      </c>
      <c r="E386" s="40">
        <v>450750</v>
      </c>
      <c r="F386">
        <v>-18.190000000000001</v>
      </c>
      <c r="G386">
        <v>-2.06</v>
      </c>
      <c r="H386" s="40">
        <v>981065</v>
      </c>
      <c r="I386" s="40">
        <v>905228</v>
      </c>
      <c r="J386">
        <v>8.3699999999999992</v>
      </c>
      <c r="K386">
        <v>0</v>
      </c>
    </row>
    <row r="387" spans="1:11" customFormat="1">
      <c r="A387">
        <v>1336</v>
      </c>
      <c r="B387" t="s">
        <v>247</v>
      </c>
      <c r="C387" s="40">
        <v>123931</v>
      </c>
      <c r="D387" s="40">
        <v>188008</v>
      </c>
      <c r="E387" s="40">
        <v>95604</v>
      </c>
      <c r="F387">
        <v>-34.08</v>
      </c>
      <c r="G387">
        <v>29.62</v>
      </c>
      <c r="H387" s="40">
        <v>311939</v>
      </c>
      <c r="I387" s="40">
        <v>282566</v>
      </c>
      <c r="J387">
        <v>10.39</v>
      </c>
      <c r="K387">
        <v>0</v>
      </c>
    </row>
    <row r="388" spans="1:11" customFormat="1">
      <c r="A388">
        <v>1333</v>
      </c>
      <c r="B388" t="s">
        <v>246</v>
      </c>
      <c r="C388" s="40">
        <v>36786</v>
      </c>
      <c r="D388" s="40">
        <v>53586</v>
      </c>
      <c r="E388" s="40">
        <v>58015</v>
      </c>
      <c r="F388">
        <v>-31.35</v>
      </c>
      <c r="G388">
        <v>-36.590000000000003</v>
      </c>
      <c r="H388" s="40">
        <v>90372</v>
      </c>
      <c r="I388" s="40">
        <v>149263</v>
      </c>
      <c r="J388">
        <v>-39.450000000000003</v>
      </c>
      <c r="K388">
        <v>0</v>
      </c>
    </row>
    <row r="389" spans="1:11" customFormat="1">
      <c r="A389">
        <v>1264</v>
      </c>
      <c r="B389" t="s">
        <v>245</v>
      </c>
      <c r="C389" s="40">
        <v>209982</v>
      </c>
      <c r="D389" s="40">
        <v>424951</v>
      </c>
      <c r="E389" s="40">
        <v>231041</v>
      </c>
      <c r="F389">
        <v>-50.58</v>
      </c>
      <c r="G389">
        <v>-9.11</v>
      </c>
      <c r="H389" s="40">
        <v>634933</v>
      </c>
      <c r="I389" s="40">
        <v>633833</v>
      </c>
      <c r="J389">
        <v>0.17</v>
      </c>
      <c r="K389">
        <v>0</v>
      </c>
    </row>
    <row r="390" spans="1:11" customFormat="1">
      <c r="A390">
        <v>1259</v>
      </c>
      <c r="B390" t="s">
        <v>244</v>
      </c>
      <c r="C390" s="40">
        <v>381000</v>
      </c>
      <c r="D390" s="40">
        <v>370840</v>
      </c>
      <c r="E390" s="40">
        <v>359707</v>
      </c>
      <c r="F390">
        <v>2.73</v>
      </c>
      <c r="G390">
        <v>5.91</v>
      </c>
      <c r="H390" s="40">
        <v>751840</v>
      </c>
      <c r="I390" s="40">
        <v>700993</v>
      </c>
      <c r="J390">
        <v>7.25</v>
      </c>
      <c r="K390">
        <v>0</v>
      </c>
    </row>
    <row r="391" spans="1:11" customFormat="1">
      <c r="C391" s="40"/>
      <c r="D391" s="40"/>
      <c r="E391" s="40"/>
      <c r="H391" s="40"/>
      <c r="I391" s="40"/>
    </row>
    <row r="392" spans="1:11" customFormat="1">
      <c r="C392" s="40" t="s">
        <v>1877</v>
      </c>
      <c r="D392" s="40"/>
      <c r="E392" s="40"/>
      <c r="H392" s="40" t="s">
        <v>1878</v>
      </c>
      <c r="I392" s="40"/>
      <c r="K392" t="s">
        <v>1879</v>
      </c>
    </row>
    <row r="393" spans="1:11" customFormat="1">
      <c r="A393" s="136" t="str">
        <f>HYPERLINK("http://tw.stock.yahoo.com/q/ta?s=","")</f>
        <v/>
      </c>
      <c r="B393" s="136" t="str">
        <f>HYPERLINK("http://tw.stock.yahoo.com/d/s/earning_.html","")</f>
        <v/>
      </c>
      <c r="C393" s="23"/>
      <c r="D393" s="23"/>
      <c r="E393" s="23"/>
      <c r="F393" s="23"/>
      <c r="G393" s="23"/>
      <c r="H393" s="23"/>
      <c r="I393" s="23"/>
      <c r="J393" s="23"/>
      <c r="K393" s="23"/>
    </row>
    <row r="394" spans="1:11" customFormat="1"/>
    <row r="395" spans="1:11" customFormat="1"/>
    <row r="396" spans="1:11" customFormat="1"/>
    <row r="397" spans="1:11" customFormat="1"/>
    <row r="398" spans="1:11" customFormat="1"/>
    <row r="399" spans="1:11" customFormat="1"/>
    <row r="400" spans="1:11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spans="1:2" customFormat="1"/>
    <row r="4994" spans="1:2" customFormat="1"/>
    <row r="4995" spans="1:2" customFormat="1"/>
    <row r="4996" spans="1:2" customFormat="1"/>
    <row r="4997" spans="1:2" customFormat="1"/>
    <row r="4998" spans="1:2" customFormat="1"/>
    <row r="4999" spans="1:2" customFormat="1"/>
    <row r="5000" spans="1:2" customFormat="1"/>
    <row r="5001" spans="1:2">
      <c r="A5001" s="136" t="str">
        <f t="shared" ref="A4949:A5012" si="0">HYPERLINK("http://tw.stock.yahoo.com/q/ta?s=","")</f>
        <v/>
      </c>
      <c r="B5001" s="136" t="str">
        <f t="shared" ref="B4949:B5012" si="1">HYPERLINK("http://tw.stock.yahoo.com/d/s/earning_.html","")</f>
        <v/>
      </c>
    </row>
    <row r="5002" spans="1:2">
      <c r="A5002" s="136" t="str">
        <f t="shared" si="0"/>
        <v/>
      </c>
      <c r="B5002" s="136" t="str">
        <f t="shared" si="1"/>
        <v/>
      </c>
    </row>
    <row r="5003" spans="1:2">
      <c r="A5003" s="136" t="str">
        <f t="shared" si="0"/>
        <v/>
      </c>
      <c r="B5003" s="136" t="str">
        <f t="shared" si="1"/>
        <v/>
      </c>
    </row>
    <row r="5004" spans="1:2">
      <c r="A5004" s="136" t="str">
        <f t="shared" si="0"/>
        <v/>
      </c>
      <c r="B5004" s="136" t="str">
        <f t="shared" si="1"/>
        <v/>
      </c>
    </row>
    <row r="5005" spans="1:2">
      <c r="A5005" s="136" t="str">
        <f t="shared" si="0"/>
        <v/>
      </c>
      <c r="B5005" s="136" t="str">
        <f t="shared" si="1"/>
        <v/>
      </c>
    </row>
    <row r="5006" spans="1:2">
      <c r="A5006" s="136" t="str">
        <f t="shared" si="0"/>
        <v/>
      </c>
      <c r="B5006" s="136" t="str">
        <f t="shared" si="1"/>
        <v/>
      </c>
    </row>
    <row r="5007" spans="1:2">
      <c r="A5007" s="136" t="str">
        <f t="shared" si="0"/>
        <v/>
      </c>
      <c r="B5007" s="136" t="str">
        <f t="shared" si="1"/>
        <v/>
      </c>
    </row>
    <row r="5008" spans="1:2">
      <c r="A5008" s="136" t="str">
        <f t="shared" si="0"/>
        <v/>
      </c>
      <c r="B5008" s="136" t="str">
        <f t="shared" si="1"/>
        <v/>
      </c>
    </row>
    <row r="5009" spans="1:2">
      <c r="A5009" s="136" t="str">
        <f t="shared" si="0"/>
        <v/>
      </c>
      <c r="B5009" s="136" t="str">
        <f t="shared" si="1"/>
        <v/>
      </c>
    </row>
    <row r="5010" spans="1:2">
      <c r="A5010" s="136" t="str">
        <f t="shared" si="0"/>
        <v/>
      </c>
      <c r="B5010" s="136" t="str">
        <f t="shared" si="1"/>
        <v/>
      </c>
    </row>
    <row r="5011" spans="1:2">
      <c r="A5011" s="136" t="str">
        <f t="shared" si="0"/>
        <v/>
      </c>
      <c r="B5011" s="136" t="str">
        <f t="shared" si="1"/>
        <v/>
      </c>
    </row>
    <row r="5012" spans="1:2">
      <c r="A5012" s="136" t="str">
        <f t="shared" si="0"/>
        <v/>
      </c>
      <c r="B5012" s="136" t="str">
        <f t="shared" si="1"/>
        <v/>
      </c>
    </row>
    <row r="5013" spans="1:2">
      <c r="A5013" s="136" t="str">
        <f t="shared" ref="A5013:A5076" si="2">HYPERLINK("http://tw.stock.yahoo.com/q/ta?s=","")</f>
        <v/>
      </c>
      <c r="B5013" s="136" t="str">
        <f t="shared" ref="B5013:B5076" si="3">HYPERLINK("http://tw.stock.yahoo.com/d/s/earning_.html","")</f>
        <v/>
      </c>
    </row>
    <row r="5014" spans="1:2">
      <c r="A5014" s="136" t="str">
        <f t="shared" si="2"/>
        <v/>
      </c>
      <c r="B5014" s="136" t="str">
        <f t="shared" si="3"/>
        <v/>
      </c>
    </row>
    <row r="5015" spans="1:2">
      <c r="A5015" s="136" t="str">
        <f t="shared" si="2"/>
        <v/>
      </c>
      <c r="B5015" s="136" t="str">
        <f t="shared" si="3"/>
        <v/>
      </c>
    </row>
    <row r="5016" spans="1:2">
      <c r="A5016" s="136" t="str">
        <f t="shared" si="2"/>
        <v/>
      </c>
      <c r="B5016" s="136" t="str">
        <f t="shared" si="3"/>
        <v/>
      </c>
    </row>
    <row r="5017" spans="1:2">
      <c r="A5017" s="136" t="str">
        <f t="shared" si="2"/>
        <v/>
      </c>
      <c r="B5017" s="136" t="str">
        <f t="shared" si="3"/>
        <v/>
      </c>
    </row>
    <row r="5018" spans="1:2">
      <c r="A5018" s="136" t="str">
        <f t="shared" si="2"/>
        <v/>
      </c>
      <c r="B5018" s="136" t="str">
        <f t="shared" si="3"/>
        <v/>
      </c>
    </row>
    <row r="5019" spans="1:2">
      <c r="A5019" s="136" t="str">
        <f t="shared" si="2"/>
        <v/>
      </c>
      <c r="B5019" s="136" t="str">
        <f t="shared" si="3"/>
        <v/>
      </c>
    </row>
    <row r="5020" spans="1:2">
      <c r="A5020" s="136" t="str">
        <f t="shared" si="2"/>
        <v/>
      </c>
      <c r="B5020" s="136" t="str">
        <f t="shared" si="3"/>
        <v/>
      </c>
    </row>
    <row r="5021" spans="1:2">
      <c r="A5021" s="136" t="str">
        <f t="shared" si="2"/>
        <v/>
      </c>
      <c r="B5021" s="136" t="str">
        <f t="shared" si="3"/>
        <v/>
      </c>
    </row>
    <row r="5022" spans="1:2">
      <c r="A5022" s="136" t="str">
        <f t="shared" si="2"/>
        <v/>
      </c>
      <c r="B5022" s="136" t="str">
        <f t="shared" si="3"/>
        <v/>
      </c>
    </row>
    <row r="5023" spans="1:2">
      <c r="A5023" s="136" t="str">
        <f t="shared" si="2"/>
        <v/>
      </c>
      <c r="B5023" s="136" t="str">
        <f t="shared" si="3"/>
        <v/>
      </c>
    </row>
    <row r="5024" spans="1:2">
      <c r="A5024" s="136" t="str">
        <f t="shared" si="2"/>
        <v/>
      </c>
      <c r="B5024" s="136" t="str">
        <f t="shared" si="3"/>
        <v/>
      </c>
    </row>
    <row r="5025" spans="1:2">
      <c r="A5025" s="136" t="str">
        <f t="shared" si="2"/>
        <v/>
      </c>
      <c r="B5025" s="136" t="str">
        <f t="shared" si="3"/>
        <v/>
      </c>
    </row>
    <row r="5026" spans="1:2">
      <c r="A5026" s="136" t="str">
        <f t="shared" si="2"/>
        <v/>
      </c>
      <c r="B5026" s="136" t="str">
        <f t="shared" si="3"/>
        <v/>
      </c>
    </row>
    <row r="5027" spans="1:2">
      <c r="A5027" s="136" t="str">
        <f t="shared" si="2"/>
        <v/>
      </c>
      <c r="B5027" s="136" t="str">
        <f t="shared" si="3"/>
        <v/>
      </c>
    </row>
    <row r="5028" spans="1:2">
      <c r="A5028" s="136" t="str">
        <f t="shared" si="2"/>
        <v/>
      </c>
      <c r="B5028" s="136" t="str">
        <f t="shared" si="3"/>
        <v/>
      </c>
    </row>
    <row r="5029" spans="1:2">
      <c r="A5029" s="136" t="str">
        <f t="shared" si="2"/>
        <v/>
      </c>
      <c r="B5029" s="136" t="str">
        <f t="shared" si="3"/>
        <v/>
      </c>
    </row>
    <row r="5030" spans="1:2">
      <c r="A5030" s="136" t="str">
        <f t="shared" si="2"/>
        <v/>
      </c>
      <c r="B5030" s="136" t="str">
        <f t="shared" si="3"/>
        <v/>
      </c>
    </row>
    <row r="5031" spans="1:2">
      <c r="A5031" s="136" t="str">
        <f t="shared" si="2"/>
        <v/>
      </c>
      <c r="B5031" s="136" t="str">
        <f t="shared" si="3"/>
        <v/>
      </c>
    </row>
    <row r="5032" spans="1:2">
      <c r="A5032" s="136" t="str">
        <f t="shared" si="2"/>
        <v/>
      </c>
      <c r="B5032" s="136" t="str">
        <f t="shared" si="3"/>
        <v/>
      </c>
    </row>
    <row r="5033" spans="1:2">
      <c r="A5033" s="136" t="str">
        <f t="shared" si="2"/>
        <v/>
      </c>
      <c r="B5033" s="136" t="str">
        <f t="shared" si="3"/>
        <v/>
      </c>
    </row>
    <row r="5034" spans="1:2">
      <c r="A5034" s="136" t="str">
        <f t="shared" si="2"/>
        <v/>
      </c>
      <c r="B5034" s="136" t="str">
        <f t="shared" si="3"/>
        <v/>
      </c>
    </row>
    <row r="5035" spans="1:2">
      <c r="A5035" s="136" t="str">
        <f t="shared" si="2"/>
        <v/>
      </c>
      <c r="B5035" s="136" t="str">
        <f t="shared" si="3"/>
        <v/>
      </c>
    </row>
    <row r="5036" spans="1:2">
      <c r="A5036" s="136" t="str">
        <f t="shared" si="2"/>
        <v/>
      </c>
      <c r="B5036" s="136" t="str">
        <f t="shared" si="3"/>
        <v/>
      </c>
    </row>
    <row r="5037" spans="1:2">
      <c r="A5037" s="136" t="str">
        <f t="shared" si="2"/>
        <v/>
      </c>
      <c r="B5037" s="136" t="str">
        <f t="shared" si="3"/>
        <v/>
      </c>
    </row>
    <row r="5038" spans="1:2">
      <c r="A5038" s="136" t="str">
        <f t="shared" si="2"/>
        <v/>
      </c>
      <c r="B5038" s="136" t="str">
        <f t="shared" si="3"/>
        <v/>
      </c>
    </row>
    <row r="5039" spans="1:2">
      <c r="A5039" s="136" t="str">
        <f t="shared" si="2"/>
        <v/>
      </c>
      <c r="B5039" s="136" t="str">
        <f t="shared" si="3"/>
        <v/>
      </c>
    </row>
    <row r="5040" spans="1:2">
      <c r="A5040" s="136" t="str">
        <f t="shared" si="2"/>
        <v/>
      </c>
      <c r="B5040" s="136" t="str">
        <f t="shared" si="3"/>
        <v/>
      </c>
    </row>
    <row r="5041" spans="1:2">
      <c r="A5041" s="136" t="str">
        <f t="shared" si="2"/>
        <v/>
      </c>
      <c r="B5041" s="136" t="str">
        <f t="shared" si="3"/>
        <v/>
      </c>
    </row>
    <row r="5042" spans="1:2">
      <c r="A5042" s="136" t="str">
        <f t="shared" si="2"/>
        <v/>
      </c>
      <c r="B5042" s="136" t="str">
        <f t="shared" si="3"/>
        <v/>
      </c>
    </row>
    <row r="5043" spans="1:2">
      <c r="A5043" s="136" t="str">
        <f t="shared" si="2"/>
        <v/>
      </c>
      <c r="B5043" s="136" t="str">
        <f t="shared" si="3"/>
        <v/>
      </c>
    </row>
    <row r="5044" spans="1:2">
      <c r="A5044" s="136" t="str">
        <f t="shared" si="2"/>
        <v/>
      </c>
      <c r="B5044" s="136" t="str">
        <f t="shared" si="3"/>
        <v/>
      </c>
    </row>
    <row r="5045" spans="1:2">
      <c r="A5045" s="136" t="str">
        <f t="shared" si="2"/>
        <v/>
      </c>
      <c r="B5045" s="136" t="str">
        <f t="shared" si="3"/>
        <v/>
      </c>
    </row>
    <row r="5046" spans="1:2">
      <c r="A5046" s="136" t="str">
        <f t="shared" si="2"/>
        <v/>
      </c>
      <c r="B5046" s="136" t="str">
        <f t="shared" si="3"/>
        <v/>
      </c>
    </row>
    <row r="5047" spans="1:2">
      <c r="A5047" s="136" t="str">
        <f t="shared" si="2"/>
        <v/>
      </c>
      <c r="B5047" s="136" t="str">
        <f t="shared" si="3"/>
        <v/>
      </c>
    </row>
    <row r="5048" spans="1:2">
      <c r="A5048" s="136" t="str">
        <f t="shared" si="2"/>
        <v/>
      </c>
      <c r="B5048" s="136" t="str">
        <f t="shared" si="3"/>
        <v/>
      </c>
    </row>
    <row r="5049" spans="1:2">
      <c r="A5049" s="136" t="str">
        <f t="shared" si="2"/>
        <v/>
      </c>
      <c r="B5049" s="136" t="str">
        <f t="shared" si="3"/>
        <v/>
      </c>
    </row>
    <row r="5050" spans="1:2">
      <c r="A5050" s="136" t="str">
        <f t="shared" si="2"/>
        <v/>
      </c>
      <c r="B5050" s="136" t="str">
        <f t="shared" si="3"/>
        <v/>
      </c>
    </row>
    <row r="5051" spans="1:2">
      <c r="A5051" s="136" t="str">
        <f t="shared" si="2"/>
        <v/>
      </c>
      <c r="B5051" s="136" t="str">
        <f t="shared" si="3"/>
        <v/>
      </c>
    </row>
    <row r="5052" spans="1:2">
      <c r="A5052" s="136" t="str">
        <f t="shared" si="2"/>
        <v/>
      </c>
      <c r="B5052" s="136" t="str">
        <f t="shared" si="3"/>
        <v/>
      </c>
    </row>
    <row r="5053" spans="1:2">
      <c r="A5053" s="136" t="str">
        <f t="shared" si="2"/>
        <v/>
      </c>
      <c r="B5053" s="136" t="str">
        <f t="shared" si="3"/>
        <v/>
      </c>
    </row>
    <row r="5054" spans="1:2">
      <c r="A5054" s="136" t="str">
        <f t="shared" si="2"/>
        <v/>
      </c>
      <c r="B5054" s="136" t="str">
        <f t="shared" si="3"/>
        <v/>
      </c>
    </row>
    <row r="5055" spans="1:2">
      <c r="A5055" s="136" t="str">
        <f t="shared" si="2"/>
        <v/>
      </c>
      <c r="B5055" s="136" t="str">
        <f t="shared" si="3"/>
        <v/>
      </c>
    </row>
    <row r="5056" spans="1:2">
      <c r="A5056" s="136" t="str">
        <f t="shared" si="2"/>
        <v/>
      </c>
      <c r="B5056" s="136" t="str">
        <f t="shared" si="3"/>
        <v/>
      </c>
    </row>
    <row r="5057" spans="1:2">
      <c r="A5057" s="136" t="str">
        <f t="shared" si="2"/>
        <v/>
      </c>
      <c r="B5057" s="136" t="str">
        <f t="shared" si="3"/>
        <v/>
      </c>
    </row>
    <row r="5058" spans="1:2">
      <c r="A5058" s="136" t="str">
        <f t="shared" si="2"/>
        <v/>
      </c>
      <c r="B5058" s="136" t="str">
        <f t="shared" si="3"/>
        <v/>
      </c>
    </row>
    <row r="5059" spans="1:2">
      <c r="A5059" s="136" t="str">
        <f t="shared" si="2"/>
        <v/>
      </c>
      <c r="B5059" s="136" t="str">
        <f t="shared" si="3"/>
        <v/>
      </c>
    </row>
    <row r="5060" spans="1:2">
      <c r="A5060" s="136" t="str">
        <f t="shared" si="2"/>
        <v/>
      </c>
      <c r="B5060" s="136" t="str">
        <f t="shared" si="3"/>
        <v/>
      </c>
    </row>
    <row r="5061" spans="1:2">
      <c r="A5061" s="136" t="str">
        <f t="shared" si="2"/>
        <v/>
      </c>
      <c r="B5061" s="136" t="str">
        <f t="shared" si="3"/>
        <v/>
      </c>
    </row>
    <row r="5062" spans="1:2">
      <c r="A5062" s="136" t="str">
        <f t="shared" si="2"/>
        <v/>
      </c>
      <c r="B5062" s="136" t="str">
        <f t="shared" si="3"/>
        <v/>
      </c>
    </row>
    <row r="5063" spans="1:2">
      <c r="A5063" s="136" t="str">
        <f t="shared" si="2"/>
        <v/>
      </c>
      <c r="B5063" s="136" t="str">
        <f t="shared" si="3"/>
        <v/>
      </c>
    </row>
    <row r="5064" spans="1:2">
      <c r="A5064" s="136" t="str">
        <f t="shared" si="2"/>
        <v/>
      </c>
      <c r="B5064" s="136" t="str">
        <f t="shared" si="3"/>
        <v/>
      </c>
    </row>
    <row r="5065" spans="1:2">
      <c r="A5065" s="136" t="str">
        <f t="shared" si="2"/>
        <v/>
      </c>
      <c r="B5065" s="136" t="str">
        <f t="shared" si="3"/>
        <v/>
      </c>
    </row>
    <row r="5066" spans="1:2">
      <c r="A5066" s="136" t="str">
        <f t="shared" si="2"/>
        <v/>
      </c>
      <c r="B5066" s="136" t="str">
        <f t="shared" si="3"/>
        <v/>
      </c>
    </row>
    <row r="5067" spans="1:2">
      <c r="A5067" s="136" t="str">
        <f t="shared" si="2"/>
        <v/>
      </c>
      <c r="B5067" s="136" t="str">
        <f t="shared" si="3"/>
        <v/>
      </c>
    </row>
    <row r="5068" spans="1:2">
      <c r="A5068" s="136" t="str">
        <f t="shared" si="2"/>
        <v/>
      </c>
      <c r="B5068" s="136" t="str">
        <f t="shared" si="3"/>
        <v/>
      </c>
    </row>
    <row r="5069" spans="1:2">
      <c r="A5069" s="136" t="str">
        <f t="shared" si="2"/>
        <v/>
      </c>
      <c r="B5069" s="136" t="str">
        <f t="shared" si="3"/>
        <v/>
      </c>
    </row>
    <row r="5070" spans="1:2">
      <c r="A5070" s="136" t="str">
        <f t="shared" si="2"/>
        <v/>
      </c>
      <c r="B5070" s="136" t="str">
        <f t="shared" si="3"/>
        <v/>
      </c>
    </row>
    <row r="5071" spans="1:2">
      <c r="A5071" s="136" t="str">
        <f t="shared" si="2"/>
        <v/>
      </c>
      <c r="B5071" s="136" t="str">
        <f t="shared" si="3"/>
        <v/>
      </c>
    </row>
    <row r="5072" spans="1:2">
      <c r="A5072" s="136" t="str">
        <f t="shared" si="2"/>
        <v/>
      </c>
      <c r="B5072" s="136" t="str">
        <f t="shared" si="3"/>
        <v/>
      </c>
    </row>
    <row r="5073" spans="1:2">
      <c r="A5073" s="136" t="str">
        <f t="shared" si="2"/>
        <v/>
      </c>
      <c r="B5073" s="136" t="str">
        <f t="shared" si="3"/>
        <v/>
      </c>
    </row>
    <row r="5074" spans="1:2">
      <c r="A5074" s="136" t="str">
        <f t="shared" si="2"/>
        <v/>
      </c>
      <c r="B5074" s="136" t="str">
        <f t="shared" si="3"/>
        <v/>
      </c>
    </row>
    <row r="5075" spans="1:2">
      <c r="A5075" s="136" t="str">
        <f t="shared" si="2"/>
        <v/>
      </c>
      <c r="B5075" s="136" t="str">
        <f t="shared" si="3"/>
        <v/>
      </c>
    </row>
    <row r="5076" spans="1:2">
      <c r="A5076" s="136" t="str">
        <f t="shared" si="2"/>
        <v/>
      </c>
      <c r="B5076" s="136" t="str">
        <f t="shared" si="3"/>
        <v/>
      </c>
    </row>
    <row r="5077" spans="1:2">
      <c r="A5077" s="136" t="str">
        <f t="shared" ref="A5077:A5140" si="4">HYPERLINK("http://tw.stock.yahoo.com/q/ta?s=","")</f>
        <v/>
      </c>
      <c r="B5077" s="136" t="str">
        <f t="shared" ref="B5077:B5140" si="5">HYPERLINK("http://tw.stock.yahoo.com/d/s/earning_.html","")</f>
        <v/>
      </c>
    </row>
    <row r="5078" spans="1:2">
      <c r="A5078" s="136" t="str">
        <f t="shared" si="4"/>
        <v/>
      </c>
      <c r="B5078" s="136" t="str">
        <f t="shared" si="5"/>
        <v/>
      </c>
    </row>
    <row r="5079" spans="1:2">
      <c r="A5079" s="136" t="str">
        <f t="shared" si="4"/>
        <v/>
      </c>
      <c r="B5079" s="136" t="str">
        <f t="shared" si="5"/>
        <v/>
      </c>
    </row>
    <row r="5080" spans="1:2">
      <c r="A5080" s="136" t="str">
        <f t="shared" si="4"/>
        <v/>
      </c>
      <c r="B5080" s="136" t="str">
        <f t="shared" si="5"/>
        <v/>
      </c>
    </row>
    <row r="5081" spans="1:2">
      <c r="A5081" s="136" t="str">
        <f t="shared" si="4"/>
        <v/>
      </c>
      <c r="B5081" s="136" t="str">
        <f t="shared" si="5"/>
        <v/>
      </c>
    </row>
    <row r="5082" spans="1:2">
      <c r="A5082" s="136" t="str">
        <f t="shared" si="4"/>
        <v/>
      </c>
      <c r="B5082" s="136" t="str">
        <f t="shared" si="5"/>
        <v/>
      </c>
    </row>
    <row r="5083" spans="1:2">
      <c r="A5083" s="136" t="str">
        <f t="shared" si="4"/>
        <v/>
      </c>
      <c r="B5083" s="136" t="str">
        <f t="shared" si="5"/>
        <v/>
      </c>
    </row>
    <row r="5084" spans="1:2">
      <c r="A5084" s="136" t="str">
        <f t="shared" si="4"/>
        <v/>
      </c>
      <c r="B5084" s="136" t="str">
        <f t="shared" si="5"/>
        <v/>
      </c>
    </row>
    <row r="5085" spans="1:2">
      <c r="A5085" s="136" t="str">
        <f t="shared" si="4"/>
        <v/>
      </c>
      <c r="B5085" s="136" t="str">
        <f t="shared" si="5"/>
        <v/>
      </c>
    </row>
    <row r="5086" spans="1:2">
      <c r="A5086" s="136" t="str">
        <f t="shared" si="4"/>
        <v/>
      </c>
      <c r="B5086" s="136" t="str">
        <f t="shared" si="5"/>
        <v/>
      </c>
    </row>
    <row r="5087" spans="1:2">
      <c r="A5087" s="136" t="str">
        <f t="shared" si="4"/>
        <v/>
      </c>
      <c r="B5087" s="136" t="str">
        <f t="shared" si="5"/>
        <v/>
      </c>
    </row>
    <row r="5088" spans="1:2">
      <c r="A5088" s="136" t="str">
        <f t="shared" si="4"/>
        <v/>
      </c>
      <c r="B5088" s="136" t="str">
        <f t="shared" si="5"/>
        <v/>
      </c>
    </row>
    <row r="5089" spans="1:2">
      <c r="A5089" s="136" t="str">
        <f t="shared" si="4"/>
        <v/>
      </c>
      <c r="B5089" s="136" t="str">
        <f t="shared" si="5"/>
        <v/>
      </c>
    </row>
    <row r="5090" spans="1:2">
      <c r="A5090" s="136" t="str">
        <f t="shared" si="4"/>
        <v/>
      </c>
      <c r="B5090" s="136" t="str">
        <f t="shared" si="5"/>
        <v/>
      </c>
    </row>
    <row r="5091" spans="1:2">
      <c r="A5091" s="136" t="str">
        <f t="shared" si="4"/>
        <v/>
      </c>
      <c r="B5091" s="136" t="str">
        <f t="shared" si="5"/>
        <v/>
      </c>
    </row>
    <row r="5092" spans="1:2">
      <c r="A5092" s="136" t="str">
        <f t="shared" si="4"/>
        <v/>
      </c>
      <c r="B5092" s="136" t="str">
        <f t="shared" si="5"/>
        <v/>
      </c>
    </row>
    <row r="5093" spans="1:2">
      <c r="A5093" s="136" t="str">
        <f t="shared" si="4"/>
        <v/>
      </c>
      <c r="B5093" s="136" t="str">
        <f t="shared" si="5"/>
        <v/>
      </c>
    </row>
    <row r="5094" spans="1:2">
      <c r="A5094" s="136" t="str">
        <f t="shared" si="4"/>
        <v/>
      </c>
      <c r="B5094" s="136" t="str">
        <f t="shared" si="5"/>
        <v/>
      </c>
    </row>
    <row r="5095" spans="1:2">
      <c r="A5095" s="136" t="str">
        <f t="shared" si="4"/>
        <v/>
      </c>
      <c r="B5095" s="136" t="str">
        <f t="shared" si="5"/>
        <v/>
      </c>
    </row>
    <row r="5096" spans="1:2">
      <c r="A5096" s="136" t="str">
        <f t="shared" si="4"/>
        <v/>
      </c>
      <c r="B5096" s="136" t="str">
        <f t="shared" si="5"/>
        <v/>
      </c>
    </row>
    <row r="5097" spans="1:2">
      <c r="A5097" s="136" t="str">
        <f t="shared" si="4"/>
        <v/>
      </c>
      <c r="B5097" s="136" t="str">
        <f t="shared" si="5"/>
        <v/>
      </c>
    </row>
    <row r="5098" spans="1:2">
      <c r="A5098" s="136" t="str">
        <f t="shared" si="4"/>
        <v/>
      </c>
      <c r="B5098" s="136" t="str">
        <f t="shared" si="5"/>
        <v/>
      </c>
    </row>
    <row r="5099" spans="1:2">
      <c r="A5099" s="136" t="str">
        <f t="shared" si="4"/>
        <v/>
      </c>
      <c r="B5099" s="136" t="str">
        <f t="shared" si="5"/>
        <v/>
      </c>
    </row>
    <row r="5100" spans="1:2">
      <c r="A5100" s="136" t="str">
        <f t="shared" si="4"/>
        <v/>
      </c>
      <c r="B5100" s="136" t="str">
        <f t="shared" si="5"/>
        <v/>
      </c>
    </row>
    <row r="5101" spans="1:2">
      <c r="A5101" s="136" t="str">
        <f t="shared" si="4"/>
        <v/>
      </c>
      <c r="B5101" s="136" t="str">
        <f t="shared" si="5"/>
        <v/>
      </c>
    </row>
    <row r="5102" spans="1:2">
      <c r="A5102" s="136" t="str">
        <f t="shared" si="4"/>
        <v/>
      </c>
      <c r="B5102" s="136" t="str">
        <f t="shared" si="5"/>
        <v/>
      </c>
    </row>
    <row r="5103" spans="1:2">
      <c r="A5103" s="136" t="str">
        <f t="shared" si="4"/>
        <v/>
      </c>
      <c r="B5103" s="136" t="str">
        <f t="shared" si="5"/>
        <v/>
      </c>
    </row>
    <row r="5104" spans="1:2">
      <c r="A5104" s="136" t="str">
        <f t="shared" si="4"/>
        <v/>
      </c>
      <c r="B5104" s="136" t="str">
        <f t="shared" si="5"/>
        <v/>
      </c>
    </row>
    <row r="5105" spans="1:2">
      <c r="A5105" s="136" t="str">
        <f t="shared" si="4"/>
        <v/>
      </c>
      <c r="B5105" s="136" t="str">
        <f t="shared" si="5"/>
        <v/>
      </c>
    </row>
    <row r="5106" spans="1:2">
      <c r="A5106" s="136" t="str">
        <f t="shared" si="4"/>
        <v/>
      </c>
      <c r="B5106" s="136" t="str">
        <f t="shared" si="5"/>
        <v/>
      </c>
    </row>
    <row r="5107" spans="1:2">
      <c r="A5107" s="136" t="str">
        <f t="shared" si="4"/>
        <v/>
      </c>
      <c r="B5107" s="136" t="str">
        <f t="shared" si="5"/>
        <v/>
      </c>
    </row>
    <row r="5108" spans="1:2">
      <c r="A5108" s="136" t="str">
        <f t="shared" si="4"/>
        <v/>
      </c>
      <c r="B5108" s="136" t="str">
        <f t="shared" si="5"/>
        <v/>
      </c>
    </row>
    <row r="5109" spans="1:2">
      <c r="A5109" s="136" t="str">
        <f t="shared" si="4"/>
        <v/>
      </c>
      <c r="B5109" s="136" t="str">
        <f t="shared" si="5"/>
        <v/>
      </c>
    </row>
    <row r="5110" spans="1:2">
      <c r="A5110" s="136" t="str">
        <f t="shared" si="4"/>
        <v/>
      </c>
      <c r="B5110" s="136" t="str">
        <f t="shared" si="5"/>
        <v/>
      </c>
    </row>
    <row r="5111" spans="1:2">
      <c r="A5111" s="136" t="str">
        <f t="shared" si="4"/>
        <v/>
      </c>
      <c r="B5111" s="136" t="str">
        <f t="shared" si="5"/>
        <v/>
      </c>
    </row>
    <row r="5112" spans="1:2">
      <c r="A5112" s="136" t="str">
        <f t="shared" si="4"/>
        <v/>
      </c>
      <c r="B5112" s="136" t="str">
        <f t="shared" si="5"/>
        <v/>
      </c>
    </row>
    <row r="5113" spans="1:2">
      <c r="A5113" s="136" t="str">
        <f t="shared" si="4"/>
        <v/>
      </c>
      <c r="B5113" s="136" t="str">
        <f t="shared" si="5"/>
        <v/>
      </c>
    </row>
    <row r="5114" spans="1:2">
      <c r="A5114" s="136" t="str">
        <f t="shared" si="4"/>
        <v/>
      </c>
      <c r="B5114" s="136" t="str">
        <f t="shared" si="5"/>
        <v/>
      </c>
    </row>
    <row r="5115" spans="1:2">
      <c r="A5115" s="136" t="str">
        <f t="shared" si="4"/>
        <v/>
      </c>
      <c r="B5115" s="136" t="str">
        <f t="shared" si="5"/>
        <v/>
      </c>
    </row>
    <row r="5116" spans="1:2">
      <c r="A5116" s="136" t="str">
        <f t="shared" si="4"/>
        <v/>
      </c>
      <c r="B5116" s="136" t="str">
        <f t="shared" si="5"/>
        <v/>
      </c>
    </row>
    <row r="5117" spans="1:2">
      <c r="A5117" s="136" t="str">
        <f t="shared" si="4"/>
        <v/>
      </c>
      <c r="B5117" s="136" t="str">
        <f t="shared" si="5"/>
        <v/>
      </c>
    </row>
    <row r="5118" spans="1:2">
      <c r="A5118" s="136" t="str">
        <f t="shared" si="4"/>
        <v/>
      </c>
      <c r="B5118" s="136" t="str">
        <f t="shared" si="5"/>
        <v/>
      </c>
    </row>
    <row r="5119" spans="1:2">
      <c r="A5119" s="136" t="str">
        <f t="shared" si="4"/>
        <v/>
      </c>
      <c r="B5119" s="136" t="str">
        <f t="shared" si="5"/>
        <v/>
      </c>
    </row>
    <row r="5120" spans="1:2">
      <c r="A5120" s="136" t="str">
        <f t="shared" si="4"/>
        <v/>
      </c>
      <c r="B5120" s="136" t="str">
        <f t="shared" si="5"/>
        <v/>
      </c>
    </row>
    <row r="5121" spans="1:2">
      <c r="A5121" s="136" t="str">
        <f t="shared" si="4"/>
        <v/>
      </c>
      <c r="B5121" s="136" t="str">
        <f t="shared" si="5"/>
        <v/>
      </c>
    </row>
    <row r="5122" spans="1:2">
      <c r="A5122" s="136" t="str">
        <f t="shared" si="4"/>
        <v/>
      </c>
      <c r="B5122" s="136" t="str">
        <f t="shared" si="5"/>
        <v/>
      </c>
    </row>
    <row r="5123" spans="1:2">
      <c r="A5123" s="136" t="str">
        <f t="shared" si="4"/>
        <v/>
      </c>
      <c r="B5123" s="136" t="str">
        <f t="shared" si="5"/>
        <v/>
      </c>
    </row>
    <row r="5124" spans="1:2">
      <c r="A5124" s="136" t="str">
        <f t="shared" si="4"/>
        <v/>
      </c>
      <c r="B5124" s="136" t="str">
        <f t="shared" si="5"/>
        <v/>
      </c>
    </row>
    <row r="5125" spans="1:2">
      <c r="A5125" s="136" t="str">
        <f t="shared" si="4"/>
        <v/>
      </c>
      <c r="B5125" s="136" t="str">
        <f t="shared" si="5"/>
        <v/>
      </c>
    </row>
    <row r="5126" spans="1:2">
      <c r="A5126" s="136" t="str">
        <f t="shared" si="4"/>
        <v/>
      </c>
      <c r="B5126" s="136" t="str">
        <f t="shared" si="5"/>
        <v/>
      </c>
    </row>
    <row r="5127" spans="1:2">
      <c r="A5127" s="136" t="str">
        <f t="shared" si="4"/>
        <v/>
      </c>
      <c r="B5127" s="136" t="str">
        <f t="shared" si="5"/>
        <v/>
      </c>
    </row>
    <row r="5128" spans="1:2">
      <c r="A5128" s="136" t="str">
        <f t="shared" si="4"/>
        <v/>
      </c>
      <c r="B5128" s="136" t="str">
        <f t="shared" si="5"/>
        <v/>
      </c>
    </row>
    <row r="5129" spans="1:2">
      <c r="A5129" s="136" t="str">
        <f t="shared" si="4"/>
        <v/>
      </c>
      <c r="B5129" s="136" t="str">
        <f t="shared" si="5"/>
        <v/>
      </c>
    </row>
    <row r="5130" spans="1:2">
      <c r="A5130" s="136" t="str">
        <f t="shared" si="4"/>
        <v/>
      </c>
      <c r="B5130" s="136" t="str">
        <f t="shared" si="5"/>
        <v/>
      </c>
    </row>
    <row r="5131" spans="1:2">
      <c r="A5131" s="136" t="str">
        <f t="shared" si="4"/>
        <v/>
      </c>
      <c r="B5131" s="136" t="str">
        <f t="shared" si="5"/>
        <v/>
      </c>
    </row>
    <row r="5132" spans="1:2">
      <c r="A5132" s="136" t="str">
        <f t="shared" si="4"/>
        <v/>
      </c>
      <c r="B5132" s="136" t="str">
        <f t="shared" si="5"/>
        <v/>
      </c>
    </row>
    <row r="5133" spans="1:2">
      <c r="A5133" s="136" t="str">
        <f t="shared" si="4"/>
        <v/>
      </c>
      <c r="B5133" s="136" t="str">
        <f t="shared" si="5"/>
        <v/>
      </c>
    </row>
    <row r="5134" spans="1:2">
      <c r="A5134" s="136" t="str">
        <f t="shared" si="4"/>
        <v/>
      </c>
      <c r="B5134" s="136" t="str">
        <f t="shared" si="5"/>
        <v/>
      </c>
    </row>
    <row r="5135" spans="1:2">
      <c r="A5135" s="136" t="str">
        <f t="shared" si="4"/>
        <v/>
      </c>
      <c r="B5135" s="136" t="str">
        <f t="shared" si="5"/>
        <v/>
      </c>
    </row>
    <row r="5136" spans="1:2">
      <c r="A5136" s="136" t="str">
        <f t="shared" si="4"/>
        <v/>
      </c>
      <c r="B5136" s="136" t="str">
        <f t="shared" si="5"/>
        <v/>
      </c>
    </row>
    <row r="5137" spans="1:2">
      <c r="A5137" s="136" t="str">
        <f t="shared" si="4"/>
        <v/>
      </c>
      <c r="B5137" s="136" t="str">
        <f t="shared" si="5"/>
        <v/>
      </c>
    </row>
    <row r="5138" spans="1:2">
      <c r="A5138" s="136" t="str">
        <f t="shared" si="4"/>
        <v/>
      </c>
      <c r="B5138" s="136" t="str">
        <f t="shared" si="5"/>
        <v/>
      </c>
    </row>
    <row r="5139" spans="1:2">
      <c r="A5139" s="136" t="str">
        <f t="shared" si="4"/>
        <v/>
      </c>
      <c r="B5139" s="136" t="str">
        <f t="shared" si="5"/>
        <v/>
      </c>
    </row>
    <row r="5140" spans="1:2">
      <c r="A5140" s="136" t="str">
        <f t="shared" si="4"/>
        <v/>
      </c>
      <c r="B5140" s="136" t="str">
        <f t="shared" si="5"/>
        <v/>
      </c>
    </row>
    <row r="5141" spans="1:2">
      <c r="A5141" s="136" t="str">
        <f t="shared" ref="A5141:A5204" si="6">HYPERLINK("http://tw.stock.yahoo.com/q/ta?s=","")</f>
        <v/>
      </c>
      <c r="B5141" s="136" t="str">
        <f t="shared" ref="B5141:B5204" si="7">HYPERLINK("http://tw.stock.yahoo.com/d/s/earning_.html","")</f>
        <v/>
      </c>
    </row>
    <row r="5142" spans="1:2">
      <c r="A5142" s="136" t="str">
        <f t="shared" si="6"/>
        <v/>
      </c>
      <c r="B5142" s="136" t="str">
        <f t="shared" si="7"/>
        <v/>
      </c>
    </row>
    <row r="5143" spans="1:2">
      <c r="A5143" s="136" t="str">
        <f t="shared" si="6"/>
        <v/>
      </c>
      <c r="B5143" s="136" t="str">
        <f t="shared" si="7"/>
        <v/>
      </c>
    </row>
    <row r="5144" spans="1:2">
      <c r="A5144" s="136" t="str">
        <f t="shared" si="6"/>
        <v/>
      </c>
      <c r="B5144" s="136" t="str">
        <f t="shared" si="7"/>
        <v/>
      </c>
    </row>
    <row r="5145" spans="1:2">
      <c r="A5145" s="136" t="str">
        <f t="shared" si="6"/>
        <v/>
      </c>
      <c r="B5145" s="136" t="str">
        <f t="shared" si="7"/>
        <v/>
      </c>
    </row>
    <row r="5146" spans="1:2">
      <c r="A5146" s="136" t="str">
        <f t="shared" si="6"/>
        <v/>
      </c>
      <c r="B5146" s="136" t="str">
        <f t="shared" si="7"/>
        <v/>
      </c>
    </row>
    <row r="5147" spans="1:2">
      <c r="A5147" s="136" t="str">
        <f t="shared" si="6"/>
        <v/>
      </c>
      <c r="B5147" s="136" t="str">
        <f t="shared" si="7"/>
        <v/>
      </c>
    </row>
    <row r="5148" spans="1:2">
      <c r="A5148" s="136" t="str">
        <f t="shared" si="6"/>
        <v/>
      </c>
      <c r="B5148" s="136" t="str">
        <f t="shared" si="7"/>
        <v/>
      </c>
    </row>
    <row r="5149" spans="1:2">
      <c r="A5149" s="136" t="str">
        <f t="shared" si="6"/>
        <v/>
      </c>
      <c r="B5149" s="136" t="str">
        <f t="shared" si="7"/>
        <v/>
      </c>
    </row>
    <row r="5150" spans="1:2">
      <c r="A5150" s="136" t="str">
        <f t="shared" si="6"/>
        <v/>
      </c>
      <c r="B5150" s="136" t="str">
        <f t="shared" si="7"/>
        <v/>
      </c>
    </row>
    <row r="5151" spans="1:2">
      <c r="A5151" s="136" t="str">
        <f t="shared" si="6"/>
        <v/>
      </c>
      <c r="B5151" s="136" t="str">
        <f t="shared" si="7"/>
        <v/>
      </c>
    </row>
    <row r="5152" spans="1:2">
      <c r="A5152" s="136" t="str">
        <f t="shared" si="6"/>
        <v/>
      </c>
      <c r="B5152" s="136" t="str">
        <f t="shared" si="7"/>
        <v/>
      </c>
    </row>
    <row r="5153" spans="1:2">
      <c r="A5153" s="136" t="str">
        <f t="shared" si="6"/>
        <v/>
      </c>
      <c r="B5153" s="136" t="str">
        <f t="shared" si="7"/>
        <v/>
      </c>
    </row>
    <row r="5154" spans="1:2">
      <c r="A5154" s="136" t="str">
        <f t="shared" si="6"/>
        <v/>
      </c>
      <c r="B5154" s="136" t="str">
        <f t="shared" si="7"/>
        <v/>
      </c>
    </row>
    <row r="5155" spans="1:2">
      <c r="A5155" s="136" t="str">
        <f t="shared" si="6"/>
        <v/>
      </c>
      <c r="B5155" s="136" t="str">
        <f t="shared" si="7"/>
        <v/>
      </c>
    </row>
    <row r="5156" spans="1:2">
      <c r="A5156" s="136" t="str">
        <f t="shared" si="6"/>
        <v/>
      </c>
      <c r="B5156" s="136" t="str">
        <f t="shared" si="7"/>
        <v/>
      </c>
    </row>
    <row r="5157" spans="1:2">
      <c r="A5157" s="136" t="str">
        <f t="shared" si="6"/>
        <v/>
      </c>
      <c r="B5157" s="136" t="str">
        <f t="shared" si="7"/>
        <v/>
      </c>
    </row>
    <row r="5158" spans="1:2">
      <c r="A5158" s="136" t="str">
        <f t="shared" si="6"/>
        <v/>
      </c>
      <c r="B5158" s="136" t="str">
        <f t="shared" si="7"/>
        <v/>
      </c>
    </row>
    <row r="5159" spans="1:2">
      <c r="A5159" s="136" t="str">
        <f t="shared" si="6"/>
        <v/>
      </c>
      <c r="B5159" s="136" t="str">
        <f t="shared" si="7"/>
        <v/>
      </c>
    </row>
    <row r="5160" spans="1:2">
      <c r="A5160" s="136" t="str">
        <f t="shared" si="6"/>
        <v/>
      </c>
      <c r="B5160" s="136" t="str">
        <f t="shared" si="7"/>
        <v/>
      </c>
    </row>
    <row r="5161" spans="1:2">
      <c r="A5161" s="136" t="str">
        <f t="shared" si="6"/>
        <v/>
      </c>
      <c r="B5161" s="136" t="str">
        <f t="shared" si="7"/>
        <v/>
      </c>
    </row>
    <row r="5162" spans="1:2">
      <c r="A5162" s="136" t="str">
        <f t="shared" si="6"/>
        <v/>
      </c>
      <c r="B5162" s="136" t="str">
        <f t="shared" si="7"/>
        <v/>
      </c>
    </row>
    <row r="5163" spans="1:2">
      <c r="A5163" s="136" t="str">
        <f t="shared" si="6"/>
        <v/>
      </c>
      <c r="B5163" s="136" t="str">
        <f t="shared" si="7"/>
        <v/>
      </c>
    </row>
    <row r="5164" spans="1:2">
      <c r="A5164" s="136" t="str">
        <f t="shared" si="6"/>
        <v/>
      </c>
      <c r="B5164" s="136" t="str">
        <f t="shared" si="7"/>
        <v/>
      </c>
    </row>
    <row r="5165" spans="1:2">
      <c r="A5165" s="136" t="str">
        <f t="shared" si="6"/>
        <v/>
      </c>
      <c r="B5165" s="136" t="str">
        <f t="shared" si="7"/>
        <v/>
      </c>
    </row>
    <row r="5166" spans="1:2">
      <c r="A5166" s="136" t="str">
        <f t="shared" si="6"/>
        <v/>
      </c>
      <c r="B5166" s="136" t="str">
        <f t="shared" si="7"/>
        <v/>
      </c>
    </row>
    <row r="5167" spans="1:2">
      <c r="A5167" s="136" t="str">
        <f t="shared" si="6"/>
        <v/>
      </c>
      <c r="B5167" s="136" t="str">
        <f t="shared" si="7"/>
        <v/>
      </c>
    </row>
    <row r="5168" spans="1:2">
      <c r="A5168" s="136" t="str">
        <f t="shared" si="6"/>
        <v/>
      </c>
      <c r="B5168" s="136" t="str">
        <f t="shared" si="7"/>
        <v/>
      </c>
    </row>
    <row r="5169" spans="1:2">
      <c r="A5169" s="136" t="str">
        <f t="shared" si="6"/>
        <v/>
      </c>
      <c r="B5169" s="136" t="str">
        <f t="shared" si="7"/>
        <v/>
      </c>
    </row>
    <row r="5170" spans="1:2">
      <c r="A5170" s="136" t="str">
        <f t="shared" si="6"/>
        <v/>
      </c>
      <c r="B5170" s="136" t="str">
        <f t="shared" si="7"/>
        <v/>
      </c>
    </row>
    <row r="5171" spans="1:2">
      <c r="A5171" s="136" t="str">
        <f t="shared" si="6"/>
        <v/>
      </c>
      <c r="B5171" s="136" t="str">
        <f t="shared" si="7"/>
        <v/>
      </c>
    </row>
    <row r="5172" spans="1:2">
      <c r="A5172" s="136" t="str">
        <f t="shared" si="6"/>
        <v/>
      </c>
      <c r="B5172" s="136" t="str">
        <f t="shared" si="7"/>
        <v/>
      </c>
    </row>
    <row r="5173" spans="1:2">
      <c r="A5173" s="136" t="str">
        <f t="shared" si="6"/>
        <v/>
      </c>
      <c r="B5173" s="136" t="str">
        <f t="shared" si="7"/>
        <v/>
      </c>
    </row>
    <row r="5174" spans="1:2">
      <c r="A5174" s="136" t="str">
        <f t="shared" si="6"/>
        <v/>
      </c>
      <c r="B5174" s="136" t="str">
        <f t="shared" si="7"/>
        <v/>
      </c>
    </row>
    <row r="5175" spans="1:2">
      <c r="A5175" s="136" t="str">
        <f t="shared" si="6"/>
        <v/>
      </c>
      <c r="B5175" s="136" t="str">
        <f t="shared" si="7"/>
        <v/>
      </c>
    </row>
    <row r="5176" spans="1:2">
      <c r="A5176" s="136" t="str">
        <f t="shared" si="6"/>
        <v/>
      </c>
      <c r="B5176" s="136" t="str">
        <f t="shared" si="7"/>
        <v/>
      </c>
    </row>
    <row r="5177" spans="1:2">
      <c r="A5177" s="136" t="str">
        <f t="shared" si="6"/>
        <v/>
      </c>
      <c r="B5177" s="136" t="str">
        <f t="shared" si="7"/>
        <v/>
      </c>
    </row>
    <row r="5178" spans="1:2">
      <c r="A5178" s="136" t="str">
        <f t="shared" si="6"/>
        <v/>
      </c>
      <c r="B5178" s="136" t="str">
        <f t="shared" si="7"/>
        <v/>
      </c>
    </row>
    <row r="5179" spans="1:2">
      <c r="A5179" s="136" t="str">
        <f t="shared" si="6"/>
        <v/>
      </c>
      <c r="B5179" s="136" t="str">
        <f t="shared" si="7"/>
        <v/>
      </c>
    </row>
    <row r="5180" spans="1:2">
      <c r="A5180" s="136" t="str">
        <f t="shared" si="6"/>
        <v/>
      </c>
      <c r="B5180" s="136" t="str">
        <f t="shared" si="7"/>
        <v/>
      </c>
    </row>
    <row r="5181" spans="1:2">
      <c r="A5181" s="136" t="str">
        <f t="shared" si="6"/>
        <v/>
      </c>
      <c r="B5181" s="136" t="str">
        <f t="shared" si="7"/>
        <v/>
      </c>
    </row>
    <row r="5182" spans="1:2">
      <c r="A5182" s="136" t="str">
        <f t="shared" si="6"/>
        <v/>
      </c>
      <c r="B5182" s="136" t="str">
        <f t="shared" si="7"/>
        <v/>
      </c>
    </row>
    <row r="5183" spans="1:2">
      <c r="A5183" s="136" t="str">
        <f t="shared" si="6"/>
        <v/>
      </c>
      <c r="B5183" s="136" t="str">
        <f t="shared" si="7"/>
        <v/>
      </c>
    </row>
    <row r="5184" spans="1:2">
      <c r="A5184" s="136" t="str">
        <f t="shared" si="6"/>
        <v/>
      </c>
      <c r="B5184" s="136" t="str">
        <f t="shared" si="7"/>
        <v/>
      </c>
    </row>
    <row r="5185" spans="1:2">
      <c r="A5185" s="136" t="str">
        <f t="shared" si="6"/>
        <v/>
      </c>
      <c r="B5185" s="136" t="str">
        <f t="shared" si="7"/>
        <v/>
      </c>
    </row>
    <row r="5186" spans="1:2">
      <c r="A5186" s="136" t="str">
        <f t="shared" si="6"/>
        <v/>
      </c>
      <c r="B5186" s="136" t="str">
        <f t="shared" si="7"/>
        <v/>
      </c>
    </row>
    <row r="5187" spans="1:2">
      <c r="A5187" s="136" t="str">
        <f t="shared" si="6"/>
        <v/>
      </c>
      <c r="B5187" s="136" t="str">
        <f t="shared" si="7"/>
        <v/>
      </c>
    </row>
    <row r="5188" spans="1:2">
      <c r="A5188" s="136" t="str">
        <f t="shared" si="6"/>
        <v/>
      </c>
      <c r="B5188" s="136" t="str">
        <f t="shared" si="7"/>
        <v/>
      </c>
    </row>
    <row r="5189" spans="1:2">
      <c r="A5189" s="136" t="str">
        <f t="shared" si="6"/>
        <v/>
      </c>
      <c r="B5189" s="136" t="str">
        <f t="shared" si="7"/>
        <v/>
      </c>
    </row>
    <row r="5190" spans="1:2">
      <c r="A5190" s="136" t="str">
        <f t="shared" si="6"/>
        <v/>
      </c>
      <c r="B5190" s="136" t="str">
        <f t="shared" si="7"/>
        <v/>
      </c>
    </row>
    <row r="5191" spans="1:2">
      <c r="A5191" s="136" t="str">
        <f t="shared" si="6"/>
        <v/>
      </c>
      <c r="B5191" s="136" t="str">
        <f t="shared" si="7"/>
        <v/>
      </c>
    </row>
    <row r="5192" spans="1:2">
      <c r="A5192" s="136" t="str">
        <f t="shared" si="6"/>
        <v/>
      </c>
      <c r="B5192" s="136" t="str">
        <f t="shared" si="7"/>
        <v/>
      </c>
    </row>
    <row r="5193" spans="1:2">
      <c r="A5193" s="136" t="str">
        <f t="shared" si="6"/>
        <v/>
      </c>
      <c r="B5193" s="136" t="str">
        <f t="shared" si="7"/>
        <v/>
      </c>
    </row>
    <row r="5194" spans="1:2">
      <c r="A5194" s="136" t="str">
        <f t="shared" si="6"/>
        <v/>
      </c>
      <c r="B5194" s="136" t="str">
        <f t="shared" si="7"/>
        <v/>
      </c>
    </row>
    <row r="5195" spans="1:2">
      <c r="A5195" s="136" t="str">
        <f t="shared" si="6"/>
        <v/>
      </c>
      <c r="B5195" s="136" t="str">
        <f t="shared" si="7"/>
        <v/>
      </c>
    </row>
    <row r="5196" spans="1:2">
      <c r="A5196" s="136" t="str">
        <f t="shared" si="6"/>
        <v/>
      </c>
      <c r="B5196" s="136" t="str">
        <f t="shared" si="7"/>
        <v/>
      </c>
    </row>
    <row r="5197" spans="1:2">
      <c r="A5197" s="136" t="str">
        <f t="shared" si="6"/>
        <v/>
      </c>
      <c r="B5197" s="136" t="str">
        <f t="shared" si="7"/>
        <v/>
      </c>
    </row>
    <row r="5198" spans="1:2">
      <c r="A5198" s="136" t="str">
        <f t="shared" si="6"/>
        <v/>
      </c>
      <c r="B5198" s="136" t="str">
        <f t="shared" si="7"/>
        <v/>
      </c>
    </row>
    <row r="5199" spans="1:2">
      <c r="A5199" s="136" t="str">
        <f t="shared" si="6"/>
        <v/>
      </c>
      <c r="B5199" s="136" t="str">
        <f t="shared" si="7"/>
        <v/>
      </c>
    </row>
    <row r="5200" spans="1:2">
      <c r="A5200" s="136" t="str">
        <f t="shared" si="6"/>
        <v/>
      </c>
      <c r="B5200" s="136" t="str">
        <f t="shared" si="7"/>
        <v/>
      </c>
    </row>
    <row r="5201" spans="1:2">
      <c r="A5201" s="136" t="str">
        <f t="shared" si="6"/>
        <v/>
      </c>
      <c r="B5201" s="136" t="str">
        <f t="shared" si="7"/>
        <v/>
      </c>
    </row>
    <row r="5202" spans="1:2">
      <c r="A5202" s="136" t="str">
        <f t="shared" si="6"/>
        <v/>
      </c>
      <c r="B5202" s="136" t="str">
        <f t="shared" si="7"/>
        <v/>
      </c>
    </row>
    <row r="5203" spans="1:2">
      <c r="A5203" s="136" t="str">
        <f t="shared" si="6"/>
        <v/>
      </c>
      <c r="B5203" s="136" t="str">
        <f t="shared" si="7"/>
        <v/>
      </c>
    </row>
    <row r="5204" spans="1:2">
      <c r="A5204" s="136" t="str">
        <f t="shared" si="6"/>
        <v/>
      </c>
      <c r="B5204" s="136" t="str">
        <f t="shared" si="7"/>
        <v/>
      </c>
    </row>
    <row r="5205" spans="1:2">
      <c r="A5205" s="136" t="str">
        <f t="shared" ref="A5205:A5268" si="8">HYPERLINK("http://tw.stock.yahoo.com/q/ta?s=","")</f>
        <v/>
      </c>
      <c r="B5205" s="136" t="str">
        <f t="shared" ref="B5205:B5268" si="9">HYPERLINK("http://tw.stock.yahoo.com/d/s/earning_.html","")</f>
        <v/>
      </c>
    </row>
    <row r="5206" spans="1:2">
      <c r="A5206" s="136" t="str">
        <f t="shared" si="8"/>
        <v/>
      </c>
      <c r="B5206" s="136" t="str">
        <f t="shared" si="9"/>
        <v/>
      </c>
    </row>
    <row r="5207" spans="1:2">
      <c r="A5207" s="136" t="str">
        <f t="shared" si="8"/>
        <v/>
      </c>
      <c r="B5207" s="136" t="str">
        <f t="shared" si="9"/>
        <v/>
      </c>
    </row>
    <row r="5208" spans="1:2">
      <c r="A5208" s="136" t="str">
        <f t="shared" si="8"/>
        <v/>
      </c>
      <c r="B5208" s="136" t="str">
        <f t="shared" si="9"/>
        <v/>
      </c>
    </row>
    <row r="5209" spans="1:2">
      <c r="A5209" s="136" t="str">
        <f t="shared" si="8"/>
        <v/>
      </c>
      <c r="B5209" s="136" t="str">
        <f t="shared" si="9"/>
        <v/>
      </c>
    </row>
    <row r="5210" spans="1:2">
      <c r="A5210" s="136" t="str">
        <f t="shared" si="8"/>
        <v/>
      </c>
      <c r="B5210" s="136" t="str">
        <f t="shared" si="9"/>
        <v/>
      </c>
    </row>
    <row r="5211" spans="1:2">
      <c r="A5211" s="136" t="str">
        <f t="shared" si="8"/>
        <v/>
      </c>
      <c r="B5211" s="136" t="str">
        <f t="shared" si="9"/>
        <v/>
      </c>
    </row>
    <row r="5212" spans="1:2">
      <c r="A5212" s="136" t="str">
        <f t="shared" si="8"/>
        <v/>
      </c>
      <c r="B5212" s="136" t="str">
        <f t="shared" si="9"/>
        <v/>
      </c>
    </row>
    <row r="5213" spans="1:2">
      <c r="A5213" s="136" t="str">
        <f t="shared" si="8"/>
        <v/>
      </c>
      <c r="B5213" s="136" t="str">
        <f t="shared" si="9"/>
        <v/>
      </c>
    </row>
    <row r="5214" spans="1:2">
      <c r="A5214" s="136" t="str">
        <f t="shared" si="8"/>
        <v/>
      </c>
      <c r="B5214" s="136" t="str">
        <f t="shared" si="9"/>
        <v/>
      </c>
    </row>
    <row r="5215" spans="1:2">
      <c r="A5215" s="136" t="str">
        <f t="shared" si="8"/>
        <v/>
      </c>
      <c r="B5215" s="136" t="str">
        <f t="shared" si="9"/>
        <v/>
      </c>
    </row>
    <row r="5216" spans="1:2">
      <c r="A5216" s="136" t="str">
        <f t="shared" si="8"/>
        <v/>
      </c>
      <c r="B5216" s="136" t="str">
        <f t="shared" si="9"/>
        <v/>
      </c>
    </row>
    <row r="5217" spans="1:2">
      <c r="A5217" s="136" t="str">
        <f t="shared" si="8"/>
        <v/>
      </c>
      <c r="B5217" s="136" t="str">
        <f t="shared" si="9"/>
        <v/>
      </c>
    </row>
    <row r="5218" spans="1:2">
      <c r="A5218" s="136" t="str">
        <f t="shared" si="8"/>
        <v/>
      </c>
      <c r="B5218" s="136" t="str">
        <f t="shared" si="9"/>
        <v/>
      </c>
    </row>
    <row r="5219" spans="1:2">
      <c r="A5219" s="136" t="str">
        <f t="shared" si="8"/>
        <v/>
      </c>
      <c r="B5219" s="136" t="str">
        <f t="shared" si="9"/>
        <v/>
      </c>
    </row>
    <row r="5220" spans="1:2">
      <c r="A5220" s="136" t="str">
        <f t="shared" si="8"/>
        <v/>
      </c>
      <c r="B5220" s="136" t="str">
        <f t="shared" si="9"/>
        <v/>
      </c>
    </row>
    <row r="5221" spans="1:2">
      <c r="A5221" s="136" t="str">
        <f t="shared" si="8"/>
        <v/>
      </c>
      <c r="B5221" s="136" t="str">
        <f t="shared" si="9"/>
        <v/>
      </c>
    </row>
    <row r="5222" spans="1:2">
      <c r="A5222" s="136" t="str">
        <f t="shared" si="8"/>
        <v/>
      </c>
      <c r="B5222" s="136" t="str">
        <f t="shared" si="9"/>
        <v/>
      </c>
    </row>
    <row r="5223" spans="1:2">
      <c r="A5223" s="136" t="str">
        <f t="shared" si="8"/>
        <v/>
      </c>
      <c r="B5223" s="136" t="str">
        <f t="shared" si="9"/>
        <v/>
      </c>
    </row>
    <row r="5224" spans="1:2">
      <c r="A5224" s="136" t="str">
        <f t="shared" si="8"/>
        <v/>
      </c>
      <c r="B5224" s="136" t="str">
        <f t="shared" si="9"/>
        <v/>
      </c>
    </row>
    <row r="5225" spans="1:2">
      <c r="A5225" s="136" t="str">
        <f t="shared" si="8"/>
        <v/>
      </c>
      <c r="B5225" s="136" t="str">
        <f t="shared" si="9"/>
        <v/>
      </c>
    </row>
    <row r="5226" spans="1:2">
      <c r="A5226" s="136" t="str">
        <f t="shared" si="8"/>
        <v/>
      </c>
      <c r="B5226" s="136" t="str">
        <f t="shared" si="9"/>
        <v/>
      </c>
    </row>
    <row r="5227" spans="1:2">
      <c r="A5227" s="136" t="str">
        <f t="shared" si="8"/>
        <v/>
      </c>
      <c r="B5227" s="136" t="str">
        <f t="shared" si="9"/>
        <v/>
      </c>
    </row>
    <row r="5228" spans="1:2">
      <c r="A5228" s="136" t="str">
        <f t="shared" si="8"/>
        <v/>
      </c>
      <c r="B5228" s="136" t="str">
        <f t="shared" si="9"/>
        <v/>
      </c>
    </row>
    <row r="5229" spans="1:2">
      <c r="A5229" s="136" t="str">
        <f t="shared" si="8"/>
        <v/>
      </c>
      <c r="B5229" s="136" t="str">
        <f t="shared" si="9"/>
        <v/>
      </c>
    </row>
    <row r="5230" spans="1:2">
      <c r="A5230" s="136" t="str">
        <f t="shared" si="8"/>
        <v/>
      </c>
      <c r="B5230" s="136" t="str">
        <f t="shared" si="9"/>
        <v/>
      </c>
    </row>
    <row r="5231" spans="1:2">
      <c r="A5231" s="136" t="str">
        <f t="shared" si="8"/>
        <v/>
      </c>
      <c r="B5231" s="136" t="str">
        <f t="shared" si="9"/>
        <v/>
      </c>
    </row>
    <row r="5232" spans="1:2">
      <c r="A5232" s="136" t="str">
        <f t="shared" si="8"/>
        <v/>
      </c>
      <c r="B5232" s="136" t="str">
        <f t="shared" si="9"/>
        <v/>
      </c>
    </row>
    <row r="5233" spans="1:2">
      <c r="A5233" s="136" t="str">
        <f t="shared" si="8"/>
        <v/>
      </c>
      <c r="B5233" s="136" t="str">
        <f t="shared" si="9"/>
        <v/>
      </c>
    </row>
    <row r="5234" spans="1:2">
      <c r="A5234" s="136" t="str">
        <f t="shared" si="8"/>
        <v/>
      </c>
      <c r="B5234" s="136" t="str">
        <f t="shared" si="9"/>
        <v/>
      </c>
    </row>
    <row r="5235" spans="1:2">
      <c r="A5235" s="136" t="str">
        <f t="shared" si="8"/>
        <v/>
      </c>
      <c r="B5235" s="136" t="str">
        <f t="shared" si="9"/>
        <v/>
      </c>
    </row>
    <row r="5236" spans="1:2">
      <c r="A5236" s="136" t="str">
        <f t="shared" si="8"/>
        <v/>
      </c>
      <c r="B5236" s="136" t="str">
        <f t="shared" si="9"/>
        <v/>
      </c>
    </row>
    <row r="5237" spans="1:2">
      <c r="A5237" s="136" t="str">
        <f t="shared" si="8"/>
        <v/>
      </c>
      <c r="B5237" s="136" t="str">
        <f t="shared" si="9"/>
        <v/>
      </c>
    </row>
    <row r="5238" spans="1:2">
      <c r="A5238" s="136" t="str">
        <f t="shared" si="8"/>
        <v/>
      </c>
      <c r="B5238" s="136" t="str">
        <f t="shared" si="9"/>
        <v/>
      </c>
    </row>
    <row r="5239" spans="1:2">
      <c r="A5239" s="136" t="str">
        <f t="shared" si="8"/>
        <v/>
      </c>
      <c r="B5239" s="136" t="str">
        <f t="shared" si="9"/>
        <v/>
      </c>
    </row>
    <row r="5240" spans="1:2">
      <c r="A5240" s="136" t="str">
        <f t="shared" si="8"/>
        <v/>
      </c>
      <c r="B5240" s="136" t="str">
        <f t="shared" si="9"/>
        <v/>
      </c>
    </row>
    <row r="5241" spans="1:2">
      <c r="A5241" s="136" t="str">
        <f t="shared" si="8"/>
        <v/>
      </c>
      <c r="B5241" s="136" t="str">
        <f t="shared" si="9"/>
        <v/>
      </c>
    </row>
    <row r="5242" spans="1:2">
      <c r="A5242" s="136" t="str">
        <f t="shared" si="8"/>
        <v/>
      </c>
      <c r="B5242" s="136" t="str">
        <f t="shared" si="9"/>
        <v/>
      </c>
    </row>
    <row r="5243" spans="1:2">
      <c r="A5243" s="136" t="str">
        <f t="shared" si="8"/>
        <v/>
      </c>
      <c r="B5243" s="136" t="str">
        <f t="shared" si="9"/>
        <v/>
      </c>
    </row>
    <row r="5244" spans="1:2">
      <c r="A5244" s="136" t="str">
        <f t="shared" si="8"/>
        <v/>
      </c>
      <c r="B5244" s="136" t="str">
        <f t="shared" si="9"/>
        <v/>
      </c>
    </row>
    <row r="5245" spans="1:2">
      <c r="A5245" s="136" t="str">
        <f t="shared" si="8"/>
        <v/>
      </c>
      <c r="B5245" s="136" t="str">
        <f t="shared" si="9"/>
        <v/>
      </c>
    </row>
    <row r="5246" spans="1:2">
      <c r="A5246" s="136" t="str">
        <f t="shared" si="8"/>
        <v/>
      </c>
      <c r="B5246" s="136" t="str">
        <f t="shared" si="9"/>
        <v/>
      </c>
    </row>
    <row r="5247" spans="1:2">
      <c r="A5247" s="136" t="str">
        <f t="shared" si="8"/>
        <v/>
      </c>
      <c r="B5247" s="136" t="str">
        <f t="shared" si="9"/>
        <v/>
      </c>
    </row>
    <row r="5248" spans="1:2">
      <c r="A5248" s="136" t="str">
        <f t="shared" si="8"/>
        <v/>
      </c>
      <c r="B5248" s="136" t="str">
        <f t="shared" si="9"/>
        <v/>
      </c>
    </row>
    <row r="5249" spans="1:2">
      <c r="A5249" s="136" t="str">
        <f t="shared" si="8"/>
        <v/>
      </c>
      <c r="B5249" s="136" t="str">
        <f t="shared" si="9"/>
        <v/>
      </c>
    </row>
    <row r="5250" spans="1:2">
      <c r="A5250" s="136" t="str">
        <f t="shared" si="8"/>
        <v/>
      </c>
      <c r="B5250" s="136" t="str">
        <f t="shared" si="9"/>
        <v/>
      </c>
    </row>
    <row r="5251" spans="1:2">
      <c r="A5251" s="136" t="str">
        <f t="shared" si="8"/>
        <v/>
      </c>
      <c r="B5251" s="136" t="str">
        <f t="shared" si="9"/>
        <v/>
      </c>
    </row>
    <row r="5252" spans="1:2">
      <c r="A5252" s="136" t="str">
        <f t="shared" si="8"/>
        <v/>
      </c>
      <c r="B5252" s="136" t="str">
        <f t="shared" si="9"/>
        <v/>
      </c>
    </row>
    <row r="5253" spans="1:2">
      <c r="A5253" s="136" t="str">
        <f t="shared" si="8"/>
        <v/>
      </c>
      <c r="B5253" s="136" t="str">
        <f t="shared" si="9"/>
        <v/>
      </c>
    </row>
    <row r="5254" spans="1:2">
      <c r="A5254" s="136" t="str">
        <f t="shared" si="8"/>
        <v/>
      </c>
      <c r="B5254" s="136" t="str">
        <f t="shared" si="9"/>
        <v/>
      </c>
    </row>
    <row r="5255" spans="1:2">
      <c r="A5255" s="136" t="str">
        <f t="shared" si="8"/>
        <v/>
      </c>
      <c r="B5255" s="136" t="str">
        <f t="shared" si="9"/>
        <v/>
      </c>
    </row>
    <row r="5256" spans="1:2">
      <c r="A5256" s="136" t="str">
        <f t="shared" si="8"/>
        <v/>
      </c>
      <c r="B5256" s="136" t="str">
        <f t="shared" si="9"/>
        <v/>
      </c>
    </row>
    <row r="5257" spans="1:2">
      <c r="A5257" s="136" t="str">
        <f t="shared" si="8"/>
        <v/>
      </c>
      <c r="B5257" s="136" t="str">
        <f t="shared" si="9"/>
        <v/>
      </c>
    </row>
    <row r="5258" spans="1:2">
      <c r="A5258" s="136" t="str">
        <f t="shared" si="8"/>
        <v/>
      </c>
      <c r="B5258" s="136" t="str">
        <f t="shared" si="9"/>
        <v/>
      </c>
    </row>
    <row r="5259" spans="1:2">
      <c r="A5259" s="136" t="str">
        <f t="shared" si="8"/>
        <v/>
      </c>
      <c r="B5259" s="136" t="str">
        <f t="shared" si="9"/>
        <v/>
      </c>
    </row>
    <row r="5260" spans="1:2">
      <c r="A5260" s="136" t="str">
        <f t="shared" si="8"/>
        <v/>
      </c>
      <c r="B5260" s="136" t="str">
        <f t="shared" si="9"/>
        <v/>
      </c>
    </row>
    <row r="5261" spans="1:2">
      <c r="A5261" s="136" t="str">
        <f t="shared" si="8"/>
        <v/>
      </c>
      <c r="B5261" s="136" t="str">
        <f t="shared" si="9"/>
        <v/>
      </c>
    </row>
    <row r="5262" spans="1:2">
      <c r="A5262" s="136" t="str">
        <f t="shared" si="8"/>
        <v/>
      </c>
      <c r="B5262" s="136" t="str">
        <f t="shared" si="9"/>
        <v/>
      </c>
    </row>
    <row r="5263" spans="1:2">
      <c r="A5263" s="136" t="str">
        <f t="shared" si="8"/>
        <v/>
      </c>
      <c r="B5263" s="136" t="str">
        <f t="shared" si="9"/>
        <v/>
      </c>
    </row>
    <row r="5264" spans="1:2">
      <c r="A5264" s="136" t="str">
        <f t="shared" si="8"/>
        <v/>
      </c>
      <c r="B5264" s="136" t="str">
        <f t="shared" si="9"/>
        <v/>
      </c>
    </row>
    <row r="5265" spans="1:2">
      <c r="A5265" s="136" t="str">
        <f t="shared" si="8"/>
        <v/>
      </c>
      <c r="B5265" s="136" t="str">
        <f t="shared" si="9"/>
        <v/>
      </c>
    </row>
    <row r="5266" spans="1:2">
      <c r="A5266" s="136" t="str">
        <f t="shared" si="8"/>
        <v/>
      </c>
      <c r="B5266" s="136" t="str">
        <f t="shared" si="9"/>
        <v/>
      </c>
    </row>
    <row r="5267" spans="1:2">
      <c r="A5267" s="136" t="str">
        <f t="shared" si="8"/>
        <v/>
      </c>
      <c r="B5267" s="136" t="str">
        <f t="shared" si="9"/>
        <v/>
      </c>
    </row>
    <row r="5268" spans="1:2">
      <c r="A5268" s="136" t="str">
        <f t="shared" si="8"/>
        <v/>
      </c>
      <c r="B5268" s="136" t="str">
        <f t="shared" si="9"/>
        <v/>
      </c>
    </row>
    <row r="5269" spans="1:2">
      <c r="A5269" s="136" t="str">
        <f t="shared" ref="A5269:A5332" si="10">HYPERLINK("http://tw.stock.yahoo.com/q/ta?s=","")</f>
        <v/>
      </c>
      <c r="B5269" s="136" t="str">
        <f t="shared" ref="B5269:B5332" si="11">HYPERLINK("http://tw.stock.yahoo.com/d/s/earning_.html","")</f>
        <v/>
      </c>
    </row>
    <row r="5270" spans="1:2">
      <c r="A5270" s="136" t="str">
        <f t="shared" si="10"/>
        <v/>
      </c>
      <c r="B5270" s="136" t="str">
        <f t="shared" si="11"/>
        <v/>
      </c>
    </row>
    <row r="5271" spans="1:2">
      <c r="A5271" s="136" t="str">
        <f t="shared" si="10"/>
        <v/>
      </c>
      <c r="B5271" s="136" t="str">
        <f t="shared" si="11"/>
        <v/>
      </c>
    </row>
    <row r="5272" spans="1:2">
      <c r="A5272" s="136" t="str">
        <f t="shared" si="10"/>
        <v/>
      </c>
      <c r="B5272" s="136" t="str">
        <f t="shared" si="11"/>
        <v/>
      </c>
    </row>
    <row r="5273" spans="1:2">
      <c r="A5273" s="136" t="str">
        <f t="shared" si="10"/>
        <v/>
      </c>
      <c r="B5273" s="136" t="str">
        <f t="shared" si="11"/>
        <v/>
      </c>
    </row>
    <row r="5274" spans="1:2">
      <c r="A5274" s="136" t="str">
        <f t="shared" si="10"/>
        <v/>
      </c>
      <c r="B5274" s="136" t="str">
        <f t="shared" si="11"/>
        <v/>
      </c>
    </row>
    <row r="5275" spans="1:2">
      <c r="A5275" s="136" t="str">
        <f t="shared" si="10"/>
        <v/>
      </c>
      <c r="B5275" s="136" t="str">
        <f t="shared" si="11"/>
        <v/>
      </c>
    </row>
    <row r="5276" spans="1:2">
      <c r="A5276" s="136" t="str">
        <f t="shared" si="10"/>
        <v/>
      </c>
      <c r="B5276" s="136" t="str">
        <f t="shared" si="11"/>
        <v/>
      </c>
    </row>
    <row r="5277" spans="1:2">
      <c r="A5277" s="136" t="str">
        <f t="shared" si="10"/>
        <v/>
      </c>
      <c r="B5277" s="136" t="str">
        <f t="shared" si="11"/>
        <v/>
      </c>
    </row>
    <row r="5278" spans="1:2">
      <c r="A5278" s="136" t="str">
        <f t="shared" si="10"/>
        <v/>
      </c>
      <c r="B5278" s="136" t="str">
        <f t="shared" si="11"/>
        <v/>
      </c>
    </row>
    <row r="5279" spans="1:2">
      <c r="A5279" s="136" t="str">
        <f t="shared" si="10"/>
        <v/>
      </c>
      <c r="B5279" s="136" t="str">
        <f t="shared" si="11"/>
        <v/>
      </c>
    </row>
    <row r="5280" spans="1:2">
      <c r="A5280" s="136" t="str">
        <f t="shared" si="10"/>
        <v/>
      </c>
      <c r="B5280" s="136" t="str">
        <f t="shared" si="11"/>
        <v/>
      </c>
    </row>
    <row r="5281" spans="1:2">
      <c r="A5281" s="136" t="str">
        <f t="shared" si="10"/>
        <v/>
      </c>
      <c r="B5281" s="136" t="str">
        <f t="shared" si="11"/>
        <v/>
      </c>
    </row>
    <row r="5282" spans="1:2">
      <c r="A5282" s="136" t="str">
        <f t="shared" si="10"/>
        <v/>
      </c>
      <c r="B5282" s="136" t="str">
        <f t="shared" si="11"/>
        <v/>
      </c>
    </row>
    <row r="5283" spans="1:2">
      <c r="A5283" s="136" t="str">
        <f t="shared" si="10"/>
        <v/>
      </c>
      <c r="B5283" s="136" t="str">
        <f t="shared" si="11"/>
        <v/>
      </c>
    </row>
    <row r="5284" spans="1:2">
      <c r="A5284" s="136" t="str">
        <f t="shared" si="10"/>
        <v/>
      </c>
      <c r="B5284" s="136" t="str">
        <f t="shared" si="11"/>
        <v/>
      </c>
    </row>
    <row r="5285" spans="1:2">
      <c r="A5285" s="136" t="str">
        <f t="shared" si="10"/>
        <v/>
      </c>
      <c r="B5285" s="136" t="str">
        <f t="shared" si="11"/>
        <v/>
      </c>
    </row>
    <row r="5286" spans="1:2">
      <c r="A5286" s="136" t="str">
        <f t="shared" si="10"/>
        <v/>
      </c>
      <c r="B5286" s="136" t="str">
        <f t="shared" si="11"/>
        <v/>
      </c>
    </row>
    <row r="5287" spans="1:2">
      <c r="A5287" s="136" t="str">
        <f t="shared" si="10"/>
        <v/>
      </c>
      <c r="B5287" s="136" t="str">
        <f t="shared" si="11"/>
        <v/>
      </c>
    </row>
    <row r="5288" spans="1:2">
      <c r="A5288" s="136" t="str">
        <f t="shared" si="10"/>
        <v/>
      </c>
      <c r="B5288" s="136" t="str">
        <f t="shared" si="11"/>
        <v/>
      </c>
    </row>
    <row r="5289" spans="1:2">
      <c r="A5289" s="136" t="str">
        <f t="shared" si="10"/>
        <v/>
      </c>
      <c r="B5289" s="136" t="str">
        <f t="shared" si="11"/>
        <v/>
      </c>
    </row>
    <row r="5290" spans="1:2">
      <c r="A5290" s="136" t="str">
        <f t="shared" si="10"/>
        <v/>
      </c>
      <c r="B5290" s="136" t="str">
        <f t="shared" si="11"/>
        <v/>
      </c>
    </row>
    <row r="5291" spans="1:2">
      <c r="A5291" s="136" t="str">
        <f t="shared" si="10"/>
        <v/>
      </c>
      <c r="B5291" s="136" t="str">
        <f t="shared" si="11"/>
        <v/>
      </c>
    </row>
    <row r="5292" spans="1:2">
      <c r="A5292" s="136" t="str">
        <f t="shared" si="10"/>
        <v/>
      </c>
      <c r="B5292" s="136" t="str">
        <f t="shared" si="11"/>
        <v/>
      </c>
    </row>
    <row r="5293" spans="1:2">
      <c r="A5293" s="136" t="str">
        <f t="shared" si="10"/>
        <v/>
      </c>
      <c r="B5293" s="136" t="str">
        <f t="shared" si="11"/>
        <v/>
      </c>
    </row>
    <row r="5294" spans="1:2">
      <c r="A5294" s="136" t="str">
        <f t="shared" si="10"/>
        <v/>
      </c>
      <c r="B5294" s="136" t="str">
        <f t="shared" si="11"/>
        <v/>
      </c>
    </row>
    <row r="5295" spans="1:2">
      <c r="A5295" s="136" t="str">
        <f t="shared" si="10"/>
        <v/>
      </c>
      <c r="B5295" s="136" t="str">
        <f t="shared" si="11"/>
        <v/>
      </c>
    </row>
    <row r="5296" spans="1:2">
      <c r="A5296" s="136" t="str">
        <f t="shared" si="10"/>
        <v/>
      </c>
      <c r="B5296" s="136" t="str">
        <f t="shared" si="11"/>
        <v/>
      </c>
    </row>
    <row r="5297" spans="1:2">
      <c r="A5297" s="136" t="str">
        <f t="shared" si="10"/>
        <v/>
      </c>
      <c r="B5297" s="136" t="str">
        <f t="shared" si="11"/>
        <v/>
      </c>
    </row>
    <row r="5298" spans="1:2">
      <c r="A5298" s="136" t="str">
        <f t="shared" si="10"/>
        <v/>
      </c>
      <c r="B5298" s="136" t="str">
        <f t="shared" si="11"/>
        <v/>
      </c>
    </row>
    <row r="5299" spans="1:2">
      <c r="A5299" s="136" t="str">
        <f t="shared" si="10"/>
        <v/>
      </c>
      <c r="B5299" s="136" t="str">
        <f t="shared" si="11"/>
        <v/>
      </c>
    </row>
    <row r="5300" spans="1:2">
      <c r="A5300" s="136" t="str">
        <f t="shared" si="10"/>
        <v/>
      </c>
      <c r="B5300" s="136" t="str">
        <f t="shared" si="11"/>
        <v/>
      </c>
    </row>
    <row r="5301" spans="1:2">
      <c r="A5301" s="136" t="str">
        <f t="shared" si="10"/>
        <v/>
      </c>
      <c r="B5301" s="136" t="str">
        <f t="shared" si="11"/>
        <v/>
      </c>
    </row>
    <row r="5302" spans="1:2">
      <c r="A5302" s="136" t="str">
        <f t="shared" si="10"/>
        <v/>
      </c>
      <c r="B5302" s="136" t="str">
        <f t="shared" si="11"/>
        <v/>
      </c>
    </row>
    <row r="5303" spans="1:2">
      <c r="A5303" s="136" t="str">
        <f t="shared" si="10"/>
        <v/>
      </c>
      <c r="B5303" s="136" t="str">
        <f t="shared" si="11"/>
        <v/>
      </c>
    </row>
    <row r="5304" spans="1:2">
      <c r="A5304" s="136" t="str">
        <f t="shared" si="10"/>
        <v/>
      </c>
      <c r="B5304" s="136" t="str">
        <f t="shared" si="11"/>
        <v/>
      </c>
    </row>
    <row r="5305" spans="1:2">
      <c r="A5305" s="136" t="str">
        <f t="shared" si="10"/>
        <v/>
      </c>
      <c r="B5305" s="136" t="str">
        <f t="shared" si="11"/>
        <v/>
      </c>
    </row>
    <row r="5306" spans="1:2">
      <c r="A5306" s="136" t="str">
        <f t="shared" si="10"/>
        <v/>
      </c>
      <c r="B5306" s="136" t="str">
        <f t="shared" si="11"/>
        <v/>
      </c>
    </row>
    <row r="5307" spans="1:2">
      <c r="A5307" s="136" t="str">
        <f t="shared" si="10"/>
        <v/>
      </c>
      <c r="B5307" s="136" t="str">
        <f t="shared" si="11"/>
        <v/>
      </c>
    </row>
    <row r="5308" spans="1:2">
      <c r="A5308" s="136" t="str">
        <f t="shared" si="10"/>
        <v/>
      </c>
      <c r="B5308" s="136" t="str">
        <f t="shared" si="11"/>
        <v/>
      </c>
    </row>
    <row r="5309" spans="1:2">
      <c r="A5309" s="136" t="str">
        <f t="shared" si="10"/>
        <v/>
      </c>
      <c r="B5309" s="136" t="str">
        <f t="shared" si="11"/>
        <v/>
      </c>
    </row>
    <row r="5310" spans="1:2">
      <c r="A5310" s="136" t="str">
        <f t="shared" si="10"/>
        <v/>
      </c>
      <c r="B5310" s="136" t="str">
        <f t="shared" si="11"/>
        <v/>
      </c>
    </row>
    <row r="5311" spans="1:2">
      <c r="A5311" s="136" t="str">
        <f t="shared" si="10"/>
        <v/>
      </c>
      <c r="B5311" s="136" t="str">
        <f t="shared" si="11"/>
        <v/>
      </c>
    </row>
    <row r="5312" spans="1:2">
      <c r="A5312" s="136" t="str">
        <f t="shared" si="10"/>
        <v/>
      </c>
      <c r="B5312" s="136" t="str">
        <f t="shared" si="11"/>
        <v/>
      </c>
    </row>
    <row r="5313" spans="1:2">
      <c r="A5313" s="136" t="str">
        <f t="shared" si="10"/>
        <v/>
      </c>
      <c r="B5313" s="136" t="str">
        <f t="shared" si="11"/>
        <v/>
      </c>
    </row>
    <row r="5314" spans="1:2">
      <c r="A5314" s="136" t="str">
        <f t="shared" si="10"/>
        <v/>
      </c>
      <c r="B5314" s="136" t="str">
        <f t="shared" si="11"/>
        <v/>
      </c>
    </row>
    <row r="5315" spans="1:2">
      <c r="A5315" s="136" t="str">
        <f t="shared" si="10"/>
        <v/>
      </c>
      <c r="B5315" s="136" t="str">
        <f t="shared" si="11"/>
        <v/>
      </c>
    </row>
    <row r="5316" spans="1:2">
      <c r="A5316" s="136" t="str">
        <f t="shared" si="10"/>
        <v/>
      </c>
      <c r="B5316" s="136" t="str">
        <f t="shared" si="11"/>
        <v/>
      </c>
    </row>
    <row r="5317" spans="1:2">
      <c r="A5317" s="136" t="str">
        <f t="shared" si="10"/>
        <v/>
      </c>
      <c r="B5317" s="136" t="str">
        <f t="shared" si="11"/>
        <v/>
      </c>
    </row>
    <row r="5318" spans="1:2">
      <c r="A5318" s="136" t="str">
        <f t="shared" si="10"/>
        <v/>
      </c>
      <c r="B5318" s="136" t="str">
        <f t="shared" si="11"/>
        <v/>
      </c>
    </row>
    <row r="5319" spans="1:2">
      <c r="A5319" s="136" t="str">
        <f t="shared" si="10"/>
        <v/>
      </c>
      <c r="B5319" s="136" t="str">
        <f t="shared" si="11"/>
        <v/>
      </c>
    </row>
    <row r="5320" spans="1:2">
      <c r="A5320" s="136" t="str">
        <f t="shared" si="10"/>
        <v/>
      </c>
      <c r="B5320" s="136" t="str">
        <f t="shared" si="11"/>
        <v/>
      </c>
    </row>
    <row r="5321" spans="1:2">
      <c r="A5321" s="136" t="str">
        <f t="shared" si="10"/>
        <v/>
      </c>
      <c r="B5321" s="136" t="str">
        <f t="shared" si="11"/>
        <v/>
      </c>
    </row>
    <row r="5322" spans="1:2">
      <c r="A5322" s="136" t="str">
        <f t="shared" si="10"/>
        <v/>
      </c>
      <c r="B5322" s="136" t="str">
        <f t="shared" si="11"/>
        <v/>
      </c>
    </row>
    <row r="5323" spans="1:2">
      <c r="A5323" s="136" t="str">
        <f t="shared" si="10"/>
        <v/>
      </c>
      <c r="B5323" s="136" t="str">
        <f t="shared" si="11"/>
        <v/>
      </c>
    </row>
    <row r="5324" spans="1:2">
      <c r="A5324" s="136" t="str">
        <f t="shared" si="10"/>
        <v/>
      </c>
      <c r="B5324" s="136" t="str">
        <f t="shared" si="11"/>
        <v/>
      </c>
    </row>
    <row r="5325" spans="1:2">
      <c r="A5325" s="136" t="str">
        <f t="shared" si="10"/>
        <v/>
      </c>
      <c r="B5325" s="136" t="str">
        <f t="shared" si="11"/>
        <v/>
      </c>
    </row>
    <row r="5326" spans="1:2">
      <c r="A5326" s="136" t="str">
        <f t="shared" si="10"/>
        <v/>
      </c>
      <c r="B5326" s="136" t="str">
        <f t="shared" si="11"/>
        <v/>
      </c>
    </row>
    <row r="5327" spans="1:2">
      <c r="A5327" s="136" t="str">
        <f t="shared" si="10"/>
        <v/>
      </c>
      <c r="B5327" s="136" t="str">
        <f t="shared" si="11"/>
        <v/>
      </c>
    </row>
    <row r="5328" spans="1:2">
      <c r="A5328" s="136" t="str">
        <f t="shared" si="10"/>
        <v/>
      </c>
      <c r="B5328" s="136" t="str">
        <f t="shared" si="11"/>
        <v/>
      </c>
    </row>
    <row r="5329" spans="1:2">
      <c r="A5329" s="136" t="str">
        <f t="shared" si="10"/>
        <v/>
      </c>
      <c r="B5329" s="136" t="str">
        <f t="shared" si="11"/>
        <v/>
      </c>
    </row>
    <row r="5330" spans="1:2">
      <c r="A5330" s="136" t="str">
        <f t="shared" si="10"/>
        <v/>
      </c>
      <c r="B5330" s="136" t="str">
        <f t="shared" si="11"/>
        <v/>
      </c>
    </row>
    <row r="5331" spans="1:2">
      <c r="A5331" s="136" t="str">
        <f t="shared" si="10"/>
        <v/>
      </c>
      <c r="B5331" s="136" t="str">
        <f t="shared" si="11"/>
        <v/>
      </c>
    </row>
    <row r="5332" spans="1:2">
      <c r="A5332" s="136" t="str">
        <f t="shared" si="10"/>
        <v/>
      </c>
      <c r="B5332" s="136" t="str">
        <f t="shared" si="11"/>
        <v/>
      </c>
    </row>
    <row r="5333" spans="1:2">
      <c r="A5333" s="136" t="str">
        <f t="shared" ref="A5333:A5396" si="12">HYPERLINK("http://tw.stock.yahoo.com/q/ta?s=","")</f>
        <v/>
      </c>
      <c r="B5333" s="136" t="str">
        <f t="shared" ref="B5333:B5396" si="13">HYPERLINK("http://tw.stock.yahoo.com/d/s/earning_.html","")</f>
        <v/>
      </c>
    </row>
    <row r="5334" spans="1:2">
      <c r="A5334" s="136" t="str">
        <f t="shared" si="12"/>
        <v/>
      </c>
      <c r="B5334" s="136" t="str">
        <f t="shared" si="13"/>
        <v/>
      </c>
    </row>
    <row r="5335" spans="1:2">
      <c r="A5335" s="136" t="str">
        <f t="shared" si="12"/>
        <v/>
      </c>
      <c r="B5335" s="136" t="str">
        <f t="shared" si="13"/>
        <v/>
      </c>
    </row>
    <row r="5336" spans="1:2">
      <c r="A5336" s="136" t="str">
        <f t="shared" si="12"/>
        <v/>
      </c>
      <c r="B5336" s="136" t="str">
        <f t="shared" si="13"/>
        <v/>
      </c>
    </row>
    <row r="5337" spans="1:2">
      <c r="A5337" s="136" t="str">
        <f t="shared" si="12"/>
        <v/>
      </c>
      <c r="B5337" s="136" t="str">
        <f t="shared" si="13"/>
        <v/>
      </c>
    </row>
    <row r="5338" spans="1:2">
      <c r="A5338" s="136" t="str">
        <f t="shared" si="12"/>
        <v/>
      </c>
      <c r="B5338" s="136" t="str">
        <f t="shared" si="13"/>
        <v/>
      </c>
    </row>
    <row r="5339" spans="1:2">
      <c r="A5339" s="136" t="str">
        <f t="shared" si="12"/>
        <v/>
      </c>
      <c r="B5339" s="136" t="str">
        <f t="shared" si="13"/>
        <v/>
      </c>
    </row>
    <row r="5340" spans="1:2">
      <c r="A5340" s="136" t="str">
        <f t="shared" si="12"/>
        <v/>
      </c>
      <c r="B5340" s="136" t="str">
        <f t="shared" si="13"/>
        <v/>
      </c>
    </row>
    <row r="5341" spans="1:2">
      <c r="A5341" s="136" t="str">
        <f t="shared" si="12"/>
        <v/>
      </c>
      <c r="B5341" s="136" t="str">
        <f t="shared" si="13"/>
        <v/>
      </c>
    </row>
    <row r="5342" spans="1:2">
      <c r="A5342" s="136" t="str">
        <f t="shared" si="12"/>
        <v/>
      </c>
      <c r="B5342" s="136" t="str">
        <f t="shared" si="13"/>
        <v/>
      </c>
    </row>
    <row r="5343" spans="1:2">
      <c r="A5343" s="136" t="str">
        <f t="shared" si="12"/>
        <v/>
      </c>
      <c r="B5343" s="136" t="str">
        <f t="shared" si="13"/>
        <v/>
      </c>
    </row>
    <row r="5344" spans="1:2">
      <c r="A5344" s="136" t="str">
        <f t="shared" si="12"/>
        <v/>
      </c>
      <c r="B5344" s="136" t="str">
        <f t="shared" si="13"/>
        <v/>
      </c>
    </row>
    <row r="5345" spans="1:2">
      <c r="A5345" s="136" t="str">
        <f t="shared" si="12"/>
        <v/>
      </c>
      <c r="B5345" s="136" t="str">
        <f t="shared" si="13"/>
        <v/>
      </c>
    </row>
    <row r="5346" spans="1:2">
      <c r="A5346" s="136" t="str">
        <f t="shared" si="12"/>
        <v/>
      </c>
      <c r="B5346" s="136" t="str">
        <f t="shared" si="13"/>
        <v/>
      </c>
    </row>
    <row r="5347" spans="1:2">
      <c r="A5347" s="136" t="str">
        <f t="shared" si="12"/>
        <v/>
      </c>
      <c r="B5347" s="136" t="str">
        <f t="shared" si="13"/>
        <v/>
      </c>
    </row>
    <row r="5348" spans="1:2">
      <c r="A5348" s="136" t="str">
        <f t="shared" si="12"/>
        <v/>
      </c>
      <c r="B5348" s="136" t="str">
        <f t="shared" si="13"/>
        <v/>
      </c>
    </row>
    <row r="5349" spans="1:2">
      <c r="A5349" s="136" t="str">
        <f t="shared" si="12"/>
        <v/>
      </c>
      <c r="B5349" s="136" t="str">
        <f t="shared" si="13"/>
        <v/>
      </c>
    </row>
    <row r="5350" spans="1:2">
      <c r="A5350" s="136" t="str">
        <f t="shared" si="12"/>
        <v/>
      </c>
      <c r="B5350" s="136" t="str">
        <f t="shared" si="13"/>
        <v/>
      </c>
    </row>
    <row r="5351" spans="1:2">
      <c r="A5351" s="136" t="str">
        <f t="shared" si="12"/>
        <v/>
      </c>
      <c r="B5351" s="136" t="str">
        <f t="shared" si="13"/>
        <v/>
      </c>
    </row>
    <row r="5352" spans="1:2">
      <c r="A5352" s="136" t="str">
        <f t="shared" si="12"/>
        <v/>
      </c>
      <c r="B5352" s="136" t="str">
        <f t="shared" si="13"/>
        <v/>
      </c>
    </row>
    <row r="5353" spans="1:2">
      <c r="A5353" s="136" t="str">
        <f t="shared" si="12"/>
        <v/>
      </c>
      <c r="B5353" s="136" t="str">
        <f t="shared" si="13"/>
        <v/>
      </c>
    </row>
    <row r="5354" spans="1:2">
      <c r="A5354" s="136" t="str">
        <f t="shared" si="12"/>
        <v/>
      </c>
      <c r="B5354" s="136" t="str">
        <f t="shared" si="13"/>
        <v/>
      </c>
    </row>
    <row r="5355" spans="1:2">
      <c r="A5355" s="136" t="str">
        <f t="shared" si="12"/>
        <v/>
      </c>
      <c r="B5355" s="136" t="str">
        <f t="shared" si="13"/>
        <v/>
      </c>
    </row>
    <row r="5356" spans="1:2">
      <c r="A5356" s="136" t="str">
        <f t="shared" si="12"/>
        <v/>
      </c>
      <c r="B5356" s="136" t="str">
        <f t="shared" si="13"/>
        <v/>
      </c>
    </row>
    <row r="5357" spans="1:2">
      <c r="A5357" s="136" t="str">
        <f t="shared" si="12"/>
        <v/>
      </c>
      <c r="B5357" s="136" t="str">
        <f t="shared" si="13"/>
        <v/>
      </c>
    </row>
    <row r="5358" spans="1:2">
      <c r="A5358" s="136" t="str">
        <f t="shared" si="12"/>
        <v/>
      </c>
      <c r="B5358" s="136" t="str">
        <f t="shared" si="13"/>
        <v/>
      </c>
    </row>
    <row r="5359" spans="1:2">
      <c r="A5359" s="136" t="str">
        <f t="shared" si="12"/>
        <v/>
      </c>
      <c r="B5359" s="136" t="str">
        <f t="shared" si="13"/>
        <v/>
      </c>
    </row>
    <row r="5360" spans="1:2">
      <c r="A5360" s="136" t="str">
        <f t="shared" si="12"/>
        <v/>
      </c>
      <c r="B5360" s="136" t="str">
        <f t="shared" si="13"/>
        <v/>
      </c>
    </row>
    <row r="5361" spans="1:2">
      <c r="A5361" s="136" t="str">
        <f t="shared" si="12"/>
        <v/>
      </c>
      <c r="B5361" s="136" t="str">
        <f t="shared" si="13"/>
        <v/>
      </c>
    </row>
    <row r="5362" spans="1:2">
      <c r="A5362" s="136" t="str">
        <f t="shared" si="12"/>
        <v/>
      </c>
      <c r="B5362" s="136" t="str">
        <f t="shared" si="13"/>
        <v/>
      </c>
    </row>
    <row r="5363" spans="1:2">
      <c r="A5363" s="136" t="str">
        <f t="shared" si="12"/>
        <v/>
      </c>
      <c r="B5363" s="136" t="str">
        <f t="shared" si="13"/>
        <v/>
      </c>
    </row>
    <row r="5364" spans="1:2">
      <c r="A5364" s="136" t="str">
        <f t="shared" si="12"/>
        <v/>
      </c>
      <c r="B5364" s="136" t="str">
        <f t="shared" si="13"/>
        <v/>
      </c>
    </row>
    <row r="5365" spans="1:2">
      <c r="A5365" s="136" t="str">
        <f t="shared" si="12"/>
        <v/>
      </c>
      <c r="B5365" s="136" t="str">
        <f t="shared" si="13"/>
        <v/>
      </c>
    </row>
    <row r="5366" spans="1:2">
      <c r="A5366" s="136" t="str">
        <f t="shared" si="12"/>
        <v/>
      </c>
      <c r="B5366" s="136" t="str">
        <f t="shared" si="13"/>
        <v/>
      </c>
    </row>
    <row r="5367" spans="1:2">
      <c r="A5367" s="136" t="str">
        <f t="shared" si="12"/>
        <v/>
      </c>
      <c r="B5367" s="136" t="str">
        <f t="shared" si="13"/>
        <v/>
      </c>
    </row>
    <row r="5368" spans="1:2">
      <c r="A5368" s="136" t="str">
        <f t="shared" si="12"/>
        <v/>
      </c>
      <c r="B5368" s="136" t="str">
        <f t="shared" si="13"/>
        <v/>
      </c>
    </row>
    <row r="5369" spans="1:2">
      <c r="A5369" s="136" t="str">
        <f t="shared" si="12"/>
        <v/>
      </c>
      <c r="B5369" s="136" t="str">
        <f t="shared" si="13"/>
        <v/>
      </c>
    </row>
    <row r="5370" spans="1:2">
      <c r="A5370" s="136" t="str">
        <f t="shared" si="12"/>
        <v/>
      </c>
      <c r="B5370" s="136" t="str">
        <f t="shared" si="13"/>
        <v/>
      </c>
    </row>
    <row r="5371" spans="1:2">
      <c r="A5371" s="136" t="str">
        <f t="shared" si="12"/>
        <v/>
      </c>
      <c r="B5371" s="136" t="str">
        <f t="shared" si="13"/>
        <v/>
      </c>
    </row>
    <row r="5372" spans="1:2">
      <c r="A5372" s="136" t="str">
        <f t="shared" si="12"/>
        <v/>
      </c>
      <c r="B5372" s="136" t="str">
        <f t="shared" si="13"/>
        <v/>
      </c>
    </row>
    <row r="5373" spans="1:2">
      <c r="A5373" s="136" t="str">
        <f t="shared" si="12"/>
        <v/>
      </c>
      <c r="B5373" s="136" t="str">
        <f t="shared" si="13"/>
        <v/>
      </c>
    </row>
    <row r="5374" spans="1:2">
      <c r="A5374" s="136" t="str">
        <f t="shared" si="12"/>
        <v/>
      </c>
      <c r="B5374" s="136" t="str">
        <f t="shared" si="13"/>
        <v/>
      </c>
    </row>
    <row r="5375" spans="1:2">
      <c r="A5375" s="136" t="str">
        <f t="shared" si="12"/>
        <v/>
      </c>
      <c r="B5375" s="136" t="str">
        <f t="shared" si="13"/>
        <v/>
      </c>
    </row>
    <row r="5376" spans="1:2">
      <c r="A5376" s="136" t="str">
        <f t="shared" si="12"/>
        <v/>
      </c>
      <c r="B5376" s="136" t="str">
        <f t="shared" si="13"/>
        <v/>
      </c>
    </row>
    <row r="5377" spans="1:2">
      <c r="A5377" s="136" t="str">
        <f t="shared" si="12"/>
        <v/>
      </c>
      <c r="B5377" s="136" t="str">
        <f t="shared" si="13"/>
        <v/>
      </c>
    </row>
    <row r="5378" spans="1:2">
      <c r="A5378" s="136" t="str">
        <f t="shared" si="12"/>
        <v/>
      </c>
      <c r="B5378" s="136" t="str">
        <f t="shared" si="13"/>
        <v/>
      </c>
    </row>
    <row r="5379" spans="1:2">
      <c r="A5379" s="136" t="str">
        <f t="shared" si="12"/>
        <v/>
      </c>
      <c r="B5379" s="136" t="str">
        <f t="shared" si="13"/>
        <v/>
      </c>
    </row>
    <row r="5380" spans="1:2">
      <c r="A5380" s="136" t="str">
        <f t="shared" si="12"/>
        <v/>
      </c>
      <c r="B5380" s="136" t="str">
        <f t="shared" si="13"/>
        <v/>
      </c>
    </row>
    <row r="5381" spans="1:2">
      <c r="A5381" s="136" t="str">
        <f t="shared" si="12"/>
        <v/>
      </c>
      <c r="B5381" s="136" t="str">
        <f t="shared" si="13"/>
        <v/>
      </c>
    </row>
    <row r="5382" spans="1:2">
      <c r="A5382" s="136" t="str">
        <f t="shared" si="12"/>
        <v/>
      </c>
      <c r="B5382" s="136" t="str">
        <f t="shared" si="13"/>
        <v/>
      </c>
    </row>
    <row r="5383" spans="1:2">
      <c r="A5383" s="136" t="str">
        <f t="shared" si="12"/>
        <v/>
      </c>
      <c r="B5383" s="136" t="str">
        <f t="shared" si="13"/>
        <v/>
      </c>
    </row>
    <row r="5384" spans="1:2">
      <c r="A5384" s="136" t="str">
        <f t="shared" si="12"/>
        <v/>
      </c>
      <c r="B5384" s="136" t="str">
        <f t="shared" si="13"/>
        <v/>
      </c>
    </row>
    <row r="5385" spans="1:2">
      <c r="A5385" s="136" t="str">
        <f t="shared" si="12"/>
        <v/>
      </c>
      <c r="B5385" s="136" t="str">
        <f t="shared" si="13"/>
        <v/>
      </c>
    </row>
    <row r="5386" spans="1:2">
      <c r="A5386" s="136" t="str">
        <f t="shared" si="12"/>
        <v/>
      </c>
      <c r="B5386" s="136" t="str">
        <f t="shared" si="13"/>
        <v/>
      </c>
    </row>
    <row r="5387" spans="1:2">
      <c r="A5387" s="136" t="str">
        <f t="shared" si="12"/>
        <v/>
      </c>
      <c r="B5387" s="136" t="str">
        <f t="shared" si="13"/>
        <v/>
      </c>
    </row>
    <row r="5388" spans="1:2">
      <c r="A5388" s="136" t="str">
        <f t="shared" si="12"/>
        <v/>
      </c>
      <c r="B5388" s="136" t="str">
        <f t="shared" si="13"/>
        <v/>
      </c>
    </row>
    <row r="5389" spans="1:2">
      <c r="A5389" s="136" t="str">
        <f t="shared" si="12"/>
        <v/>
      </c>
      <c r="B5389" s="136" t="str">
        <f t="shared" si="13"/>
        <v/>
      </c>
    </row>
    <row r="5390" spans="1:2">
      <c r="A5390" s="136" t="str">
        <f t="shared" si="12"/>
        <v/>
      </c>
      <c r="B5390" s="136" t="str">
        <f t="shared" si="13"/>
        <v/>
      </c>
    </row>
    <row r="5391" spans="1:2">
      <c r="A5391" s="136" t="str">
        <f t="shared" si="12"/>
        <v/>
      </c>
      <c r="B5391" s="136" t="str">
        <f t="shared" si="13"/>
        <v/>
      </c>
    </row>
    <row r="5392" spans="1:2">
      <c r="A5392" s="136" t="str">
        <f t="shared" si="12"/>
        <v/>
      </c>
      <c r="B5392" s="136" t="str">
        <f t="shared" si="13"/>
        <v/>
      </c>
    </row>
    <row r="5393" spans="1:2">
      <c r="A5393" s="136" t="str">
        <f t="shared" si="12"/>
        <v/>
      </c>
      <c r="B5393" s="136" t="str">
        <f t="shared" si="13"/>
        <v/>
      </c>
    </row>
    <row r="5394" spans="1:2">
      <c r="A5394" s="136" t="str">
        <f t="shared" si="12"/>
        <v/>
      </c>
      <c r="B5394" s="136" t="str">
        <f t="shared" si="13"/>
        <v/>
      </c>
    </row>
    <row r="5395" spans="1:2">
      <c r="A5395" s="136" t="str">
        <f t="shared" si="12"/>
        <v/>
      </c>
      <c r="B5395" s="136" t="str">
        <f t="shared" si="13"/>
        <v/>
      </c>
    </row>
    <row r="5396" spans="1:2">
      <c r="A5396" s="136" t="str">
        <f t="shared" si="12"/>
        <v/>
      </c>
      <c r="B5396" s="136" t="str">
        <f t="shared" si="13"/>
        <v/>
      </c>
    </row>
    <row r="5397" spans="1:2">
      <c r="A5397" s="136" t="str">
        <f t="shared" ref="A5397:A5460" si="14">HYPERLINK("http://tw.stock.yahoo.com/q/ta?s=","")</f>
        <v/>
      </c>
      <c r="B5397" s="136" t="str">
        <f t="shared" ref="B5397:B5460" si="15">HYPERLINK("http://tw.stock.yahoo.com/d/s/earning_.html","")</f>
        <v/>
      </c>
    </row>
    <row r="5398" spans="1:2">
      <c r="A5398" s="136" t="str">
        <f t="shared" si="14"/>
        <v/>
      </c>
      <c r="B5398" s="136" t="str">
        <f t="shared" si="15"/>
        <v/>
      </c>
    </row>
    <row r="5399" spans="1:2">
      <c r="A5399" s="136" t="str">
        <f t="shared" si="14"/>
        <v/>
      </c>
      <c r="B5399" s="136" t="str">
        <f t="shared" si="15"/>
        <v/>
      </c>
    </row>
    <row r="5400" spans="1:2">
      <c r="A5400" s="136" t="str">
        <f t="shared" si="14"/>
        <v/>
      </c>
      <c r="B5400" s="136" t="str">
        <f t="shared" si="15"/>
        <v/>
      </c>
    </row>
    <row r="5401" spans="1:2">
      <c r="A5401" s="136" t="str">
        <f t="shared" si="14"/>
        <v/>
      </c>
      <c r="B5401" s="136" t="str">
        <f t="shared" si="15"/>
        <v/>
      </c>
    </row>
    <row r="5402" spans="1:2">
      <c r="A5402" s="136" t="str">
        <f t="shared" si="14"/>
        <v/>
      </c>
      <c r="B5402" s="136" t="str">
        <f t="shared" si="15"/>
        <v/>
      </c>
    </row>
    <row r="5403" spans="1:2">
      <c r="A5403" s="136" t="str">
        <f t="shared" si="14"/>
        <v/>
      </c>
      <c r="B5403" s="136" t="str">
        <f t="shared" si="15"/>
        <v/>
      </c>
    </row>
    <row r="5404" spans="1:2">
      <c r="A5404" s="136" t="str">
        <f t="shared" si="14"/>
        <v/>
      </c>
      <c r="B5404" s="136" t="str">
        <f t="shared" si="15"/>
        <v/>
      </c>
    </row>
    <row r="5405" spans="1:2">
      <c r="A5405" s="136" t="str">
        <f t="shared" si="14"/>
        <v/>
      </c>
      <c r="B5405" s="136" t="str">
        <f t="shared" si="15"/>
        <v/>
      </c>
    </row>
    <row r="5406" spans="1:2">
      <c r="A5406" s="136" t="str">
        <f t="shared" si="14"/>
        <v/>
      </c>
      <c r="B5406" s="136" t="str">
        <f t="shared" si="15"/>
        <v/>
      </c>
    </row>
    <row r="5407" spans="1:2">
      <c r="A5407" s="136" t="str">
        <f t="shared" si="14"/>
        <v/>
      </c>
      <c r="B5407" s="136" t="str">
        <f t="shared" si="15"/>
        <v/>
      </c>
    </row>
    <row r="5408" spans="1:2">
      <c r="A5408" s="136" t="str">
        <f t="shared" si="14"/>
        <v/>
      </c>
      <c r="B5408" s="136" t="str">
        <f t="shared" si="15"/>
        <v/>
      </c>
    </row>
    <row r="5409" spans="1:2">
      <c r="A5409" s="136" t="str">
        <f t="shared" si="14"/>
        <v/>
      </c>
      <c r="B5409" s="136" t="str">
        <f t="shared" si="15"/>
        <v/>
      </c>
    </row>
    <row r="5410" spans="1:2">
      <c r="A5410" s="136" t="str">
        <f t="shared" si="14"/>
        <v/>
      </c>
      <c r="B5410" s="136" t="str">
        <f t="shared" si="15"/>
        <v/>
      </c>
    </row>
    <row r="5411" spans="1:2">
      <c r="A5411" s="136" t="str">
        <f t="shared" si="14"/>
        <v/>
      </c>
      <c r="B5411" s="136" t="str">
        <f t="shared" si="15"/>
        <v/>
      </c>
    </row>
    <row r="5412" spans="1:2">
      <c r="A5412" s="136" t="str">
        <f t="shared" si="14"/>
        <v/>
      </c>
      <c r="B5412" s="136" t="str">
        <f t="shared" si="15"/>
        <v/>
      </c>
    </row>
    <row r="5413" spans="1:2">
      <c r="A5413" s="136" t="str">
        <f t="shared" si="14"/>
        <v/>
      </c>
      <c r="B5413" s="136" t="str">
        <f t="shared" si="15"/>
        <v/>
      </c>
    </row>
    <row r="5414" spans="1:2">
      <c r="A5414" s="136" t="str">
        <f t="shared" si="14"/>
        <v/>
      </c>
      <c r="B5414" s="136" t="str">
        <f t="shared" si="15"/>
        <v/>
      </c>
    </row>
    <row r="5415" spans="1:2">
      <c r="A5415" s="136" t="str">
        <f t="shared" si="14"/>
        <v/>
      </c>
      <c r="B5415" s="136" t="str">
        <f t="shared" si="15"/>
        <v/>
      </c>
    </row>
    <row r="5416" spans="1:2">
      <c r="A5416" s="136" t="str">
        <f t="shared" si="14"/>
        <v/>
      </c>
      <c r="B5416" s="136" t="str">
        <f t="shared" si="15"/>
        <v/>
      </c>
    </row>
    <row r="5417" spans="1:2">
      <c r="A5417" s="136" t="str">
        <f t="shared" si="14"/>
        <v/>
      </c>
      <c r="B5417" s="136" t="str">
        <f t="shared" si="15"/>
        <v/>
      </c>
    </row>
    <row r="5418" spans="1:2">
      <c r="A5418" s="136" t="str">
        <f t="shared" si="14"/>
        <v/>
      </c>
      <c r="B5418" s="136" t="str">
        <f t="shared" si="15"/>
        <v/>
      </c>
    </row>
    <row r="5419" spans="1:2">
      <c r="A5419" s="136" t="str">
        <f t="shared" si="14"/>
        <v/>
      </c>
      <c r="B5419" s="136" t="str">
        <f t="shared" si="15"/>
        <v/>
      </c>
    </row>
    <row r="5420" spans="1:2">
      <c r="A5420" s="136" t="str">
        <f t="shared" si="14"/>
        <v/>
      </c>
      <c r="B5420" s="136" t="str">
        <f t="shared" si="15"/>
        <v/>
      </c>
    </row>
    <row r="5421" spans="1:2">
      <c r="A5421" s="136" t="str">
        <f t="shared" si="14"/>
        <v/>
      </c>
      <c r="B5421" s="136" t="str">
        <f t="shared" si="15"/>
        <v/>
      </c>
    </row>
    <row r="5422" spans="1:2">
      <c r="A5422" s="136" t="str">
        <f t="shared" si="14"/>
        <v/>
      </c>
      <c r="B5422" s="136" t="str">
        <f t="shared" si="15"/>
        <v/>
      </c>
    </row>
    <row r="5423" spans="1:2">
      <c r="A5423" s="136" t="str">
        <f t="shared" si="14"/>
        <v/>
      </c>
      <c r="B5423" s="136" t="str">
        <f t="shared" si="15"/>
        <v/>
      </c>
    </row>
    <row r="5424" spans="1:2">
      <c r="A5424" s="136" t="str">
        <f t="shared" si="14"/>
        <v/>
      </c>
      <c r="B5424" s="136" t="str">
        <f t="shared" si="15"/>
        <v/>
      </c>
    </row>
    <row r="5425" spans="1:2">
      <c r="A5425" s="136" t="str">
        <f t="shared" si="14"/>
        <v/>
      </c>
      <c r="B5425" s="136" t="str">
        <f t="shared" si="15"/>
        <v/>
      </c>
    </row>
    <row r="5426" spans="1:2">
      <c r="A5426" s="136" t="str">
        <f t="shared" si="14"/>
        <v/>
      </c>
      <c r="B5426" s="136" t="str">
        <f t="shared" si="15"/>
        <v/>
      </c>
    </row>
    <row r="5427" spans="1:2">
      <c r="A5427" s="136" t="str">
        <f t="shared" si="14"/>
        <v/>
      </c>
      <c r="B5427" s="136" t="str">
        <f t="shared" si="15"/>
        <v/>
      </c>
    </row>
    <row r="5428" spans="1:2">
      <c r="A5428" s="136" t="str">
        <f t="shared" si="14"/>
        <v/>
      </c>
      <c r="B5428" s="136" t="str">
        <f t="shared" si="15"/>
        <v/>
      </c>
    </row>
    <row r="5429" spans="1:2">
      <c r="A5429" s="136" t="str">
        <f t="shared" si="14"/>
        <v/>
      </c>
      <c r="B5429" s="136" t="str">
        <f t="shared" si="15"/>
        <v/>
      </c>
    </row>
    <row r="5430" spans="1:2">
      <c r="A5430" s="136" t="str">
        <f t="shared" si="14"/>
        <v/>
      </c>
      <c r="B5430" s="136" t="str">
        <f t="shared" si="15"/>
        <v/>
      </c>
    </row>
    <row r="5431" spans="1:2">
      <c r="A5431" s="136" t="str">
        <f t="shared" si="14"/>
        <v/>
      </c>
      <c r="B5431" s="136" t="str">
        <f t="shared" si="15"/>
        <v/>
      </c>
    </row>
    <row r="5432" spans="1:2">
      <c r="A5432" s="136" t="str">
        <f t="shared" si="14"/>
        <v/>
      </c>
      <c r="B5432" s="136" t="str">
        <f t="shared" si="15"/>
        <v/>
      </c>
    </row>
    <row r="5433" spans="1:2">
      <c r="A5433" s="136" t="str">
        <f t="shared" si="14"/>
        <v/>
      </c>
      <c r="B5433" s="136" t="str">
        <f t="shared" si="15"/>
        <v/>
      </c>
    </row>
    <row r="5434" spans="1:2">
      <c r="A5434" s="136" t="str">
        <f t="shared" si="14"/>
        <v/>
      </c>
      <c r="B5434" s="136" t="str">
        <f t="shared" si="15"/>
        <v/>
      </c>
    </row>
    <row r="5435" spans="1:2">
      <c r="A5435" s="136" t="str">
        <f t="shared" si="14"/>
        <v/>
      </c>
      <c r="B5435" s="136" t="str">
        <f t="shared" si="15"/>
        <v/>
      </c>
    </row>
    <row r="5436" spans="1:2">
      <c r="A5436" s="136" t="str">
        <f t="shared" si="14"/>
        <v/>
      </c>
      <c r="B5436" s="136" t="str">
        <f t="shared" si="15"/>
        <v/>
      </c>
    </row>
    <row r="5437" spans="1:2">
      <c r="A5437" s="136" t="str">
        <f t="shared" si="14"/>
        <v/>
      </c>
      <c r="B5437" s="136" t="str">
        <f t="shared" si="15"/>
        <v/>
      </c>
    </row>
    <row r="5438" spans="1:2">
      <c r="A5438" s="136" t="str">
        <f t="shared" si="14"/>
        <v/>
      </c>
      <c r="B5438" s="136" t="str">
        <f t="shared" si="15"/>
        <v/>
      </c>
    </row>
    <row r="5439" spans="1:2">
      <c r="A5439" s="136" t="str">
        <f t="shared" si="14"/>
        <v/>
      </c>
      <c r="B5439" s="136" t="str">
        <f t="shared" si="15"/>
        <v/>
      </c>
    </row>
    <row r="5440" spans="1:2">
      <c r="A5440" s="136" t="str">
        <f t="shared" si="14"/>
        <v/>
      </c>
      <c r="B5440" s="136" t="str">
        <f t="shared" si="15"/>
        <v/>
      </c>
    </row>
    <row r="5441" spans="1:2">
      <c r="A5441" s="136" t="str">
        <f t="shared" si="14"/>
        <v/>
      </c>
      <c r="B5441" s="136" t="str">
        <f t="shared" si="15"/>
        <v/>
      </c>
    </row>
    <row r="5442" spans="1:2">
      <c r="A5442" s="136" t="str">
        <f t="shared" si="14"/>
        <v/>
      </c>
      <c r="B5442" s="136" t="str">
        <f t="shared" si="15"/>
        <v/>
      </c>
    </row>
    <row r="5443" spans="1:2">
      <c r="A5443" s="136" t="str">
        <f t="shared" si="14"/>
        <v/>
      </c>
      <c r="B5443" s="136" t="str">
        <f t="shared" si="15"/>
        <v/>
      </c>
    </row>
    <row r="5444" spans="1:2">
      <c r="A5444" s="136" t="str">
        <f t="shared" si="14"/>
        <v/>
      </c>
      <c r="B5444" s="136" t="str">
        <f t="shared" si="15"/>
        <v/>
      </c>
    </row>
    <row r="5445" spans="1:2">
      <c r="A5445" s="136" t="str">
        <f t="shared" si="14"/>
        <v/>
      </c>
      <c r="B5445" s="136" t="str">
        <f t="shared" si="15"/>
        <v/>
      </c>
    </row>
    <row r="5446" spans="1:2">
      <c r="A5446" s="136" t="str">
        <f t="shared" si="14"/>
        <v/>
      </c>
      <c r="B5446" s="136" t="str">
        <f t="shared" si="15"/>
        <v/>
      </c>
    </row>
    <row r="5447" spans="1:2">
      <c r="A5447" s="136" t="str">
        <f t="shared" si="14"/>
        <v/>
      </c>
      <c r="B5447" s="136" t="str">
        <f t="shared" si="15"/>
        <v/>
      </c>
    </row>
    <row r="5448" spans="1:2">
      <c r="A5448" s="136" t="str">
        <f t="shared" si="14"/>
        <v/>
      </c>
      <c r="B5448" s="136" t="str">
        <f t="shared" si="15"/>
        <v/>
      </c>
    </row>
    <row r="5449" spans="1:2">
      <c r="A5449" s="136" t="str">
        <f t="shared" si="14"/>
        <v/>
      </c>
      <c r="B5449" s="136" t="str">
        <f t="shared" si="15"/>
        <v/>
      </c>
    </row>
    <row r="5450" spans="1:2">
      <c r="A5450" s="136" t="str">
        <f t="shared" si="14"/>
        <v/>
      </c>
      <c r="B5450" s="136" t="str">
        <f t="shared" si="15"/>
        <v/>
      </c>
    </row>
    <row r="5451" spans="1:2">
      <c r="A5451" s="136" t="str">
        <f t="shared" si="14"/>
        <v/>
      </c>
      <c r="B5451" s="136" t="str">
        <f t="shared" si="15"/>
        <v/>
      </c>
    </row>
    <row r="5452" spans="1:2">
      <c r="A5452" s="136" t="str">
        <f t="shared" si="14"/>
        <v/>
      </c>
      <c r="B5452" s="136" t="str">
        <f t="shared" si="15"/>
        <v/>
      </c>
    </row>
    <row r="5453" spans="1:2">
      <c r="A5453" s="136" t="str">
        <f t="shared" si="14"/>
        <v/>
      </c>
      <c r="B5453" s="136" t="str">
        <f t="shared" si="15"/>
        <v/>
      </c>
    </row>
    <row r="5454" spans="1:2">
      <c r="A5454" s="136" t="str">
        <f t="shared" si="14"/>
        <v/>
      </c>
      <c r="B5454" s="136" t="str">
        <f t="shared" si="15"/>
        <v/>
      </c>
    </row>
    <row r="5455" spans="1:2">
      <c r="A5455" s="136" t="str">
        <f t="shared" si="14"/>
        <v/>
      </c>
      <c r="B5455" s="136" t="str">
        <f t="shared" si="15"/>
        <v/>
      </c>
    </row>
    <row r="5456" spans="1:2">
      <c r="A5456" s="136" t="str">
        <f t="shared" si="14"/>
        <v/>
      </c>
      <c r="B5456" s="136" t="str">
        <f t="shared" si="15"/>
        <v/>
      </c>
    </row>
    <row r="5457" spans="1:2">
      <c r="A5457" s="136" t="str">
        <f t="shared" si="14"/>
        <v/>
      </c>
      <c r="B5457" s="136" t="str">
        <f t="shared" si="15"/>
        <v/>
      </c>
    </row>
    <row r="5458" spans="1:2">
      <c r="A5458" s="136" t="str">
        <f t="shared" si="14"/>
        <v/>
      </c>
      <c r="B5458" s="136" t="str">
        <f t="shared" si="15"/>
        <v/>
      </c>
    </row>
    <row r="5459" spans="1:2">
      <c r="A5459" s="136" t="str">
        <f t="shared" si="14"/>
        <v/>
      </c>
      <c r="B5459" s="136" t="str">
        <f t="shared" si="15"/>
        <v/>
      </c>
    </row>
    <row r="5460" spans="1:2">
      <c r="A5460" s="136" t="str">
        <f t="shared" si="14"/>
        <v/>
      </c>
      <c r="B5460" s="136" t="str">
        <f t="shared" si="15"/>
        <v/>
      </c>
    </row>
    <row r="5461" spans="1:2">
      <c r="A5461" s="136" t="str">
        <f t="shared" ref="A5461:A5524" si="16">HYPERLINK("http://tw.stock.yahoo.com/q/ta?s=","")</f>
        <v/>
      </c>
      <c r="B5461" s="136" t="str">
        <f t="shared" ref="B5461:B5524" si="17">HYPERLINK("http://tw.stock.yahoo.com/d/s/earning_.html","")</f>
        <v/>
      </c>
    </row>
    <row r="5462" spans="1:2">
      <c r="A5462" s="136" t="str">
        <f t="shared" si="16"/>
        <v/>
      </c>
      <c r="B5462" s="136" t="str">
        <f t="shared" si="17"/>
        <v/>
      </c>
    </row>
    <row r="5463" spans="1:2">
      <c r="A5463" s="136" t="str">
        <f t="shared" si="16"/>
        <v/>
      </c>
      <c r="B5463" s="136" t="str">
        <f t="shared" si="17"/>
        <v/>
      </c>
    </row>
    <row r="5464" spans="1:2">
      <c r="A5464" s="136" t="str">
        <f t="shared" si="16"/>
        <v/>
      </c>
      <c r="B5464" s="136" t="str">
        <f t="shared" si="17"/>
        <v/>
      </c>
    </row>
    <row r="5465" spans="1:2">
      <c r="A5465" s="136" t="str">
        <f t="shared" si="16"/>
        <v/>
      </c>
      <c r="B5465" s="136" t="str">
        <f t="shared" si="17"/>
        <v/>
      </c>
    </row>
    <row r="5466" spans="1:2">
      <c r="A5466" s="136" t="str">
        <f t="shared" si="16"/>
        <v/>
      </c>
      <c r="B5466" s="136" t="str">
        <f t="shared" si="17"/>
        <v/>
      </c>
    </row>
    <row r="5467" spans="1:2">
      <c r="A5467" s="136" t="str">
        <f t="shared" si="16"/>
        <v/>
      </c>
      <c r="B5467" s="136" t="str">
        <f t="shared" si="17"/>
        <v/>
      </c>
    </row>
    <row r="5468" spans="1:2">
      <c r="A5468" s="136" t="str">
        <f t="shared" si="16"/>
        <v/>
      </c>
      <c r="B5468" s="136" t="str">
        <f t="shared" si="17"/>
        <v/>
      </c>
    </row>
    <row r="5469" spans="1:2">
      <c r="A5469" s="136" t="str">
        <f t="shared" si="16"/>
        <v/>
      </c>
      <c r="B5469" s="136" t="str">
        <f t="shared" si="17"/>
        <v/>
      </c>
    </row>
    <row r="5470" spans="1:2">
      <c r="A5470" s="136" t="str">
        <f t="shared" si="16"/>
        <v/>
      </c>
      <c r="B5470" s="136" t="str">
        <f t="shared" si="17"/>
        <v/>
      </c>
    </row>
    <row r="5471" spans="1:2">
      <c r="A5471" s="136" t="str">
        <f t="shared" si="16"/>
        <v/>
      </c>
      <c r="B5471" s="136" t="str">
        <f t="shared" si="17"/>
        <v/>
      </c>
    </row>
    <row r="5472" spans="1:2">
      <c r="A5472" s="136" t="str">
        <f t="shared" si="16"/>
        <v/>
      </c>
      <c r="B5472" s="136" t="str">
        <f t="shared" si="17"/>
        <v/>
      </c>
    </row>
    <row r="5473" spans="1:2">
      <c r="A5473" s="136" t="str">
        <f t="shared" si="16"/>
        <v/>
      </c>
      <c r="B5473" s="136" t="str">
        <f t="shared" si="17"/>
        <v/>
      </c>
    </row>
    <row r="5474" spans="1:2">
      <c r="A5474" s="136" t="str">
        <f t="shared" si="16"/>
        <v/>
      </c>
      <c r="B5474" s="136" t="str">
        <f t="shared" si="17"/>
        <v/>
      </c>
    </row>
    <row r="5475" spans="1:2">
      <c r="A5475" s="136" t="str">
        <f t="shared" si="16"/>
        <v/>
      </c>
      <c r="B5475" s="136" t="str">
        <f t="shared" si="17"/>
        <v/>
      </c>
    </row>
    <row r="5476" spans="1:2">
      <c r="A5476" s="136" t="str">
        <f t="shared" si="16"/>
        <v/>
      </c>
      <c r="B5476" s="136" t="str">
        <f t="shared" si="17"/>
        <v/>
      </c>
    </row>
    <row r="5477" spans="1:2">
      <c r="A5477" s="136" t="str">
        <f t="shared" si="16"/>
        <v/>
      </c>
      <c r="B5477" s="136" t="str">
        <f t="shared" si="17"/>
        <v/>
      </c>
    </row>
    <row r="5478" spans="1:2">
      <c r="A5478" s="136" t="str">
        <f t="shared" si="16"/>
        <v/>
      </c>
      <c r="B5478" s="136" t="str">
        <f t="shared" si="17"/>
        <v/>
      </c>
    </row>
    <row r="5479" spans="1:2">
      <c r="A5479" s="136" t="str">
        <f t="shared" si="16"/>
        <v/>
      </c>
      <c r="B5479" s="136" t="str">
        <f t="shared" si="17"/>
        <v/>
      </c>
    </row>
    <row r="5480" spans="1:2">
      <c r="A5480" s="136" t="str">
        <f t="shared" si="16"/>
        <v/>
      </c>
      <c r="B5480" s="136" t="str">
        <f t="shared" si="17"/>
        <v/>
      </c>
    </row>
    <row r="5481" spans="1:2">
      <c r="A5481" s="136" t="str">
        <f t="shared" si="16"/>
        <v/>
      </c>
      <c r="B5481" s="136" t="str">
        <f t="shared" si="17"/>
        <v/>
      </c>
    </row>
    <row r="5482" spans="1:2">
      <c r="A5482" s="136" t="str">
        <f t="shared" si="16"/>
        <v/>
      </c>
      <c r="B5482" s="136" t="str">
        <f t="shared" si="17"/>
        <v/>
      </c>
    </row>
    <row r="5483" spans="1:2">
      <c r="A5483" s="136" t="str">
        <f t="shared" si="16"/>
        <v/>
      </c>
      <c r="B5483" s="136" t="str">
        <f t="shared" si="17"/>
        <v/>
      </c>
    </row>
    <row r="5484" spans="1:2">
      <c r="A5484" s="136" t="str">
        <f t="shared" si="16"/>
        <v/>
      </c>
      <c r="B5484" s="136" t="str">
        <f t="shared" si="17"/>
        <v/>
      </c>
    </row>
    <row r="5485" spans="1:2">
      <c r="A5485" s="136" t="str">
        <f t="shared" si="16"/>
        <v/>
      </c>
      <c r="B5485" s="136" t="str">
        <f t="shared" si="17"/>
        <v/>
      </c>
    </row>
    <row r="5486" spans="1:2">
      <c r="A5486" s="136" t="str">
        <f t="shared" si="16"/>
        <v/>
      </c>
      <c r="B5486" s="136" t="str">
        <f t="shared" si="17"/>
        <v/>
      </c>
    </row>
    <row r="5487" spans="1:2">
      <c r="A5487" s="136" t="str">
        <f t="shared" si="16"/>
        <v/>
      </c>
      <c r="B5487" s="136" t="str">
        <f t="shared" si="17"/>
        <v/>
      </c>
    </row>
    <row r="5488" spans="1:2">
      <c r="A5488" s="136" t="str">
        <f t="shared" si="16"/>
        <v/>
      </c>
      <c r="B5488" s="136" t="str">
        <f t="shared" si="17"/>
        <v/>
      </c>
    </row>
    <row r="5489" spans="1:2">
      <c r="A5489" s="136" t="str">
        <f t="shared" si="16"/>
        <v/>
      </c>
      <c r="B5489" s="136" t="str">
        <f t="shared" si="17"/>
        <v/>
      </c>
    </row>
    <row r="5490" spans="1:2">
      <c r="A5490" s="136" t="str">
        <f t="shared" si="16"/>
        <v/>
      </c>
      <c r="B5490" s="136" t="str">
        <f t="shared" si="17"/>
        <v/>
      </c>
    </row>
    <row r="5491" spans="1:2">
      <c r="A5491" s="136" t="str">
        <f t="shared" si="16"/>
        <v/>
      </c>
      <c r="B5491" s="136" t="str">
        <f t="shared" si="17"/>
        <v/>
      </c>
    </row>
    <row r="5492" spans="1:2">
      <c r="A5492" s="136" t="str">
        <f t="shared" si="16"/>
        <v/>
      </c>
      <c r="B5492" s="136" t="str">
        <f t="shared" si="17"/>
        <v/>
      </c>
    </row>
    <row r="5493" spans="1:2">
      <c r="A5493" s="136" t="str">
        <f t="shared" si="16"/>
        <v/>
      </c>
      <c r="B5493" s="136" t="str">
        <f t="shared" si="17"/>
        <v/>
      </c>
    </row>
    <row r="5494" spans="1:2">
      <c r="A5494" s="136" t="str">
        <f t="shared" si="16"/>
        <v/>
      </c>
      <c r="B5494" s="136" t="str">
        <f t="shared" si="17"/>
        <v/>
      </c>
    </row>
    <row r="5495" spans="1:2">
      <c r="A5495" s="136" t="str">
        <f t="shared" si="16"/>
        <v/>
      </c>
      <c r="B5495" s="136" t="str">
        <f t="shared" si="17"/>
        <v/>
      </c>
    </row>
    <row r="5496" spans="1:2">
      <c r="A5496" s="136" t="str">
        <f t="shared" si="16"/>
        <v/>
      </c>
      <c r="B5496" s="136" t="str">
        <f t="shared" si="17"/>
        <v/>
      </c>
    </row>
    <row r="5497" spans="1:2">
      <c r="A5497" s="136" t="str">
        <f t="shared" si="16"/>
        <v/>
      </c>
      <c r="B5497" s="136" t="str">
        <f t="shared" si="17"/>
        <v/>
      </c>
    </row>
    <row r="5498" spans="1:2">
      <c r="A5498" s="136" t="str">
        <f t="shared" si="16"/>
        <v/>
      </c>
      <c r="B5498" s="136" t="str">
        <f t="shared" si="17"/>
        <v/>
      </c>
    </row>
    <row r="5499" spans="1:2">
      <c r="A5499" s="136" t="str">
        <f t="shared" si="16"/>
        <v/>
      </c>
      <c r="B5499" s="136" t="str">
        <f t="shared" si="17"/>
        <v/>
      </c>
    </row>
    <row r="5500" spans="1:2">
      <c r="A5500" s="136" t="str">
        <f t="shared" si="16"/>
        <v/>
      </c>
      <c r="B5500" s="136" t="str">
        <f t="shared" si="17"/>
        <v/>
      </c>
    </row>
    <row r="5501" spans="1:2">
      <c r="A5501" s="136" t="str">
        <f t="shared" si="16"/>
        <v/>
      </c>
      <c r="B5501" s="136" t="str">
        <f t="shared" si="17"/>
        <v/>
      </c>
    </row>
    <row r="5502" spans="1:2">
      <c r="A5502" s="136" t="str">
        <f t="shared" si="16"/>
        <v/>
      </c>
      <c r="B5502" s="136" t="str">
        <f t="shared" si="17"/>
        <v/>
      </c>
    </row>
    <row r="5503" spans="1:2">
      <c r="A5503" s="136" t="str">
        <f t="shared" si="16"/>
        <v/>
      </c>
      <c r="B5503" s="136" t="str">
        <f t="shared" si="17"/>
        <v/>
      </c>
    </row>
    <row r="5504" spans="1:2">
      <c r="A5504" s="136" t="str">
        <f t="shared" si="16"/>
        <v/>
      </c>
      <c r="B5504" s="136" t="str">
        <f t="shared" si="17"/>
        <v/>
      </c>
    </row>
    <row r="5505" spans="1:2">
      <c r="A5505" s="136" t="str">
        <f t="shared" si="16"/>
        <v/>
      </c>
      <c r="B5505" s="136" t="str">
        <f t="shared" si="17"/>
        <v/>
      </c>
    </row>
    <row r="5506" spans="1:2">
      <c r="A5506" s="136" t="str">
        <f t="shared" si="16"/>
        <v/>
      </c>
      <c r="B5506" s="136" t="str">
        <f t="shared" si="17"/>
        <v/>
      </c>
    </row>
    <row r="5507" spans="1:2">
      <c r="A5507" s="136" t="str">
        <f t="shared" si="16"/>
        <v/>
      </c>
      <c r="B5507" s="136" t="str">
        <f t="shared" si="17"/>
        <v/>
      </c>
    </row>
    <row r="5508" spans="1:2">
      <c r="A5508" s="136" t="str">
        <f t="shared" si="16"/>
        <v/>
      </c>
      <c r="B5508" s="136" t="str">
        <f t="shared" si="17"/>
        <v/>
      </c>
    </row>
    <row r="5509" spans="1:2">
      <c r="A5509" s="136" t="str">
        <f t="shared" si="16"/>
        <v/>
      </c>
      <c r="B5509" s="136" t="str">
        <f t="shared" si="17"/>
        <v/>
      </c>
    </row>
    <row r="5510" spans="1:2">
      <c r="A5510" s="136" t="str">
        <f t="shared" si="16"/>
        <v/>
      </c>
      <c r="B5510" s="136" t="str">
        <f t="shared" si="17"/>
        <v/>
      </c>
    </row>
    <row r="5511" spans="1:2">
      <c r="A5511" s="136" t="str">
        <f t="shared" si="16"/>
        <v/>
      </c>
      <c r="B5511" s="136" t="str">
        <f t="shared" si="17"/>
        <v/>
      </c>
    </row>
    <row r="5512" spans="1:2">
      <c r="A5512" s="136" t="str">
        <f t="shared" si="16"/>
        <v/>
      </c>
      <c r="B5512" s="136" t="str">
        <f t="shared" si="17"/>
        <v/>
      </c>
    </row>
    <row r="5513" spans="1:2">
      <c r="A5513" s="136" t="str">
        <f t="shared" si="16"/>
        <v/>
      </c>
      <c r="B5513" s="136" t="str">
        <f t="shared" si="17"/>
        <v/>
      </c>
    </row>
    <row r="5514" spans="1:2">
      <c r="A5514" s="136" t="str">
        <f t="shared" si="16"/>
        <v/>
      </c>
      <c r="B5514" s="136" t="str">
        <f t="shared" si="17"/>
        <v/>
      </c>
    </row>
    <row r="5515" spans="1:2">
      <c r="A5515" s="136" t="str">
        <f t="shared" si="16"/>
        <v/>
      </c>
      <c r="B5515" s="136" t="str">
        <f t="shared" si="17"/>
        <v/>
      </c>
    </row>
    <row r="5516" spans="1:2">
      <c r="A5516" s="136" t="str">
        <f t="shared" si="16"/>
        <v/>
      </c>
      <c r="B5516" s="136" t="str">
        <f t="shared" si="17"/>
        <v/>
      </c>
    </row>
    <row r="5517" spans="1:2">
      <c r="A5517" s="136" t="str">
        <f t="shared" si="16"/>
        <v/>
      </c>
      <c r="B5517" s="136" t="str">
        <f t="shared" si="17"/>
        <v/>
      </c>
    </row>
    <row r="5518" spans="1:2">
      <c r="A5518" s="136" t="str">
        <f t="shared" si="16"/>
        <v/>
      </c>
      <c r="B5518" s="136" t="str">
        <f t="shared" si="17"/>
        <v/>
      </c>
    </row>
    <row r="5519" spans="1:2">
      <c r="A5519" s="136" t="str">
        <f t="shared" si="16"/>
        <v/>
      </c>
      <c r="B5519" s="136" t="str">
        <f t="shared" si="17"/>
        <v/>
      </c>
    </row>
    <row r="5520" spans="1:2">
      <c r="A5520" s="136" t="str">
        <f t="shared" si="16"/>
        <v/>
      </c>
      <c r="B5520" s="136" t="str">
        <f t="shared" si="17"/>
        <v/>
      </c>
    </row>
    <row r="5521" spans="1:2">
      <c r="A5521" s="136" t="str">
        <f t="shared" si="16"/>
        <v/>
      </c>
      <c r="B5521" s="136" t="str">
        <f t="shared" si="17"/>
        <v/>
      </c>
    </row>
    <row r="5522" spans="1:2">
      <c r="A5522" s="136" t="str">
        <f t="shared" si="16"/>
        <v/>
      </c>
      <c r="B5522" s="136" t="str">
        <f t="shared" si="17"/>
        <v/>
      </c>
    </row>
    <row r="5523" spans="1:2">
      <c r="A5523" s="136" t="str">
        <f t="shared" si="16"/>
        <v/>
      </c>
      <c r="B5523" s="136" t="str">
        <f t="shared" si="17"/>
        <v/>
      </c>
    </row>
    <row r="5524" spans="1:2">
      <c r="A5524" s="136" t="str">
        <f t="shared" si="16"/>
        <v/>
      </c>
      <c r="B5524" s="136" t="str">
        <f t="shared" si="17"/>
        <v/>
      </c>
    </row>
    <row r="5525" spans="1:2">
      <c r="A5525" s="136" t="str">
        <f t="shared" ref="A5525:A5588" si="18">HYPERLINK("http://tw.stock.yahoo.com/q/ta?s=","")</f>
        <v/>
      </c>
      <c r="B5525" s="136" t="str">
        <f t="shared" ref="B5525:B5588" si="19">HYPERLINK("http://tw.stock.yahoo.com/d/s/earning_.html","")</f>
        <v/>
      </c>
    </row>
    <row r="5526" spans="1:2">
      <c r="A5526" s="136" t="str">
        <f t="shared" si="18"/>
        <v/>
      </c>
      <c r="B5526" s="136" t="str">
        <f t="shared" si="19"/>
        <v/>
      </c>
    </row>
    <row r="5527" spans="1:2">
      <c r="A5527" s="136" t="str">
        <f t="shared" si="18"/>
        <v/>
      </c>
      <c r="B5527" s="136" t="str">
        <f t="shared" si="19"/>
        <v/>
      </c>
    </row>
    <row r="5528" spans="1:2">
      <c r="A5528" s="136" t="str">
        <f t="shared" si="18"/>
        <v/>
      </c>
      <c r="B5528" s="136" t="str">
        <f t="shared" si="19"/>
        <v/>
      </c>
    </row>
    <row r="5529" spans="1:2">
      <c r="A5529" s="136" t="str">
        <f t="shared" si="18"/>
        <v/>
      </c>
      <c r="B5529" s="136" t="str">
        <f t="shared" si="19"/>
        <v/>
      </c>
    </row>
    <row r="5530" spans="1:2">
      <c r="A5530" s="136" t="str">
        <f t="shared" si="18"/>
        <v/>
      </c>
      <c r="B5530" s="136" t="str">
        <f t="shared" si="19"/>
        <v/>
      </c>
    </row>
    <row r="5531" spans="1:2">
      <c r="A5531" s="136" t="str">
        <f t="shared" si="18"/>
        <v/>
      </c>
      <c r="B5531" s="136" t="str">
        <f t="shared" si="19"/>
        <v/>
      </c>
    </row>
    <row r="5532" spans="1:2">
      <c r="A5532" s="136" t="str">
        <f t="shared" si="18"/>
        <v/>
      </c>
      <c r="B5532" s="136" t="str">
        <f t="shared" si="19"/>
        <v/>
      </c>
    </row>
    <row r="5533" spans="1:2">
      <c r="A5533" s="136" t="str">
        <f t="shared" si="18"/>
        <v/>
      </c>
      <c r="B5533" s="136" t="str">
        <f t="shared" si="19"/>
        <v/>
      </c>
    </row>
    <row r="5534" spans="1:2">
      <c r="A5534" s="136" t="str">
        <f t="shared" si="18"/>
        <v/>
      </c>
      <c r="B5534" s="136" t="str">
        <f t="shared" si="19"/>
        <v/>
      </c>
    </row>
    <row r="5535" spans="1:2">
      <c r="A5535" s="136" t="str">
        <f t="shared" si="18"/>
        <v/>
      </c>
      <c r="B5535" s="136" t="str">
        <f t="shared" si="19"/>
        <v/>
      </c>
    </row>
    <row r="5536" spans="1:2">
      <c r="A5536" s="136" t="str">
        <f t="shared" si="18"/>
        <v/>
      </c>
      <c r="B5536" s="136" t="str">
        <f t="shared" si="19"/>
        <v/>
      </c>
    </row>
    <row r="5537" spans="1:2">
      <c r="A5537" s="136" t="str">
        <f t="shared" si="18"/>
        <v/>
      </c>
      <c r="B5537" s="136" t="str">
        <f t="shared" si="19"/>
        <v/>
      </c>
    </row>
    <row r="5538" spans="1:2">
      <c r="A5538" s="136" t="str">
        <f t="shared" si="18"/>
        <v/>
      </c>
      <c r="B5538" s="136" t="str">
        <f t="shared" si="19"/>
        <v/>
      </c>
    </row>
    <row r="5539" spans="1:2">
      <c r="A5539" s="136" t="str">
        <f t="shared" si="18"/>
        <v/>
      </c>
      <c r="B5539" s="136" t="str">
        <f t="shared" si="19"/>
        <v/>
      </c>
    </row>
    <row r="5540" spans="1:2">
      <c r="A5540" s="136" t="str">
        <f t="shared" si="18"/>
        <v/>
      </c>
      <c r="B5540" s="136" t="str">
        <f t="shared" si="19"/>
        <v/>
      </c>
    </row>
    <row r="5541" spans="1:2">
      <c r="A5541" s="136" t="str">
        <f t="shared" si="18"/>
        <v/>
      </c>
      <c r="B5541" s="136" t="str">
        <f t="shared" si="19"/>
        <v/>
      </c>
    </row>
    <row r="5542" spans="1:2">
      <c r="A5542" s="136" t="str">
        <f t="shared" si="18"/>
        <v/>
      </c>
      <c r="B5542" s="136" t="str">
        <f t="shared" si="19"/>
        <v/>
      </c>
    </row>
    <row r="5543" spans="1:2">
      <c r="A5543" s="136" t="str">
        <f t="shared" si="18"/>
        <v/>
      </c>
      <c r="B5543" s="136" t="str">
        <f t="shared" si="19"/>
        <v/>
      </c>
    </row>
    <row r="5544" spans="1:2">
      <c r="A5544" s="136" t="str">
        <f t="shared" si="18"/>
        <v/>
      </c>
      <c r="B5544" s="136" t="str">
        <f t="shared" si="19"/>
        <v/>
      </c>
    </row>
    <row r="5545" spans="1:2">
      <c r="A5545" s="136" t="str">
        <f t="shared" si="18"/>
        <v/>
      </c>
      <c r="B5545" s="136" t="str">
        <f t="shared" si="19"/>
        <v/>
      </c>
    </row>
    <row r="5546" spans="1:2">
      <c r="A5546" s="136" t="str">
        <f t="shared" si="18"/>
        <v/>
      </c>
      <c r="B5546" s="136" t="str">
        <f t="shared" si="19"/>
        <v/>
      </c>
    </row>
    <row r="5547" spans="1:2">
      <c r="A5547" s="136" t="str">
        <f t="shared" si="18"/>
        <v/>
      </c>
      <c r="B5547" s="136" t="str">
        <f t="shared" si="19"/>
        <v/>
      </c>
    </row>
    <row r="5548" spans="1:2">
      <c r="A5548" s="136" t="str">
        <f t="shared" si="18"/>
        <v/>
      </c>
      <c r="B5548" s="136" t="str">
        <f t="shared" si="19"/>
        <v/>
      </c>
    </row>
    <row r="5549" spans="1:2">
      <c r="A5549" s="136" t="str">
        <f t="shared" si="18"/>
        <v/>
      </c>
      <c r="B5549" s="136" t="str">
        <f t="shared" si="19"/>
        <v/>
      </c>
    </row>
    <row r="5550" spans="1:2">
      <c r="A5550" s="136" t="str">
        <f t="shared" si="18"/>
        <v/>
      </c>
      <c r="B5550" s="136" t="str">
        <f t="shared" si="19"/>
        <v/>
      </c>
    </row>
    <row r="5551" spans="1:2">
      <c r="A5551" s="136" t="str">
        <f t="shared" si="18"/>
        <v/>
      </c>
      <c r="B5551" s="136" t="str">
        <f t="shared" si="19"/>
        <v/>
      </c>
    </row>
    <row r="5552" spans="1:2">
      <c r="A5552" s="136" t="str">
        <f t="shared" si="18"/>
        <v/>
      </c>
      <c r="B5552" s="136" t="str">
        <f t="shared" si="19"/>
        <v/>
      </c>
    </row>
    <row r="5553" spans="1:2">
      <c r="A5553" s="136" t="str">
        <f t="shared" si="18"/>
        <v/>
      </c>
      <c r="B5553" s="136" t="str">
        <f t="shared" si="19"/>
        <v/>
      </c>
    </row>
    <row r="5554" spans="1:2">
      <c r="A5554" s="136" t="str">
        <f t="shared" si="18"/>
        <v/>
      </c>
      <c r="B5554" s="136" t="str">
        <f t="shared" si="19"/>
        <v/>
      </c>
    </row>
    <row r="5555" spans="1:2">
      <c r="A5555" s="136" t="str">
        <f t="shared" si="18"/>
        <v/>
      </c>
      <c r="B5555" s="136" t="str">
        <f t="shared" si="19"/>
        <v/>
      </c>
    </row>
    <row r="5556" spans="1:2">
      <c r="A5556" s="136" t="str">
        <f t="shared" si="18"/>
        <v/>
      </c>
      <c r="B5556" s="136" t="str">
        <f t="shared" si="19"/>
        <v/>
      </c>
    </row>
    <row r="5557" spans="1:2">
      <c r="A5557" s="136" t="str">
        <f t="shared" si="18"/>
        <v/>
      </c>
      <c r="B5557" s="136" t="str">
        <f t="shared" si="19"/>
        <v/>
      </c>
    </row>
    <row r="5558" spans="1:2">
      <c r="A5558" s="136" t="str">
        <f t="shared" si="18"/>
        <v/>
      </c>
      <c r="B5558" s="136" t="str">
        <f t="shared" si="19"/>
        <v/>
      </c>
    </row>
    <row r="5559" spans="1:2">
      <c r="A5559" s="136" t="str">
        <f t="shared" si="18"/>
        <v/>
      </c>
      <c r="B5559" s="136" t="str">
        <f t="shared" si="19"/>
        <v/>
      </c>
    </row>
    <row r="5560" spans="1:2">
      <c r="A5560" s="136" t="str">
        <f t="shared" si="18"/>
        <v/>
      </c>
      <c r="B5560" s="136" t="str">
        <f t="shared" si="19"/>
        <v/>
      </c>
    </row>
    <row r="5561" spans="1:2">
      <c r="A5561" s="136" t="str">
        <f t="shared" si="18"/>
        <v/>
      </c>
      <c r="B5561" s="136" t="str">
        <f t="shared" si="19"/>
        <v/>
      </c>
    </row>
    <row r="5562" spans="1:2">
      <c r="A5562" s="136" t="str">
        <f t="shared" si="18"/>
        <v/>
      </c>
      <c r="B5562" s="136" t="str">
        <f t="shared" si="19"/>
        <v/>
      </c>
    </row>
    <row r="5563" spans="1:2">
      <c r="A5563" s="136" t="str">
        <f t="shared" si="18"/>
        <v/>
      </c>
      <c r="B5563" s="136" t="str">
        <f t="shared" si="19"/>
        <v/>
      </c>
    </row>
    <row r="5564" spans="1:2">
      <c r="A5564" s="136" t="str">
        <f t="shared" si="18"/>
        <v/>
      </c>
      <c r="B5564" s="136" t="str">
        <f t="shared" si="19"/>
        <v/>
      </c>
    </row>
    <row r="5565" spans="1:2">
      <c r="A5565" s="136" t="str">
        <f t="shared" si="18"/>
        <v/>
      </c>
      <c r="B5565" s="136" t="str">
        <f t="shared" si="19"/>
        <v/>
      </c>
    </row>
    <row r="5566" spans="1:2">
      <c r="A5566" s="136" t="str">
        <f t="shared" si="18"/>
        <v/>
      </c>
      <c r="B5566" s="136" t="str">
        <f t="shared" si="19"/>
        <v/>
      </c>
    </row>
    <row r="5567" spans="1:2">
      <c r="A5567" s="136" t="str">
        <f t="shared" si="18"/>
        <v/>
      </c>
      <c r="B5567" s="136" t="str">
        <f t="shared" si="19"/>
        <v/>
      </c>
    </row>
    <row r="5568" spans="1:2">
      <c r="A5568" s="136" t="str">
        <f t="shared" si="18"/>
        <v/>
      </c>
      <c r="B5568" s="136" t="str">
        <f t="shared" si="19"/>
        <v/>
      </c>
    </row>
    <row r="5569" spans="1:2">
      <c r="A5569" s="136" t="str">
        <f t="shared" si="18"/>
        <v/>
      </c>
      <c r="B5569" s="136" t="str">
        <f t="shared" si="19"/>
        <v/>
      </c>
    </row>
    <row r="5570" spans="1:2">
      <c r="A5570" s="136" t="str">
        <f t="shared" si="18"/>
        <v/>
      </c>
      <c r="B5570" s="136" t="str">
        <f t="shared" si="19"/>
        <v/>
      </c>
    </row>
    <row r="5571" spans="1:2">
      <c r="A5571" s="136" t="str">
        <f t="shared" si="18"/>
        <v/>
      </c>
      <c r="B5571" s="136" t="str">
        <f t="shared" si="19"/>
        <v/>
      </c>
    </row>
    <row r="5572" spans="1:2">
      <c r="A5572" s="136" t="str">
        <f t="shared" si="18"/>
        <v/>
      </c>
      <c r="B5572" s="136" t="str">
        <f t="shared" si="19"/>
        <v/>
      </c>
    </row>
    <row r="5573" spans="1:2">
      <c r="A5573" s="136" t="str">
        <f t="shared" si="18"/>
        <v/>
      </c>
      <c r="B5573" s="136" t="str">
        <f t="shared" si="19"/>
        <v/>
      </c>
    </row>
    <row r="5574" spans="1:2">
      <c r="A5574" s="136" t="str">
        <f t="shared" si="18"/>
        <v/>
      </c>
      <c r="B5574" s="136" t="str">
        <f t="shared" si="19"/>
        <v/>
      </c>
    </row>
    <row r="5575" spans="1:2">
      <c r="A5575" s="136" t="str">
        <f t="shared" si="18"/>
        <v/>
      </c>
      <c r="B5575" s="136" t="str">
        <f t="shared" si="19"/>
        <v/>
      </c>
    </row>
    <row r="5576" spans="1:2">
      <c r="A5576" s="136" t="str">
        <f t="shared" si="18"/>
        <v/>
      </c>
      <c r="B5576" s="136" t="str">
        <f t="shared" si="19"/>
        <v/>
      </c>
    </row>
    <row r="5577" spans="1:2">
      <c r="A5577" s="136" t="str">
        <f t="shared" si="18"/>
        <v/>
      </c>
      <c r="B5577" s="136" t="str">
        <f t="shared" si="19"/>
        <v/>
      </c>
    </row>
    <row r="5578" spans="1:2">
      <c r="A5578" s="136" t="str">
        <f t="shared" si="18"/>
        <v/>
      </c>
      <c r="B5578" s="136" t="str">
        <f t="shared" si="19"/>
        <v/>
      </c>
    </row>
    <row r="5579" spans="1:2">
      <c r="A5579" s="136" t="str">
        <f t="shared" si="18"/>
        <v/>
      </c>
      <c r="B5579" s="136" t="str">
        <f t="shared" si="19"/>
        <v/>
      </c>
    </row>
    <row r="5580" spans="1:2">
      <c r="A5580" s="136" t="str">
        <f t="shared" si="18"/>
        <v/>
      </c>
      <c r="B5580" s="136" t="str">
        <f t="shared" si="19"/>
        <v/>
      </c>
    </row>
    <row r="5581" spans="1:2">
      <c r="A5581" s="136" t="str">
        <f t="shared" si="18"/>
        <v/>
      </c>
      <c r="B5581" s="136" t="str">
        <f t="shared" si="19"/>
        <v/>
      </c>
    </row>
    <row r="5582" spans="1:2">
      <c r="A5582" s="136" t="str">
        <f t="shared" si="18"/>
        <v/>
      </c>
      <c r="B5582" s="136" t="str">
        <f t="shared" si="19"/>
        <v/>
      </c>
    </row>
    <row r="5583" spans="1:2">
      <c r="A5583" s="136" t="str">
        <f t="shared" si="18"/>
        <v/>
      </c>
      <c r="B5583" s="136" t="str">
        <f t="shared" si="19"/>
        <v/>
      </c>
    </row>
    <row r="5584" spans="1:2">
      <c r="A5584" s="136" t="str">
        <f t="shared" si="18"/>
        <v/>
      </c>
      <c r="B5584" s="136" t="str">
        <f t="shared" si="19"/>
        <v/>
      </c>
    </row>
    <row r="5585" spans="1:2">
      <c r="A5585" s="136" t="str">
        <f t="shared" si="18"/>
        <v/>
      </c>
      <c r="B5585" s="136" t="str">
        <f t="shared" si="19"/>
        <v/>
      </c>
    </row>
    <row r="5586" spans="1:2">
      <c r="A5586" s="136" t="str">
        <f t="shared" si="18"/>
        <v/>
      </c>
      <c r="B5586" s="136" t="str">
        <f t="shared" si="19"/>
        <v/>
      </c>
    </row>
    <row r="5587" spans="1:2">
      <c r="A5587" s="136" t="str">
        <f t="shared" si="18"/>
        <v/>
      </c>
      <c r="B5587" s="136" t="str">
        <f t="shared" si="19"/>
        <v/>
      </c>
    </row>
    <row r="5588" spans="1:2">
      <c r="A5588" s="136" t="str">
        <f t="shared" si="18"/>
        <v/>
      </c>
      <c r="B5588" s="136" t="str">
        <f t="shared" si="19"/>
        <v/>
      </c>
    </row>
    <row r="5589" spans="1:2">
      <c r="A5589" s="136" t="str">
        <f t="shared" ref="A5589:A5652" si="20">HYPERLINK("http://tw.stock.yahoo.com/q/ta?s=","")</f>
        <v/>
      </c>
      <c r="B5589" s="136" t="str">
        <f t="shared" ref="B5589:B5652" si="21">HYPERLINK("http://tw.stock.yahoo.com/d/s/earning_.html","")</f>
        <v/>
      </c>
    </row>
    <row r="5590" spans="1:2">
      <c r="A5590" s="136" t="str">
        <f t="shared" si="20"/>
        <v/>
      </c>
      <c r="B5590" s="136" t="str">
        <f t="shared" si="21"/>
        <v/>
      </c>
    </row>
    <row r="5591" spans="1:2">
      <c r="A5591" s="136" t="str">
        <f t="shared" si="20"/>
        <v/>
      </c>
      <c r="B5591" s="136" t="str">
        <f t="shared" si="21"/>
        <v/>
      </c>
    </row>
    <row r="5592" spans="1:2">
      <c r="A5592" s="136" t="str">
        <f t="shared" si="20"/>
        <v/>
      </c>
      <c r="B5592" s="136" t="str">
        <f t="shared" si="21"/>
        <v/>
      </c>
    </row>
    <row r="5593" spans="1:2">
      <c r="A5593" s="136" t="str">
        <f t="shared" si="20"/>
        <v/>
      </c>
      <c r="B5593" s="136" t="str">
        <f t="shared" si="21"/>
        <v/>
      </c>
    </row>
    <row r="5594" spans="1:2">
      <c r="A5594" s="136" t="str">
        <f t="shared" si="20"/>
        <v/>
      </c>
      <c r="B5594" s="136" t="str">
        <f t="shared" si="21"/>
        <v/>
      </c>
    </row>
    <row r="5595" spans="1:2">
      <c r="A5595" s="136" t="str">
        <f t="shared" si="20"/>
        <v/>
      </c>
      <c r="B5595" s="136" t="str">
        <f t="shared" si="21"/>
        <v/>
      </c>
    </row>
    <row r="5596" spans="1:2">
      <c r="A5596" s="136" t="str">
        <f t="shared" si="20"/>
        <v/>
      </c>
      <c r="B5596" s="136" t="str">
        <f t="shared" si="21"/>
        <v/>
      </c>
    </row>
    <row r="5597" spans="1:2">
      <c r="A5597" s="136" t="str">
        <f t="shared" si="20"/>
        <v/>
      </c>
      <c r="B5597" s="136" t="str">
        <f t="shared" si="21"/>
        <v/>
      </c>
    </row>
    <row r="5598" spans="1:2">
      <c r="A5598" s="136" t="str">
        <f t="shared" si="20"/>
        <v/>
      </c>
      <c r="B5598" s="136" t="str">
        <f t="shared" si="21"/>
        <v/>
      </c>
    </row>
    <row r="5599" spans="1:2">
      <c r="A5599" s="136" t="str">
        <f t="shared" si="20"/>
        <v/>
      </c>
      <c r="B5599" s="136" t="str">
        <f t="shared" si="21"/>
        <v/>
      </c>
    </row>
    <row r="5600" spans="1:2">
      <c r="A5600" s="136" t="str">
        <f t="shared" si="20"/>
        <v/>
      </c>
      <c r="B5600" s="136" t="str">
        <f t="shared" si="21"/>
        <v/>
      </c>
    </row>
    <row r="5601" spans="1:2">
      <c r="A5601" s="136" t="str">
        <f t="shared" si="20"/>
        <v/>
      </c>
      <c r="B5601" s="136" t="str">
        <f t="shared" si="21"/>
        <v/>
      </c>
    </row>
    <row r="5602" spans="1:2">
      <c r="A5602" s="136" t="str">
        <f t="shared" si="20"/>
        <v/>
      </c>
      <c r="B5602" s="136" t="str">
        <f t="shared" si="21"/>
        <v/>
      </c>
    </row>
    <row r="5603" spans="1:2">
      <c r="A5603" s="136" t="str">
        <f t="shared" si="20"/>
        <v/>
      </c>
      <c r="B5603" s="136" t="str">
        <f t="shared" si="21"/>
        <v/>
      </c>
    </row>
    <row r="5604" spans="1:2">
      <c r="A5604" s="136" t="str">
        <f t="shared" si="20"/>
        <v/>
      </c>
      <c r="B5604" s="136" t="str">
        <f t="shared" si="21"/>
        <v/>
      </c>
    </row>
    <row r="5605" spans="1:2">
      <c r="A5605" s="136" t="str">
        <f t="shared" si="20"/>
        <v/>
      </c>
      <c r="B5605" s="136" t="str">
        <f t="shared" si="21"/>
        <v/>
      </c>
    </row>
    <row r="5606" spans="1:2">
      <c r="A5606" s="136" t="str">
        <f t="shared" si="20"/>
        <v/>
      </c>
      <c r="B5606" s="136" t="str">
        <f t="shared" si="21"/>
        <v/>
      </c>
    </row>
    <row r="5607" spans="1:2">
      <c r="A5607" s="136" t="str">
        <f t="shared" si="20"/>
        <v/>
      </c>
      <c r="B5607" s="136" t="str">
        <f t="shared" si="21"/>
        <v/>
      </c>
    </row>
    <row r="5608" spans="1:2">
      <c r="A5608" s="136" t="str">
        <f t="shared" si="20"/>
        <v/>
      </c>
      <c r="B5608" s="136" t="str">
        <f t="shared" si="21"/>
        <v/>
      </c>
    </row>
    <row r="5609" spans="1:2">
      <c r="A5609" s="136" t="str">
        <f t="shared" si="20"/>
        <v/>
      </c>
      <c r="B5609" s="136" t="str">
        <f t="shared" si="21"/>
        <v/>
      </c>
    </row>
    <row r="5610" spans="1:2">
      <c r="A5610" s="136" t="str">
        <f t="shared" si="20"/>
        <v/>
      </c>
      <c r="B5610" s="136" t="str">
        <f t="shared" si="21"/>
        <v/>
      </c>
    </row>
    <row r="5611" spans="1:2">
      <c r="A5611" s="136" t="str">
        <f t="shared" si="20"/>
        <v/>
      </c>
      <c r="B5611" s="136" t="str">
        <f t="shared" si="21"/>
        <v/>
      </c>
    </row>
    <row r="5612" spans="1:2">
      <c r="A5612" s="136" t="str">
        <f t="shared" si="20"/>
        <v/>
      </c>
      <c r="B5612" s="136" t="str">
        <f t="shared" si="21"/>
        <v/>
      </c>
    </row>
    <row r="5613" spans="1:2">
      <c r="A5613" s="136" t="str">
        <f t="shared" si="20"/>
        <v/>
      </c>
      <c r="B5613" s="136" t="str">
        <f t="shared" si="21"/>
        <v/>
      </c>
    </row>
    <row r="5614" spans="1:2">
      <c r="A5614" s="136" t="str">
        <f t="shared" si="20"/>
        <v/>
      </c>
      <c r="B5614" s="136" t="str">
        <f t="shared" si="21"/>
        <v/>
      </c>
    </row>
    <row r="5615" spans="1:2">
      <c r="A5615" s="136" t="str">
        <f t="shared" si="20"/>
        <v/>
      </c>
      <c r="B5615" s="136" t="str">
        <f t="shared" si="21"/>
        <v/>
      </c>
    </row>
    <row r="5616" spans="1:2">
      <c r="A5616" s="136" t="str">
        <f t="shared" si="20"/>
        <v/>
      </c>
      <c r="B5616" s="136" t="str">
        <f t="shared" si="21"/>
        <v/>
      </c>
    </row>
    <row r="5617" spans="1:2">
      <c r="A5617" s="136" t="str">
        <f t="shared" si="20"/>
        <v/>
      </c>
      <c r="B5617" s="136" t="str">
        <f t="shared" si="21"/>
        <v/>
      </c>
    </row>
    <row r="5618" spans="1:2">
      <c r="A5618" s="136" t="str">
        <f t="shared" si="20"/>
        <v/>
      </c>
      <c r="B5618" s="136" t="str">
        <f t="shared" si="21"/>
        <v/>
      </c>
    </row>
    <row r="5619" spans="1:2">
      <c r="A5619" s="136" t="str">
        <f t="shared" si="20"/>
        <v/>
      </c>
      <c r="B5619" s="136" t="str">
        <f t="shared" si="21"/>
        <v/>
      </c>
    </row>
    <row r="5620" spans="1:2">
      <c r="A5620" s="136" t="str">
        <f t="shared" si="20"/>
        <v/>
      </c>
      <c r="B5620" s="136" t="str">
        <f t="shared" si="21"/>
        <v/>
      </c>
    </row>
    <row r="5621" spans="1:2">
      <c r="A5621" s="136" t="str">
        <f t="shared" si="20"/>
        <v/>
      </c>
      <c r="B5621" s="136" t="str">
        <f t="shared" si="21"/>
        <v/>
      </c>
    </row>
    <row r="5622" spans="1:2">
      <c r="A5622" s="136" t="str">
        <f t="shared" si="20"/>
        <v/>
      </c>
      <c r="B5622" s="136" t="str">
        <f t="shared" si="21"/>
        <v/>
      </c>
    </row>
    <row r="5623" spans="1:2">
      <c r="A5623" s="136" t="str">
        <f t="shared" si="20"/>
        <v/>
      </c>
      <c r="B5623" s="136" t="str">
        <f t="shared" si="21"/>
        <v/>
      </c>
    </row>
    <row r="5624" spans="1:2">
      <c r="A5624" s="136" t="str">
        <f t="shared" si="20"/>
        <v/>
      </c>
      <c r="B5624" s="136" t="str">
        <f t="shared" si="21"/>
        <v/>
      </c>
    </row>
    <row r="5625" spans="1:2">
      <c r="A5625" s="136" t="str">
        <f t="shared" si="20"/>
        <v/>
      </c>
      <c r="B5625" s="136" t="str">
        <f t="shared" si="21"/>
        <v/>
      </c>
    </row>
    <row r="5626" spans="1:2">
      <c r="A5626" s="136" t="str">
        <f t="shared" si="20"/>
        <v/>
      </c>
      <c r="B5626" s="136" t="str">
        <f t="shared" si="21"/>
        <v/>
      </c>
    </row>
    <row r="5627" spans="1:2">
      <c r="A5627" s="136" t="str">
        <f t="shared" si="20"/>
        <v/>
      </c>
      <c r="B5627" s="136" t="str">
        <f t="shared" si="21"/>
        <v/>
      </c>
    </row>
    <row r="5628" spans="1:2">
      <c r="A5628" s="136" t="str">
        <f t="shared" si="20"/>
        <v/>
      </c>
      <c r="B5628" s="136" t="str">
        <f t="shared" si="21"/>
        <v/>
      </c>
    </row>
    <row r="5629" spans="1:2">
      <c r="A5629" s="136" t="str">
        <f t="shared" si="20"/>
        <v/>
      </c>
      <c r="B5629" s="136" t="str">
        <f t="shared" si="21"/>
        <v/>
      </c>
    </row>
    <row r="5630" spans="1:2">
      <c r="A5630" s="136" t="str">
        <f t="shared" si="20"/>
        <v/>
      </c>
      <c r="B5630" s="136" t="str">
        <f t="shared" si="21"/>
        <v/>
      </c>
    </row>
    <row r="5631" spans="1:2">
      <c r="A5631" s="136" t="str">
        <f t="shared" si="20"/>
        <v/>
      </c>
      <c r="B5631" s="136" t="str">
        <f t="shared" si="21"/>
        <v/>
      </c>
    </row>
    <row r="5632" spans="1:2">
      <c r="A5632" s="136" t="str">
        <f t="shared" si="20"/>
        <v/>
      </c>
      <c r="B5632" s="136" t="str">
        <f t="shared" si="21"/>
        <v/>
      </c>
    </row>
    <row r="5633" spans="1:2">
      <c r="A5633" s="136" t="str">
        <f t="shared" si="20"/>
        <v/>
      </c>
      <c r="B5633" s="136" t="str">
        <f t="shared" si="21"/>
        <v/>
      </c>
    </row>
    <row r="5634" spans="1:2">
      <c r="A5634" s="136" t="str">
        <f t="shared" si="20"/>
        <v/>
      </c>
      <c r="B5634" s="136" t="str">
        <f t="shared" si="21"/>
        <v/>
      </c>
    </row>
    <row r="5635" spans="1:2">
      <c r="A5635" s="136" t="str">
        <f t="shared" si="20"/>
        <v/>
      </c>
      <c r="B5635" s="136" t="str">
        <f t="shared" si="21"/>
        <v/>
      </c>
    </row>
    <row r="5636" spans="1:2">
      <c r="A5636" s="136" t="str">
        <f t="shared" si="20"/>
        <v/>
      </c>
      <c r="B5636" s="136" t="str">
        <f t="shared" si="21"/>
        <v/>
      </c>
    </row>
    <row r="5637" spans="1:2">
      <c r="A5637" s="136" t="str">
        <f t="shared" si="20"/>
        <v/>
      </c>
      <c r="B5637" s="136" t="str">
        <f t="shared" si="21"/>
        <v/>
      </c>
    </row>
    <row r="5638" spans="1:2">
      <c r="A5638" s="136" t="str">
        <f t="shared" si="20"/>
        <v/>
      </c>
      <c r="B5638" s="136" t="str">
        <f t="shared" si="21"/>
        <v/>
      </c>
    </row>
    <row r="5639" spans="1:2">
      <c r="A5639" s="136" t="str">
        <f t="shared" si="20"/>
        <v/>
      </c>
      <c r="B5639" s="136" t="str">
        <f t="shared" si="21"/>
        <v/>
      </c>
    </row>
    <row r="5640" spans="1:2">
      <c r="A5640" s="136" t="str">
        <f t="shared" si="20"/>
        <v/>
      </c>
      <c r="B5640" s="136" t="str">
        <f t="shared" si="21"/>
        <v/>
      </c>
    </row>
    <row r="5641" spans="1:2">
      <c r="A5641" s="136" t="str">
        <f t="shared" si="20"/>
        <v/>
      </c>
      <c r="B5641" s="136" t="str">
        <f t="shared" si="21"/>
        <v/>
      </c>
    </row>
    <row r="5642" spans="1:2">
      <c r="A5642" s="136" t="str">
        <f t="shared" si="20"/>
        <v/>
      </c>
      <c r="B5642" s="136" t="str">
        <f t="shared" si="21"/>
        <v/>
      </c>
    </row>
    <row r="5643" spans="1:2">
      <c r="A5643" s="136" t="str">
        <f t="shared" si="20"/>
        <v/>
      </c>
      <c r="B5643" s="136" t="str">
        <f t="shared" si="21"/>
        <v/>
      </c>
    </row>
    <row r="5644" spans="1:2">
      <c r="A5644" s="136" t="str">
        <f t="shared" si="20"/>
        <v/>
      </c>
      <c r="B5644" s="136" t="str">
        <f t="shared" si="21"/>
        <v/>
      </c>
    </row>
    <row r="5645" spans="1:2">
      <c r="A5645" s="136" t="str">
        <f t="shared" si="20"/>
        <v/>
      </c>
      <c r="B5645" s="136" t="str">
        <f t="shared" si="21"/>
        <v/>
      </c>
    </row>
    <row r="5646" spans="1:2">
      <c r="A5646" s="136" t="str">
        <f t="shared" si="20"/>
        <v/>
      </c>
      <c r="B5646" s="136" t="str">
        <f t="shared" si="21"/>
        <v/>
      </c>
    </row>
    <row r="5647" spans="1:2">
      <c r="A5647" s="136" t="str">
        <f t="shared" si="20"/>
        <v/>
      </c>
      <c r="B5647" s="136" t="str">
        <f t="shared" si="21"/>
        <v/>
      </c>
    </row>
    <row r="5648" spans="1:2">
      <c r="A5648" s="136" t="str">
        <f t="shared" si="20"/>
        <v/>
      </c>
      <c r="B5648" s="136" t="str">
        <f t="shared" si="21"/>
        <v/>
      </c>
    </row>
    <row r="5649" spans="1:2">
      <c r="A5649" s="136" t="str">
        <f t="shared" si="20"/>
        <v/>
      </c>
      <c r="B5649" s="136" t="str">
        <f t="shared" si="21"/>
        <v/>
      </c>
    </row>
    <row r="5650" spans="1:2">
      <c r="A5650" s="136" t="str">
        <f t="shared" si="20"/>
        <v/>
      </c>
      <c r="B5650" s="136" t="str">
        <f t="shared" si="21"/>
        <v/>
      </c>
    </row>
    <row r="5651" spans="1:2">
      <c r="A5651" s="136" t="str">
        <f t="shared" si="20"/>
        <v/>
      </c>
      <c r="B5651" s="136" t="str">
        <f t="shared" si="21"/>
        <v/>
      </c>
    </row>
    <row r="5652" spans="1:2">
      <c r="A5652" s="136" t="str">
        <f t="shared" si="20"/>
        <v/>
      </c>
      <c r="B5652" s="136" t="str">
        <f t="shared" si="21"/>
        <v/>
      </c>
    </row>
    <row r="5653" spans="1:2">
      <c r="A5653" s="136" t="str">
        <f t="shared" ref="A5653:A5716" si="22">HYPERLINK("http://tw.stock.yahoo.com/q/ta?s=","")</f>
        <v/>
      </c>
      <c r="B5653" s="136" t="str">
        <f t="shared" ref="B5653:B5716" si="23">HYPERLINK("http://tw.stock.yahoo.com/d/s/earning_.html","")</f>
        <v/>
      </c>
    </row>
    <row r="5654" spans="1:2">
      <c r="A5654" s="136" t="str">
        <f t="shared" si="22"/>
        <v/>
      </c>
      <c r="B5654" s="136" t="str">
        <f t="shared" si="23"/>
        <v/>
      </c>
    </row>
    <row r="5655" spans="1:2">
      <c r="A5655" s="136" t="str">
        <f t="shared" si="22"/>
        <v/>
      </c>
      <c r="B5655" s="136" t="str">
        <f t="shared" si="23"/>
        <v/>
      </c>
    </row>
    <row r="5656" spans="1:2">
      <c r="A5656" s="136" t="str">
        <f t="shared" si="22"/>
        <v/>
      </c>
      <c r="B5656" s="136" t="str">
        <f t="shared" si="23"/>
        <v/>
      </c>
    </row>
    <row r="5657" spans="1:2">
      <c r="A5657" s="136" t="str">
        <f t="shared" si="22"/>
        <v/>
      </c>
      <c r="B5657" s="136" t="str">
        <f t="shared" si="23"/>
        <v/>
      </c>
    </row>
    <row r="5658" spans="1:2">
      <c r="A5658" s="136" t="str">
        <f t="shared" si="22"/>
        <v/>
      </c>
      <c r="B5658" s="136" t="str">
        <f t="shared" si="23"/>
        <v/>
      </c>
    </row>
    <row r="5659" spans="1:2">
      <c r="A5659" s="136" t="str">
        <f t="shared" si="22"/>
        <v/>
      </c>
      <c r="B5659" s="136" t="str">
        <f t="shared" si="23"/>
        <v/>
      </c>
    </row>
    <row r="5660" spans="1:2">
      <c r="A5660" s="136" t="str">
        <f t="shared" si="22"/>
        <v/>
      </c>
      <c r="B5660" s="136" t="str">
        <f t="shared" si="23"/>
        <v/>
      </c>
    </row>
    <row r="5661" spans="1:2">
      <c r="A5661" s="136" t="str">
        <f t="shared" si="22"/>
        <v/>
      </c>
      <c r="B5661" s="136" t="str">
        <f t="shared" si="23"/>
        <v/>
      </c>
    </row>
    <row r="5662" spans="1:2">
      <c r="A5662" s="136" t="str">
        <f t="shared" si="22"/>
        <v/>
      </c>
      <c r="B5662" s="136" t="str">
        <f t="shared" si="23"/>
        <v/>
      </c>
    </row>
    <row r="5663" spans="1:2">
      <c r="A5663" s="136" t="str">
        <f t="shared" si="22"/>
        <v/>
      </c>
      <c r="B5663" s="136" t="str">
        <f t="shared" si="23"/>
        <v/>
      </c>
    </row>
    <row r="5664" spans="1:2">
      <c r="A5664" s="136" t="str">
        <f t="shared" si="22"/>
        <v/>
      </c>
      <c r="B5664" s="136" t="str">
        <f t="shared" si="23"/>
        <v/>
      </c>
    </row>
    <row r="5665" spans="1:2">
      <c r="A5665" s="136" t="str">
        <f t="shared" si="22"/>
        <v/>
      </c>
      <c r="B5665" s="136" t="str">
        <f t="shared" si="23"/>
        <v/>
      </c>
    </row>
    <row r="5666" spans="1:2">
      <c r="A5666" s="136" t="str">
        <f t="shared" si="22"/>
        <v/>
      </c>
      <c r="B5666" s="136" t="str">
        <f t="shared" si="23"/>
        <v/>
      </c>
    </row>
    <row r="5667" spans="1:2">
      <c r="A5667" s="136" t="str">
        <f t="shared" si="22"/>
        <v/>
      </c>
      <c r="B5667" s="136" t="str">
        <f t="shared" si="23"/>
        <v/>
      </c>
    </row>
    <row r="5668" spans="1:2">
      <c r="A5668" s="136" t="str">
        <f t="shared" si="22"/>
        <v/>
      </c>
      <c r="B5668" s="136" t="str">
        <f t="shared" si="23"/>
        <v/>
      </c>
    </row>
    <row r="5669" spans="1:2">
      <c r="A5669" s="136" t="str">
        <f t="shared" si="22"/>
        <v/>
      </c>
      <c r="B5669" s="136" t="str">
        <f t="shared" si="23"/>
        <v/>
      </c>
    </row>
    <row r="5670" spans="1:2">
      <c r="A5670" s="136" t="str">
        <f t="shared" si="22"/>
        <v/>
      </c>
      <c r="B5670" s="136" t="str">
        <f t="shared" si="23"/>
        <v/>
      </c>
    </row>
    <row r="5671" spans="1:2">
      <c r="A5671" s="136" t="str">
        <f t="shared" si="22"/>
        <v/>
      </c>
      <c r="B5671" s="136" t="str">
        <f t="shared" si="23"/>
        <v/>
      </c>
    </row>
    <row r="5672" spans="1:2">
      <c r="A5672" s="136" t="str">
        <f t="shared" si="22"/>
        <v/>
      </c>
      <c r="B5672" s="136" t="str">
        <f t="shared" si="23"/>
        <v/>
      </c>
    </row>
    <row r="5673" spans="1:2">
      <c r="A5673" s="136" t="str">
        <f t="shared" si="22"/>
        <v/>
      </c>
      <c r="B5673" s="136" t="str">
        <f t="shared" si="23"/>
        <v/>
      </c>
    </row>
    <row r="5674" spans="1:2">
      <c r="A5674" s="136" t="str">
        <f t="shared" si="22"/>
        <v/>
      </c>
      <c r="B5674" s="136" t="str">
        <f t="shared" si="23"/>
        <v/>
      </c>
    </row>
    <row r="5675" spans="1:2">
      <c r="A5675" s="136" t="str">
        <f t="shared" si="22"/>
        <v/>
      </c>
      <c r="B5675" s="136" t="str">
        <f t="shared" si="23"/>
        <v/>
      </c>
    </row>
    <row r="5676" spans="1:2">
      <c r="A5676" s="136" t="str">
        <f t="shared" si="22"/>
        <v/>
      </c>
      <c r="B5676" s="136" t="str">
        <f t="shared" si="23"/>
        <v/>
      </c>
    </row>
    <row r="5677" spans="1:2">
      <c r="A5677" s="136" t="str">
        <f t="shared" si="22"/>
        <v/>
      </c>
      <c r="B5677" s="136" t="str">
        <f t="shared" si="23"/>
        <v/>
      </c>
    </row>
    <row r="5678" spans="1:2">
      <c r="A5678" s="136" t="str">
        <f t="shared" si="22"/>
        <v/>
      </c>
      <c r="B5678" s="136" t="str">
        <f t="shared" si="23"/>
        <v/>
      </c>
    </row>
    <row r="5679" spans="1:2">
      <c r="A5679" s="136" t="str">
        <f t="shared" si="22"/>
        <v/>
      </c>
      <c r="B5679" s="136" t="str">
        <f t="shared" si="23"/>
        <v/>
      </c>
    </row>
    <row r="5680" spans="1:2">
      <c r="A5680" s="136" t="str">
        <f t="shared" si="22"/>
        <v/>
      </c>
      <c r="B5680" s="136" t="str">
        <f t="shared" si="23"/>
        <v/>
      </c>
    </row>
    <row r="5681" spans="1:2">
      <c r="A5681" s="136" t="str">
        <f t="shared" si="22"/>
        <v/>
      </c>
      <c r="B5681" s="136" t="str">
        <f t="shared" si="23"/>
        <v/>
      </c>
    </row>
    <row r="5682" spans="1:2">
      <c r="A5682" s="136" t="str">
        <f t="shared" si="22"/>
        <v/>
      </c>
      <c r="B5682" s="136" t="str">
        <f t="shared" si="23"/>
        <v/>
      </c>
    </row>
    <row r="5683" spans="1:2">
      <c r="A5683" s="136" t="str">
        <f t="shared" si="22"/>
        <v/>
      </c>
      <c r="B5683" s="136" t="str">
        <f t="shared" si="23"/>
        <v/>
      </c>
    </row>
    <row r="5684" spans="1:2">
      <c r="A5684" s="136" t="str">
        <f t="shared" si="22"/>
        <v/>
      </c>
      <c r="B5684" s="136" t="str">
        <f t="shared" si="23"/>
        <v/>
      </c>
    </row>
    <row r="5685" spans="1:2">
      <c r="A5685" s="136" t="str">
        <f t="shared" si="22"/>
        <v/>
      </c>
      <c r="B5685" s="136" t="str">
        <f t="shared" si="23"/>
        <v/>
      </c>
    </row>
    <row r="5686" spans="1:2">
      <c r="A5686" s="136" t="str">
        <f t="shared" si="22"/>
        <v/>
      </c>
      <c r="B5686" s="136" t="str">
        <f t="shared" si="23"/>
        <v/>
      </c>
    </row>
    <row r="5687" spans="1:2">
      <c r="A5687" s="136" t="str">
        <f t="shared" si="22"/>
        <v/>
      </c>
      <c r="B5687" s="136" t="str">
        <f t="shared" si="23"/>
        <v/>
      </c>
    </row>
    <row r="5688" spans="1:2">
      <c r="A5688" s="136" t="str">
        <f t="shared" si="22"/>
        <v/>
      </c>
      <c r="B5688" s="136" t="str">
        <f t="shared" si="23"/>
        <v/>
      </c>
    </row>
    <row r="5689" spans="1:2">
      <c r="A5689" s="136" t="str">
        <f t="shared" si="22"/>
        <v/>
      </c>
      <c r="B5689" s="136" t="str">
        <f t="shared" si="23"/>
        <v/>
      </c>
    </row>
    <row r="5690" spans="1:2">
      <c r="A5690" s="136" t="str">
        <f t="shared" si="22"/>
        <v/>
      </c>
      <c r="B5690" s="136" t="str">
        <f t="shared" si="23"/>
        <v/>
      </c>
    </row>
    <row r="5691" spans="1:2">
      <c r="A5691" s="136" t="str">
        <f t="shared" si="22"/>
        <v/>
      </c>
      <c r="B5691" s="136" t="str">
        <f t="shared" si="23"/>
        <v/>
      </c>
    </row>
    <row r="5692" spans="1:2">
      <c r="A5692" s="136" t="str">
        <f t="shared" si="22"/>
        <v/>
      </c>
      <c r="B5692" s="136" t="str">
        <f t="shared" si="23"/>
        <v/>
      </c>
    </row>
    <row r="5693" spans="1:2">
      <c r="A5693" s="136" t="str">
        <f t="shared" si="22"/>
        <v/>
      </c>
      <c r="B5693" s="136" t="str">
        <f t="shared" si="23"/>
        <v/>
      </c>
    </row>
    <row r="5694" spans="1:2">
      <c r="A5694" s="136" t="str">
        <f t="shared" si="22"/>
        <v/>
      </c>
      <c r="B5694" s="136" t="str">
        <f t="shared" si="23"/>
        <v/>
      </c>
    </row>
    <row r="5695" spans="1:2">
      <c r="A5695" s="136" t="str">
        <f t="shared" si="22"/>
        <v/>
      </c>
      <c r="B5695" s="136" t="str">
        <f t="shared" si="23"/>
        <v/>
      </c>
    </row>
    <row r="5696" spans="1:2">
      <c r="A5696" s="136" t="str">
        <f t="shared" si="22"/>
        <v/>
      </c>
      <c r="B5696" s="136" t="str">
        <f t="shared" si="23"/>
        <v/>
      </c>
    </row>
    <row r="5697" spans="1:2">
      <c r="A5697" s="136" t="str">
        <f t="shared" si="22"/>
        <v/>
      </c>
      <c r="B5697" s="136" t="str">
        <f t="shared" si="23"/>
        <v/>
      </c>
    </row>
    <row r="5698" spans="1:2">
      <c r="A5698" s="136" t="str">
        <f t="shared" si="22"/>
        <v/>
      </c>
      <c r="B5698" s="136" t="str">
        <f t="shared" si="23"/>
        <v/>
      </c>
    </row>
    <row r="5699" spans="1:2">
      <c r="A5699" s="136" t="str">
        <f t="shared" si="22"/>
        <v/>
      </c>
      <c r="B5699" s="136" t="str">
        <f t="shared" si="23"/>
        <v/>
      </c>
    </row>
    <row r="5700" spans="1:2">
      <c r="A5700" s="136" t="str">
        <f t="shared" si="22"/>
        <v/>
      </c>
      <c r="B5700" s="136" t="str">
        <f t="shared" si="23"/>
        <v/>
      </c>
    </row>
    <row r="5701" spans="1:2">
      <c r="A5701" s="136" t="str">
        <f t="shared" si="22"/>
        <v/>
      </c>
      <c r="B5701" s="136" t="str">
        <f t="shared" si="23"/>
        <v/>
      </c>
    </row>
    <row r="5702" spans="1:2">
      <c r="A5702" s="136" t="str">
        <f t="shared" si="22"/>
        <v/>
      </c>
      <c r="B5702" s="136" t="str">
        <f t="shared" si="23"/>
        <v/>
      </c>
    </row>
    <row r="5703" spans="1:2">
      <c r="A5703" s="136" t="str">
        <f t="shared" si="22"/>
        <v/>
      </c>
      <c r="B5703" s="136" t="str">
        <f t="shared" si="23"/>
        <v/>
      </c>
    </row>
    <row r="5704" spans="1:2">
      <c r="A5704" s="136" t="str">
        <f t="shared" si="22"/>
        <v/>
      </c>
      <c r="B5704" s="136" t="str">
        <f t="shared" si="23"/>
        <v/>
      </c>
    </row>
    <row r="5705" spans="1:2">
      <c r="A5705" s="136" t="str">
        <f t="shared" si="22"/>
        <v/>
      </c>
      <c r="B5705" s="136" t="str">
        <f t="shared" si="23"/>
        <v/>
      </c>
    </row>
    <row r="5706" spans="1:2">
      <c r="A5706" s="136" t="str">
        <f t="shared" si="22"/>
        <v/>
      </c>
      <c r="B5706" s="136" t="str">
        <f t="shared" si="23"/>
        <v/>
      </c>
    </row>
    <row r="5707" spans="1:2">
      <c r="A5707" s="136" t="str">
        <f t="shared" si="22"/>
        <v/>
      </c>
      <c r="B5707" s="136" t="str">
        <f t="shared" si="23"/>
        <v/>
      </c>
    </row>
    <row r="5708" spans="1:2">
      <c r="A5708" s="136" t="str">
        <f t="shared" si="22"/>
        <v/>
      </c>
      <c r="B5708" s="136" t="str">
        <f t="shared" si="23"/>
        <v/>
      </c>
    </row>
    <row r="5709" spans="1:2">
      <c r="A5709" s="136" t="str">
        <f t="shared" si="22"/>
        <v/>
      </c>
      <c r="B5709" s="136" t="str">
        <f t="shared" si="23"/>
        <v/>
      </c>
    </row>
    <row r="5710" spans="1:2">
      <c r="A5710" s="136" t="str">
        <f t="shared" si="22"/>
        <v/>
      </c>
      <c r="B5710" s="136" t="str">
        <f t="shared" si="23"/>
        <v/>
      </c>
    </row>
    <row r="5711" spans="1:2">
      <c r="A5711" s="136" t="str">
        <f t="shared" si="22"/>
        <v/>
      </c>
      <c r="B5711" s="136" t="str">
        <f t="shared" si="23"/>
        <v/>
      </c>
    </row>
    <row r="5712" spans="1:2">
      <c r="A5712" s="136" t="str">
        <f t="shared" si="22"/>
        <v/>
      </c>
      <c r="B5712" s="136" t="str">
        <f t="shared" si="23"/>
        <v/>
      </c>
    </row>
    <row r="5713" spans="1:2">
      <c r="A5713" s="136" t="str">
        <f t="shared" si="22"/>
        <v/>
      </c>
      <c r="B5713" s="136" t="str">
        <f t="shared" si="23"/>
        <v/>
      </c>
    </row>
    <row r="5714" spans="1:2">
      <c r="A5714" s="136" t="str">
        <f t="shared" si="22"/>
        <v/>
      </c>
      <c r="B5714" s="136" t="str">
        <f t="shared" si="23"/>
        <v/>
      </c>
    </row>
    <row r="5715" spans="1:2">
      <c r="A5715" s="136" t="str">
        <f t="shared" si="22"/>
        <v/>
      </c>
      <c r="B5715" s="136" t="str">
        <f t="shared" si="23"/>
        <v/>
      </c>
    </row>
    <row r="5716" spans="1:2">
      <c r="A5716" s="136" t="str">
        <f t="shared" si="22"/>
        <v/>
      </c>
      <c r="B5716" s="136" t="str">
        <f t="shared" si="23"/>
        <v/>
      </c>
    </row>
    <row r="5717" spans="1:2">
      <c r="A5717" s="136" t="str">
        <f t="shared" ref="A5717:A5780" si="24">HYPERLINK("http://tw.stock.yahoo.com/q/ta?s=","")</f>
        <v/>
      </c>
      <c r="B5717" s="136" t="str">
        <f t="shared" ref="B5717:B5780" si="25">HYPERLINK("http://tw.stock.yahoo.com/d/s/earning_.html","")</f>
        <v/>
      </c>
    </row>
    <row r="5718" spans="1:2">
      <c r="A5718" s="136" t="str">
        <f t="shared" si="24"/>
        <v/>
      </c>
      <c r="B5718" s="136" t="str">
        <f t="shared" si="25"/>
        <v/>
      </c>
    </row>
    <row r="5719" spans="1:2">
      <c r="A5719" s="136" t="str">
        <f t="shared" si="24"/>
        <v/>
      </c>
      <c r="B5719" s="136" t="str">
        <f t="shared" si="25"/>
        <v/>
      </c>
    </row>
    <row r="5720" spans="1:2">
      <c r="A5720" s="136" t="str">
        <f t="shared" si="24"/>
        <v/>
      </c>
      <c r="B5720" s="136" t="str">
        <f t="shared" si="25"/>
        <v/>
      </c>
    </row>
    <row r="5721" spans="1:2">
      <c r="A5721" s="136" t="str">
        <f t="shared" si="24"/>
        <v/>
      </c>
      <c r="B5721" s="136" t="str">
        <f t="shared" si="25"/>
        <v/>
      </c>
    </row>
    <row r="5722" spans="1:2">
      <c r="A5722" s="136" t="str">
        <f t="shared" si="24"/>
        <v/>
      </c>
      <c r="B5722" s="136" t="str">
        <f t="shared" si="25"/>
        <v/>
      </c>
    </row>
    <row r="5723" spans="1:2">
      <c r="A5723" s="136" t="str">
        <f t="shared" si="24"/>
        <v/>
      </c>
      <c r="B5723" s="136" t="str">
        <f t="shared" si="25"/>
        <v/>
      </c>
    </row>
    <row r="5724" spans="1:2">
      <c r="A5724" s="136" t="str">
        <f t="shared" si="24"/>
        <v/>
      </c>
      <c r="B5724" s="136" t="str">
        <f t="shared" si="25"/>
        <v/>
      </c>
    </row>
    <row r="5725" spans="1:2">
      <c r="A5725" s="136" t="str">
        <f t="shared" si="24"/>
        <v/>
      </c>
      <c r="B5725" s="136" t="str">
        <f t="shared" si="25"/>
        <v/>
      </c>
    </row>
    <row r="5726" spans="1:2">
      <c r="A5726" s="136" t="str">
        <f t="shared" si="24"/>
        <v/>
      </c>
      <c r="B5726" s="136" t="str">
        <f t="shared" si="25"/>
        <v/>
      </c>
    </row>
    <row r="5727" spans="1:2">
      <c r="A5727" s="136" t="str">
        <f t="shared" si="24"/>
        <v/>
      </c>
      <c r="B5727" s="136" t="str">
        <f t="shared" si="25"/>
        <v/>
      </c>
    </row>
    <row r="5728" spans="1:2">
      <c r="A5728" s="136" t="str">
        <f t="shared" si="24"/>
        <v/>
      </c>
      <c r="B5728" s="136" t="str">
        <f t="shared" si="25"/>
        <v/>
      </c>
    </row>
    <row r="5729" spans="1:2">
      <c r="A5729" s="136" t="str">
        <f t="shared" si="24"/>
        <v/>
      </c>
      <c r="B5729" s="136" t="str">
        <f t="shared" si="25"/>
        <v/>
      </c>
    </row>
    <row r="5730" spans="1:2">
      <c r="A5730" s="136" t="str">
        <f t="shared" si="24"/>
        <v/>
      </c>
      <c r="B5730" s="136" t="str">
        <f t="shared" si="25"/>
        <v/>
      </c>
    </row>
    <row r="5731" spans="1:2">
      <c r="A5731" s="136" t="str">
        <f t="shared" si="24"/>
        <v/>
      </c>
      <c r="B5731" s="136" t="str">
        <f t="shared" si="25"/>
        <v/>
      </c>
    </row>
    <row r="5732" spans="1:2">
      <c r="A5732" s="136" t="str">
        <f t="shared" si="24"/>
        <v/>
      </c>
      <c r="B5732" s="136" t="str">
        <f t="shared" si="25"/>
        <v/>
      </c>
    </row>
    <row r="5733" spans="1:2">
      <c r="A5733" s="136" t="str">
        <f t="shared" si="24"/>
        <v/>
      </c>
      <c r="B5733" s="136" t="str">
        <f t="shared" si="25"/>
        <v/>
      </c>
    </row>
    <row r="5734" spans="1:2">
      <c r="A5734" s="136" t="str">
        <f t="shared" si="24"/>
        <v/>
      </c>
      <c r="B5734" s="136" t="str">
        <f t="shared" si="25"/>
        <v/>
      </c>
    </row>
    <row r="5735" spans="1:2">
      <c r="A5735" s="136" t="str">
        <f t="shared" si="24"/>
        <v/>
      </c>
      <c r="B5735" s="136" t="str">
        <f t="shared" si="25"/>
        <v/>
      </c>
    </row>
    <row r="5736" spans="1:2">
      <c r="A5736" s="136" t="str">
        <f t="shared" si="24"/>
        <v/>
      </c>
      <c r="B5736" s="136" t="str">
        <f t="shared" si="25"/>
        <v/>
      </c>
    </row>
    <row r="5737" spans="1:2">
      <c r="A5737" s="136" t="str">
        <f t="shared" si="24"/>
        <v/>
      </c>
      <c r="B5737" s="136" t="str">
        <f t="shared" si="25"/>
        <v/>
      </c>
    </row>
    <row r="5738" spans="1:2">
      <c r="A5738" s="136" t="str">
        <f t="shared" si="24"/>
        <v/>
      </c>
      <c r="B5738" s="136" t="str">
        <f t="shared" si="25"/>
        <v/>
      </c>
    </row>
    <row r="5739" spans="1:2">
      <c r="A5739" s="136" t="str">
        <f t="shared" si="24"/>
        <v/>
      </c>
      <c r="B5739" s="136" t="str">
        <f t="shared" si="25"/>
        <v/>
      </c>
    </row>
    <row r="5740" spans="1:2">
      <c r="A5740" s="136" t="str">
        <f t="shared" si="24"/>
        <v/>
      </c>
      <c r="B5740" s="136" t="str">
        <f t="shared" si="25"/>
        <v/>
      </c>
    </row>
    <row r="5741" spans="1:2">
      <c r="A5741" s="136" t="str">
        <f t="shared" si="24"/>
        <v/>
      </c>
      <c r="B5741" s="136" t="str">
        <f t="shared" si="25"/>
        <v/>
      </c>
    </row>
    <row r="5742" spans="1:2">
      <c r="A5742" s="136" t="str">
        <f t="shared" si="24"/>
        <v/>
      </c>
      <c r="B5742" s="136" t="str">
        <f t="shared" si="25"/>
        <v/>
      </c>
    </row>
    <row r="5743" spans="1:2">
      <c r="A5743" s="136" t="str">
        <f t="shared" si="24"/>
        <v/>
      </c>
      <c r="B5743" s="136" t="str">
        <f t="shared" si="25"/>
        <v/>
      </c>
    </row>
    <row r="5744" spans="1:2">
      <c r="A5744" s="136" t="str">
        <f t="shared" si="24"/>
        <v/>
      </c>
      <c r="B5744" s="136" t="str">
        <f t="shared" si="25"/>
        <v/>
      </c>
    </row>
    <row r="5745" spans="1:2">
      <c r="A5745" s="136" t="str">
        <f t="shared" si="24"/>
        <v/>
      </c>
      <c r="B5745" s="136" t="str">
        <f t="shared" si="25"/>
        <v/>
      </c>
    </row>
    <row r="5746" spans="1:2">
      <c r="A5746" s="136" t="str">
        <f t="shared" si="24"/>
        <v/>
      </c>
      <c r="B5746" s="136" t="str">
        <f t="shared" si="25"/>
        <v/>
      </c>
    </row>
    <row r="5747" spans="1:2">
      <c r="A5747" s="136" t="str">
        <f t="shared" si="24"/>
        <v/>
      </c>
      <c r="B5747" s="136" t="str">
        <f t="shared" si="25"/>
        <v/>
      </c>
    </row>
    <row r="5748" spans="1:2">
      <c r="A5748" s="136" t="str">
        <f t="shared" si="24"/>
        <v/>
      </c>
      <c r="B5748" s="136" t="str">
        <f t="shared" si="25"/>
        <v/>
      </c>
    </row>
    <row r="5749" spans="1:2">
      <c r="A5749" s="136" t="str">
        <f t="shared" si="24"/>
        <v/>
      </c>
      <c r="B5749" s="136" t="str">
        <f t="shared" si="25"/>
        <v/>
      </c>
    </row>
    <row r="5750" spans="1:2">
      <c r="A5750" s="136" t="str">
        <f t="shared" si="24"/>
        <v/>
      </c>
      <c r="B5750" s="136" t="str">
        <f t="shared" si="25"/>
        <v/>
      </c>
    </row>
    <row r="5751" spans="1:2">
      <c r="A5751" s="136" t="str">
        <f t="shared" si="24"/>
        <v/>
      </c>
      <c r="B5751" s="136" t="str">
        <f t="shared" si="25"/>
        <v/>
      </c>
    </row>
    <row r="5752" spans="1:2">
      <c r="A5752" s="136" t="str">
        <f t="shared" si="24"/>
        <v/>
      </c>
      <c r="B5752" s="136" t="str">
        <f t="shared" si="25"/>
        <v/>
      </c>
    </row>
    <row r="5753" spans="1:2">
      <c r="A5753" s="136" t="str">
        <f t="shared" si="24"/>
        <v/>
      </c>
      <c r="B5753" s="136" t="str">
        <f t="shared" si="25"/>
        <v/>
      </c>
    </row>
    <row r="5754" spans="1:2">
      <c r="A5754" s="136" t="str">
        <f t="shared" si="24"/>
        <v/>
      </c>
      <c r="B5754" s="136" t="str">
        <f t="shared" si="25"/>
        <v/>
      </c>
    </row>
    <row r="5755" spans="1:2">
      <c r="A5755" s="136" t="str">
        <f t="shared" si="24"/>
        <v/>
      </c>
      <c r="B5755" s="136" t="str">
        <f t="shared" si="25"/>
        <v/>
      </c>
    </row>
    <row r="5756" spans="1:2">
      <c r="A5756" s="136" t="str">
        <f t="shared" si="24"/>
        <v/>
      </c>
      <c r="B5756" s="136" t="str">
        <f t="shared" si="25"/>
        <v/>
      </c>
    </row>
    <row r="5757" spans="1:2">
      <c r="A5757" s="136" t="str">
        <f t="shared" si="24"/>
        <v/>
      </c>
      <c r="B5757" s="136" t="str">
        <f t="shared" si="25"/>
        <v/>
      </c>
    </row>
    <row r="5758" spans="1:2">
      <c r="A5758" s="136" t="str">
        <f t="shared" si="24"/>
        <v/>
      </c>
      <c r="B5758" s="136" t="str">
        <f t="shared" si="25"/>
        <v/>
      </c>
    </row>
    <row r="5759" spans="1:2">
      <c r="A5759" s="136" t="str">
        <f t="shared" si="24"/>
        <v/>
      </c>
      <c r="B5759" s="136" t="str">
        <f t="shared" si="25"/>
        <v/>
      </c>
    </row>
    <row r="5760" spans="1:2">
      <c r="A5760" s="136" t="str">
        <f t="shared" si="24"/>
        <v/>
      </c>
      <c r="B5760" s="136" t="str">
        <f t="shared" si="25"/>
        <v/>
      </c>
    </row>
    <row r="5761" spans="1:2">
      <c r="A5761" s="136" t="str">
        <f t="shared" si="24"/>
        <v/>
      </c>
      <c r="B5761" s="136" t="str">
        <f t="shared" si="25"/>
        <v/>
      </c>
    </row>
    <row r="5762" spans="1:2">
      <c r="A5762" s="136" t="str">
        <f t="shared" si="24"/>
        <v/>
      </c>
      <c r="B5762" s="136" t="str">
        <f t="shared" si="25"/>
        <v/>
      </c>
    </row>
    <row r="5763" spans="1:2">
      <c r="A5763" s="136" t="str">
        <f t="shared" si="24"/>
        <v/>
      </c>
      <c r="B5763" s="136" t="str">
        <f t="shared" si="25"/>
        <v/>
      </c>
    </row>
    <row r="5764" spans="1:2">
      <c r="A5764" s="136" t="str">
        <f t="shared" si="24"/>
        <v/>
      </c>
      <c r="B5764" s="136" t="str">
        <f t="shared" si="25"/>
        <v/>
      </c>
    </row>
    <row r="5765" spans="1:2">
      <c r="A5765" s="136" t="str">
        <f t="shared" si="24"/>
        <v/>
      </c>
      <c r="B5765" s="136" t="str">
        <f t="shared" si="25"/>
        <v/>
      </c>
    </row>
    <row r="5766" spans="1:2">
      <c r="A5766" s="136" t="str">
        <f t="shared" si="24"/>
        <v/>
      </c>
      <c r="B5766" s="136" t="str">
        <f t="shared" si="25"/>
        <v/>
      </c>
    </row>
    <row r="5767" spans="1:2">
      <c r="A5767" s="136" t="str">
        <f t="shared" si="24"/>
        <v/>
      </c>
      <c r="B5767" s="136" t="str">
        <f t="shared" si="25"/>
        <v/>
      </c>
    </row>
    <row r="5768" spans="1:2">
      <c r="A5768" s="136" t="str">
        <f t="shared" si="24"/>
        <v/>
      </c>
      <c r="B5768" s="136" t="str">
        <f t="shared" si="25"/>
        <v/>
      </c>
    </row>
    <row r="5769" spans="1:2">
      <c r="A5769" s="136" t="str">
        <f t="shared" si="24"/>
        <v/>
      </c>
      <c r="B5769" s="136" t="str">
        <f t="shared" si="25"/>
        <v/>
      </c>
    </row>
    <row r="5770" spans="1:2">
      <c r="A5770" s="136" t="str">
        <f t="shared" si="24"/>
        <v/>
      </c>
      <c r="B5770" s="136" t="str">
        <f t="shared" si="25"/>
        <v/>
      </c>
    </row>
    <row r="5771" spans="1:2">
      <c r="A5771" s="136" t="str">
        <f t="shared" si="24"/>
        <v/>
      </c>
      <c r="B5771" s="136" t="str">
        <f t="shared" si="25"/>
        <v/>
      </c>
    </row>
    <row r="5772" spans="1:2">
      <c r="A5772" s="136" t="str">
        <f t="shared" si="24"/>
        <v/>
      </c>
      <c r="B5772" s="136" t="str">
        <f t="shared" si="25"/>
        <v/>
      </c>
    </row>
    <row r="5773" spans="1:2">
      <c r="A5773" s="136" t="str">
        <f t="shared" si="24"/>
        <v/>
      </c>
      <c r="B5773" s="136" t="str">
        <f t="shared" si="25"/>
        <v/>
      </c>
    </row>
    <row r="5774" spans="1:2">
      <c r="A5774" s="136" t="str">
        <f t="shared" si="24"/>
        <v/>
      </c>
      <c r="B5774" s="136" t="str">
        <f t="shared" si="25"/>
        <v/>
      </c>
    </row>
    <row r="5775" spans="1:2">
      <c r="A5775" s="136" t="str">
        <f t="shared" si="24"/>
        <v/>
      </c>
      <c r="B5775" s="136" t="str">
        <f t="shared" si="25"/>
        <v/>
      </c>
    </row>
    <row r="5776" spans="1:2">
      <c r="A5776" s="136" t="str">
        <f t="shared" si="24"/>
        <v/>
      </c>
      <c r="B5776" s="136" t="str">
        <f t="shared" si="25"/>
        <v/>
      </c>
    </row>
    <row r="5777" spans="1:2">
      <c r="A5777" s="136" t="str">
        <f t="shared" si="24"/>
        <v/>
      </c>
      <c r="B5777" s="136" t="str">
        <f t="shared" si="25"/>
        <v/>
      </c>
    </row>
    <row r="5778" spans="1:2">
      <c r="A5778" s="136" t="str">
        <f t="shared" si="24"/>
        <v/>
      </c>
      <c r="B5778" s="136" t="str">
        <f t="shared" si="25"/>
        <v/>
      </c>
    </row>
    <row r="5779" spans="1:2">
      <c r="A5779" s="136" t="str">
        <f t="shared" si="24"/>
        <v/>
      </c>
      <c r="B5779" s="136" t="str">
        <f t="shared" si="25"/>
        <v/>
      </c>
    </row>
    <row r="5780" spans="1:2">
      <c r="A5780" s="136" t="str">
        <f t="shared" si="24"/>
        <v/>
      </c>
      <c r="B5780" s="136" t="str">
        <f t="shared" si="25"/>
        <v/>
      </c>
    </row>
    <row r="5781" spans="1:2">
      <c r="A5781" s="136" t="str">
        <f t="shared" ref="A5781:A5844" si="26">HYPERLINK("http://tw.stock.yahoo.com/q/ta?s=","")</f>
        <v/>
      </c>
      <c r="B5781" s="136" t="str">
        <f t="shared" ref="B5781:B5844" si="27">HYPERLINK("http://tw.stock.yahoo.com/d/s/earning_.html","")</f>
        <v/>
      </c>
    </row>
    <row r="5782" spans="1:2">
      <c r="A5782" s="136" t="str">
        <f t="shared" si="26"/>
        <v/>
      </c>
      <c r="B5782" s="136" t="str">
        <f t="shared" si="27"/>
        <v/>
      </c>
    </row>
    <row r="5783" spans="1:2">
      <c r="A5783" s="136" t="str">
        <f t="shared" si="26"/>
        <v/>
      </c>
      <c r="B5783" s="136" t="str">
        <f t="shared" si="27"/>
        <v/>
      </c>
    </row>
    <row r="5784" spans="1:2">
      <c r="A5784" s="136" t="str">
        <f t="shared" si="26"/>
        <v/>
      </c>
      <c r="B5784" s="136" t="str">
        <f t="shared" si="27"/>
        <v/>
      </c>
    </row>
    <row r="5785" spans="1:2">
      <c r="A5785" s="136" t="str">
        <f t="shared" si="26"/>
        <v/>
      </c>
      <c r="B5785" s="136" t="str">
        <f t="shared" si="27"/>
        <v/>
      </c>
    </row>
    <row r="5786" spans="1:2">
      <c r="A5786" s="136" t="str">
        <f t="shared" si="26"/>
        <v/>
      </c>
      <c r="B5786" s="136" t="str">
        <f t="shared" si="27"/>
        <v/>
      </c>
    </row>
    <row r="5787" spans="1:2">
      <c r="A5787" s="136" t="str">
        <f t="shared" si="26"/>
        <v/>
      </c>
      <c r="B5787" s="136" t="str">
        <f t="shared" si="27"/>
        <v/>
      </c>
    </row>
    <row r="5788" spans="1:2">
      <c r="A5788" s="136" t="str">
        <f t="shared" si="26"/>
        <v/>
      </c>
      <c r="B5788" s="136" t="str">
        <f t="shared" si="27"/>
        <v/>
      </c>
    </row>
    <row r="5789" spans="1:2">
      <c r="A5789" s="136" t="str">
        <f t="shared" si="26"/>
        <v/>
      </c>
      <c r="B5789" s="136" t="str">
        <f t="shared" si="27"/>
        <v/>
      </c>
    </row>
    <row r="5790" spans="1:2">
      <c r="A5790" s="136" t="str">
        <f t="shared" si="26"/>
        <v/>
      </c>
      <c r="B5790" s="136" t="str">
        <f t="shared" si="27"/>
        <v/>
      </c>
    </row>
    <row r="5791" spans="1:2">
      <c r="A5791" s="136" t="str">
        <f t="shared" si="26"/>
        <v/>
      </c>
      <c r="B5791" s="136" t="str">
        <f t="shared" si="27"/>
        <v/>
      </c>
    </row>
    <row r="5792" spans="1:2">
      <c r="A5792" s="136" t="str">
        <f t="shared" si="26"/>
        <v/>
      </c>
      <c r="B5792" s="136" t="str">
        <f t="shared" si="27"/>
        <v/>
      </c>
    </row>
    <row r="5793" spans="1:2">
      <c r="A5793" s="136" t="str">
        <f t="shared" si="26"/>
        <v/>
      </c>
      <c r="B5793" s="136" t="str">
        <f t="shared" si="27"/>
        <v/>
      </c>
    </row>
    <row r="5794" spans="1:2">
      <c r="A5794" s="136" t="str">
        <f t="shared" si="26"/>
        <v/>
      </c>
      <c r="B5794" s="136" t="str">
        <f t="shared" si="27"/>
        <v/>
      </c>
    </row>
    <row r="5795" spans="1:2">
      <c r="A5795" s="136" t="str">
        <f t="shared" si="26"/>
        <v/>
      </c>
      <c r="B5795" s="136" t="str">
        <f t="shared" si="27"/>
        <v/>
      </c>
    </row>
    <row r="5796" spans="1:2">
      <c r="A5796" s="136" t="str">
        <f t="shared" si="26"/>
        <v/>
      </c>
      <c r="B5796" s="136" t="str">
        <f t="shared" si="27"/>
        <v/>
      </c>
    </row>
    <row r="5797" spans="1:2">
      <c r="A5797" s="136" t="str">
        <f t="shared" si="26"/>
        <v/>
      </c>
      <c r="B5797" s="136" t="str">
        <f t="shared" si="27"/>
        <v/>
      </c>
    </row>
    <row r="5798" spans="1:2">
      <c r="A5798" s="136" t="str">
        <f t="shared" si="26"/>
        <v/>
      </c>
      <c r="B5798" s="136" t="str">
        <f t="shared" si="27"/>
        <v/>
      </c>
    </row>
    <row r="5799" spans="1:2">
      <c r="A5799" s="136" t="str">
        <f t="shared" si="26"/>
        <v/>
      </c>
      <c r="B5799" s="136" t="str">
        <f t="shared" si="27"/>
        <v/>
      </c>
    </row>
    <row r="5800" spans="1:2">
      <c r="A5800" s="136" t="str">
        <f t="shared" si="26"/>
        <v/>
      </c>
      <c r="B5800" s="136" t="str">
        <f t="shared" si="27"/>
        <v/>
      </c>
    </row>
    <row r="5801" spans="1:2">
      <c r="A5801" s="136" t="str">
        <f t="shared" si="26"/>
        <v/>
      </c>
      <c r="B5801" s="136" t="str">
        <f t="shared" si="27"/>
        <v/>
      </c>
    </row>
    <row r="5802" spans="1:2">
      <c r="A5802" s="136" t="str">
        <f t="shared" si="26"/>
        <v/>
      </c>
      <c r="B5802" s="136" t="str">
        <f t="shared" si="27"/>
        <v/>
      </c>
    </row>
    <row r="5803" spans="1:2">
      <c r="A5803" s="136" t="str">
        <f t="shared" si="26"/>
        <v/>
      </c>
      <c r="B5803" s="136" t="str">
        <f t="shared" si="27"/>
        <v/>
      </c>
    </row>
    <row r="5804" spans="1:2">
      <c r="A5804" s="136" t="str">
        <f t="shared" si="26"/>
        <v/>
      </c>
      <c r="B5804" s="136" t="str">
        <f t="shared" si="27"/>
        <v/>
      </c>
    </row>
    <row r="5805" spans="1:2">
      <c r="A5805" s="136" t="str">
        <f t="shared" si="26"/>
        <v/>
      </c>
      <c r="B5805" s="136" t="str">
        <f t="shared" si="27"/>
        <v/>
      </c>
    </row>
    <row r="5806" spans="1:2">
      <c r="A5806" s="136" t="str">
        <f t="shared" si="26"/>
        <v/>
      </c>
      <c r="B5806" s="136" t="str">
        <f t="shared" si="27"/>
        <v/>
      </c>
    </row>
    <row r="5807" spans="1:2">
      <c r="A5807" s="136" t="str">
        <f t="shared" si="26"/>
        <v/>
      </c>
      <c r="B5807" s="136" t="str">
        <f t="shared" si="27"/>
        <v/>
      </c>
    </row>
    <row r="5808" spans="1:2">
      <c r="A5808" s="136" t="str">
        <f t="shared" si="26"/>
        <v/>
      </c>
      <c r="B5808" s="136" t="str">
        <f t="shared" si="27"/>
        <v/>
      </c>
    </row>
    <row r="5809" spans="1:2">
      <c r="A5809" s="136" t="str">
        <f t="shared" si="26"/>
        <v/>
      </c>
      <c r="B5809" s="136" t="str">
        <f t="shared" si="27"/>
        <v/>
      </c>
    </row>
    <row r="5810" spans="1:2">
      <c r="A5810" s="136" t="str">
        <f t="shared" si="26"/>
        <v/>
      </c>
      <c r="B5810" s="136" t="str">
        <f t="shared" si="27"/>
        <v/>
      </c>
    </row>
    <row r="5811" spans="1:2">
      <c r="A5811" s="136" t="str">
        <f t="shared" si="26"/>
        <v/>
      </c>
      <c r="B5811" s="136" t="str">
        <f t="shared" si="27"/>
        <v/>
      </c>
    </row>
    <row r="5812" spans="1:2">
      <c r="A5812" s="136" t="str">
        <f t="shared" si="26"/>
        <v/>
      </c>
      <c r="B5812" s="136" t="str">
        <f t="shared" si="27"/>
        <v/>
      </c>
    </row>
    <row r="5813" spans="1:2">
      <c r="A5813" s="136" t="str">
        <f t="shared" si="26"/>
        <v/>
      </c>
      <c r="B5813" s="136" t="str">
        <f t="shared" si="27"/>
        <v/>
      </c>
    </row>
    <row r="5814" spans="1:2">
      <c r="A5814" s="136" t="str">
        <f t="shared" si="26"/>
        <v/>
      </c>
      <c r="B5814" s="136" t="str">
        <f t="shared" si="27"/>
        <v/>
      </c>
    </row>
    <row r="5815" spans="1:2">
      <c r="A5815" s="136" t="str">
        <f t="shared" si="26"/>
        <v/>
      </c>
      <c r="B5815" s="136" t="str">
        <f t="shared" si="27"/>
        <v/>
      </c>
    </row>
    <row r="5816" spans="1:2">
      <c r="A5816" s="136" t="str">
        <f t="shared" si="26"/>
        <v/>
      </c>
      <c r="B5816" s="136" t="str">
        <f t="shared" si="27"/>
        <v/>
      </c>
    </row>
    <row r="5817" spans="1:2">
      <c r="A5817" s="136" t="str">
        <f t="shared" si="26"/>
        <v/>
      </c>
      <c r="B5817" s="136" t="str">
        <f t="shared" si="27"/>
        <v/>
      </c>
    </row>
    <row r="5818" spans="1:2">
      <c r="A5818" s="136" t="str">
        <f t="shared" si="26"/>
        <v/>
      </c>
      <c r="B5818" s="136" t="str">
        <f t="shared" si="27"/>
        <v/>
      </c>
    </row>
    <row r="5819" spans="1:2">
      <c r="A5819" s="136" t="str">
        <f t="shared" si="26"/>
        <v/>
      </c>
      <c r="B5819" s="136" t="str">
        <f t="shared" si="27"/>
        <v/>
      </c>
    </row>
    <row r="5820" spans="1:2">
      <c r="A5820" s="136" t="str">
        <f t="shared" si="26"/>
        <v/>
      </c>
      <c r="B5820" s="136" t="str">
        <f t="shared" si="27"/>
        <v/>
      </c>
    </row>
    <row r="5821" spans="1:2">
      <c r="A5821" s="136" t="str">
        <f t="shared" si="26"/>
        <v/>
      </c>
      <c r="B5821" s="136" t="str">
        <f t="shared" si="27"/>
        <v/>
      </c>
    </row>
    <row r="5822" spans="1:2">
      <c r="A5822" s="136" t="str">
        <f t="shared" si="26"/>
        <v/>
      </c>
      <c r="B5822" s="136" t="str">
        <f t="shared" si="27"/>
        <v/>
      </c>
    </row>
    <row r="5823" spans="1:2">
      <c r="A5823" s="136" t="str">
        <f t="shared" si="26"/>
        <v/>
      </c>
      <c r="B5823" s="136" t="str">
        <f t="shared" si="27"/>
        <v/>
      </c>
    </row>
    <row r="5824" spans="1:2">
      <c r="A5824" s="136" t="str">
        <f t="shared" si="26"/>
        <v/>
      </c>
      <c r="B5824" s="136" t="str">
        <f t="shared" si="27"/>
        <v/>
      </c>
    </row>
    <row r="5825" spans="1:2">
      <c r="A5825" s="136" t="str">
        <f t="shared" si="26"/>
        <v/>
      </c>
      <c r="B5825" s="136" t="str">
        <f t="shared" si="27"/>
        <v/>
      </c>
    </row>
    <row r="5826" spans="1:2">
      <c r="A5826" s="136" t="str">
        <f t="shared" si="26"/>
        <v/>
      </c>
      <c r="B5826" s="136" t="str">
        <f t="shared" si="27"/>
        <v/>
      </c>
    </row>
    <row r="5827" spans="1:2">
      <c r="A5827" s="136" t="str">
        <f t="shared" si="26"/>
        <v/>
      </c>
      <c r="B5827" s="136" t="str">
        <f t="shared" si="27"/>
        <v/>
      </c>
    </row>
    <row r="5828" spans="1:2">
      <c r="A5828" s="136" t="str">
        <f t="shared" si="26"/>
        <v/>
      </c>
      <c r="B5828" s="136" t="str">
        <f t="shared" si="27"/>
        <v/>
      </c>
    </row>
    <row r="5829" spans="1:2">
      <c r="A5829" s="136" t="str">
        <f t="shared" si="26"/>
        <v/>
      </c>
      <c r="B5829" s="136" t="str">
        <f t="shared" si="27"/>
        <v/>
      </c>
    </row>
    <row r="5830" spans="1:2">
      <c r="A5830" s="136" t="str">
        <f t="shared" si="26"/>
        <v/>
      </c>
      <c r="B5830" s="136" t="str">
        <f t="shared" si="27"/>
        <v/>
      </c>
    </row>
    <row r="5831" spans="1:2">
      <c r="A5831" s="136" t="str">
        <f t="shared" si="26"/>
        <v/>
      </c>
      <c r="B5831" s="136" t="str">
        <f t="shared" si="27"/>
        <v/>
      </c>
    </row>
    <row r="5832" spans="1:2">
      <c r="A5832" s="136" t="str">
        <f t="shared" si="26"/>
        <v/>
      </c>
      <c r="B5832" s="136" t="str">
        <f t="shared" si="27"/>
        <v/>
      </c>
    </row>
    <row r="5833" spans="1:2">
      <c r="A5833" s="136" t="str">
        <f t="shared" si="26"/>
        <v/>
      </c>
      <c r="B5833" s="136" t="str">
        <f t="shared" si="27"/>
        <v/>
      </c>
    </row>
    <row r="5834" spans="1:2">
      <c r="A5834" s="136" t="str">
        <f t="shared" si="26"/>
        <v/>
      </c>
      <c r="B5834" s="136" t="str">
        <f t="shared" si="27"/>
        <v/>
      </c>
    </row>
    <row r="5835" spans="1:2">
      <c r="A5835" s="136" t="str">
        <f t="shared" si="26"/>
        <v/>
      </c>
      <c r="B5835" s="136" t="str">
        <f t="shared" si="27"/>
        <v/>
      </c>
    </row>
    <row r="5836" spans="1:2">
      <c r="A5836" s="136" t="str">
        <f t="shared" si="26"/>
        <v/>
      </c>
      <c r="B5836" s="136" t="str">
        <f t="shared" si="27"/>
        <v/>
      </c>
    </row>
    <row r="5837" spans="1:2">
      <c r="A5837" s="136" t="str">
        <f t="shared" si="26"/>
        <v/>
      </c>
      <c r="B5837" s="136" t="str">
        <f t="shared" si="27"/>
        <v/>
      </c>
    </row>
    <row r="5838" spans="1:2">
      <c r="A5838" s="136" t="str">
        <f t="shared" si="26"/>
        <v/>
      </c>
      <c r="B5838" s="136" t="str">
        <f t="shared" si="27"/>
        <v/>
      </c>
    </row>
    <row r="5839" spans="1:2">
      <c r="A5839" s="136" t="str">
        <f t="shared" si="26"/>
        <v/>
      </c>
      <c r="B5839" s="136" t="str">
        <f t="shared" si="27"/>
        <v/>
      </c>
    </row>
    <row r="5840" spans="1:2">
      <c r="A5840" s="136" t="str">
        <f t="shared" si="26"/>
        <v/>
      </c>
      <c r="B5840" s="136" t="str">
        <f t="shared" si="27"/>
        <v/>
      </c>
    </row>
    <row r="5841" spans="1:2">
      <c r="A5841" s="136" t="str">
        <f t="shared" si="26"/>
        <v/>
      </c>
      <c r="B5841" s="136" t="str">
        <f t="shared" si="27"/>
        <v/>
      </c>
    </row>
    <row r="5842" spans="1:2">
      <c r="A5842" s="136" t="str">
        <f t="shared" si="26"/>
        <v/>
      </c>
      <c r="B5842" s="136" t="str">
        <f t="shared" si="27"/>
        <v/>
      </c>
    </row>
    <row r="5843" spans="1:2">
      <c r="A5843" s="136" t="str">
        <f t="shared" si="26"/>
        <v/>
      </c>
      <c r="B5843" s="136" t="str">
        <f t="shared" si="27"/>
        <v/>
      </c>
    </row>
    <row r="5844" spans="1:2">
      <c r="A5844" s="136" t="str">
        <f t="shared" si="26"/>
        <v/>
      </c>
      <c r="B5844" s="136" t="str">
        <f t="shared" si="27"/>
        <v/>
      </c>
    </row>
    <row r="5845" spans="1:2">
      <c r="A5845" s="136" t="str">
        <f t="shared" ref="A5845:A5908" si="28">HYPERLINK("http://tw.stock.yahoo.com/q/ta?s=","")</f>
        <v/>
      </c>
      <c r="B5845" s="136" t="str">
        <f t="shared" ref="B5845:B5908" si="29">HYPERLINK("http://tw.stock.yahoo.com/d/s/earning_.html","")</f>
        <v/>
      </c>
    </row>
    <row r="5846" spans="1:2">
      <c r="A5846" s="136" t="str">
        <f t="shared" si="28"/>
        <v/>
      </c>
      <c r="B5846" s="136" t="str">
        <f t="shared" si="29"/>
        <v/>
      </c>
    </row>
    <row r="5847" spans="1:2">
      <c r="A5847" s="136" t="str">
        <f t="shared" si="28"/>
        <v/>
      </c>
      <c r="B5847" s="136" t="str">
        <f t="shared" si="29"/>
        <v/>
      </c>
    </row>
    <row r="5848" spans="1:2">
      <c r="A5848" s="136" t="str">
        <f t="shared" si="28"/>
        <v/>
      </c>
      <c r="B5848" s="136" t="str">
        <f t="shared" si="29"/>
        <v/>
      </c>
    </row>
    <row r="5849" spans="1:2">
      <c r="A5849" s="136" t="str">
        <f t="shared" si="28"/>
        <v/>
      </c>
      <c r="B5849" s="136" t="str">
        <f t="shared" si="29"/>
        <v/>
      </c>
    </row>
    <row r="5850" spans="1:2">
      <c r="A5850" s="136" t="str">
        <f t="shared" si="28"/>
        <v/>
      </c>
      <c r="B5850" s="136" t="str">
        <f t="shared" si="29"/>
        <v/>
      </c>
    </row>
    <row r="5851" spans="1:2">
      <c r="A5851" s="136" t="str">
        <f t="shared" si="28"/>
        <v/>
      </c>
      <c r="B5851" s="136" t="str">
        <f t="shared" si="29"/>
        <v/>
      </c>
    </row>
    <row r="5852" spans="1:2">
      <c r="A5852" s="136" t="str">
        <f t="shared" si="28"/>
        <v/>
      </c>
      <c r="B5852" s="136" t="str">
        <f t="shared" si="29"/>
        <v/>
      </c>
    </row>
    <row r="5853" spans="1:2">
      <c r="A5853" s="136" t="str">
        <f t="shared" si="28"/>
        <v/>
      </c>
      <c r="B5853" s="136" t="str">
        <f t="shared" si="29"/>
        <v/>
      </c>
    </row>
    <row r="5854" spans="1:2">
      <c r="A5854" s="136" t="str">
        <f t="shared" si="28"/>
        <v/>
      </c>
      <c r="B5854" s="136" t="str">
        <f t="shared" si="29"/>
        <v/>
      </c>
    </row>
    <row r="5855" spans="1:2">
      <c r="A5855" s="136" t="str">
        <f t="shared" si="28"/>
        <v/>
      </c>
      <c r="B5855" s="136" t="str">
        <f t="shared" si="29"/>
        <v/>
      </c>
    </row>
    <row r="5856" spans="1:2">
      <c r="A5856" s="136" t="str">
        <f t="shared" si="28"/>
        <v/>
      </c>
      <c r="B5856" s="136" t="str">
        <f t="shared" si="29"/>
        <v/>
      </c>
    </row>
    <row r="5857" spans="1:2">
      <c r="A5857" s="136" t="str">
        <f t="shared" si="28"/>
        <v/>
      </c>
      <c r="B5857" s="136" t="str">
        <f t="shared" si="29"/>
        <v/>
      </c>
    </row>
    <row r="5858" spans="1:2">
      <c r="A5858" s="136" t="str">
        <f t="shared" si="28"/>
        <v/>
      </c>
      <c r="B5858" s="136" t="str">
        <f t="shared" si="29"/>
        <v/>
      </c>
    </row>
    <row r="5859" spans="1:2">
      <c r="A5859" s="136" t="str">
        <f t="shared" si="28"/>
        <v/>
      </c>
      <c r="B5859" s="136" t="str">
        <f t="shared" si="29"/>
        <v/>
      </c>
    </row>
    <row r="5860" spans="1:2">
      <c r="A5860" s="136" t="str">
        <f t="shared" si="28"/>
        <v/>
      </c>
      <c r="B5860" s="136" t="str">
        <f t="shared" si="29"/>
        <v/>
      </c>
    </row>
    <row r="5861" spans="1:2">
      <c r="A5861" s="136" t="str">
        <f t="shared" si="28"/>
        <v/>
      </c>
      <c r="B5861" s="136" t="str">
        <f t="shared" si="29"/>
        <v/>
      </c>
    </row>
    <row r="5862" spans="1:2">
      <c r="A5862" s="136" t="str">
        <f t="shared" si="28"/>
        <v/>
      </c>
      <c r="B5862" s="136" t="str">
        <f t="shared" si="29"/>
        <v/>
      </c>
    </row>
    <row r="5863" spans="1:2">
      <c r="A5863" s="136" t="str">
        <f t="shared" si="28"/>
        <v/>
      </c>
      <c r="B5863" s="136" t="str">
        <f t="shared" si="29"/>
        <v/>
      </c>
    </row>
    <row r="5864" spans="1:2">
      <c r="A5864" s="136" t="str">
        <f t="shared" si="28"/>
        <v/>
      </c>
      <c r="B5864" s="136" t="str">
        <f t="shared" si="29"/>
        <v/>
      </c>
    </row>
    <row r="5865" spans="1:2">
      <c r="A5865" s="136" t="str">
        <f t="shared" si="28"/>
        <v/>
      </c>
      <c r="B5865" s="136" t="str">
        <f t="shared" si="29"/>
        <v/>
      </c>
    </row>
    <row r="5866" spans="1:2">
      <c r="A5866" s="136" t="str">
        <f t="shared" si="28"/>
        <v/>
      </c>
      <c r="B5866" s="136" t="str">
        <f t="shared" si="29"/>
        <v/>
      </c>
    </row>
    <row r="5867" spans="1:2">
      <c r="A5867" s="136" t="str">
        <f t="shared" si="28"/>
        <v/>
      </c>
      <c r="B5867" s="136" t="str">
        <f t="shared" si="29"/>
        <v/>
      </c>
    </row>
    <row r="5868" spans="1:2">
      <c r="A5868" s="136" t="str">
        <f t="shared" si="28"/>
        <v/>
      </c>
      <c r="B5868" s="136" t="str">
        <f t="shared" si="29"/>
        <v/>
      </c>
    </row>
    <row r="5869" spans="1:2">
      <c r="A5869" s="136" t="str">
        <f t="shared" si="28"/>
        <v/>
      </c>
      <c r="B5869" s="136" t="str">
        <f t="shared" si="29"/>
        <v/>
      </c>
    </row>
    <row r="5870" spans="1:2">
      <c r="A5870" s="136" t="str">
        <f t="shared" si="28"/>
        <v/>
      </c>
      <c r="B5870" s="136" t="str">
        <f t="shared" si="29"/>
        <v/>
      </c>
    </row>
    <row r="5871" spans="1:2">
      <c r="A5871" s="136" t="str">
        <f t="shared" si="28"/>
        <v/>
      </c>
      <c r="B5871" s="136" t="str">
        <f t="shared" si="29"/>
        <v/>
      </c>
    </row>
    <row r="5872" spans="1:2">
      <c r="A5872" s="136" t="str">
        <f t="shared" si="28"/>
        <v/>
      </c>
      <c r="B5872" s="136" t="str">
        <f t="shared" si="29"/>
        <v/>
      </c>
    </row>
    <row r="5873" spans="1:2">
      <c r="A5873" s="136" t="str">
        <f t="shared" si="28"/>
        <v/>
      </c>
      <c r="B5873" s="136" t="str">
        <f t="shared" si="29"/>
        <v/>
      </c>
    </row>
    <row r="5874" spans="1:2">
      <c r="A5874" s="136" t="str">
        <f t="shared" si="28"/>
        <v/>
      </c>
      <c r="B5874" s="136" t="str">
        <f t="shared" si="29"/>
        <v/>
      </c>
    </row>
    <row r="5875" spans="1:2">
      <c r="A5875" s="136" t="str">
        <f t="shared" si="28"/>
        <v/>
      </c>
      <c r="B5875" s="136" t="str">
        <f t="shared" si="29"/>
        <v/>
      </c>
    </row>
    <row r="5876" spans="1:2">
      <c r="A5876" s="136" t="str">
        <f t="shared" si="28"/>
        <v/>
      </c>
      <c r="B5876" s="136" t="str">
        <f t="shared" si="29"/>
        <v/>
      </c>
    </row>
    <row r="5877" spans="1:2">
      <c r="A5877" s="136" t="str">
        <f t="shared" si="28"/>
        <v/>
      </c>
      <c r="B5877" s="136" t="str">
        <f t="shared" si="29"/>
        <v/>
      </c>
    </row>
    <row r="5878" spans="1:2">
      <c r="A5878" s="136" t="str">
        <f t="shared" si="28"/>
        <v/>
      </c>
      <c r="B5878" s="136" t="str">
        <f t="shared" si="29"/>
        <v/>
      </c>
    </row>
    <row r="5879" spans="1:2">
      <c r="A5879" s="136" t="str">
        <f t="shared" si="28"/>
        <v/>
      </c>
      <c r="B5879" s="136" t="str">
        <f t="shared" si="29"/>
        <v/>
      </c>
    </row>
    <row r="5880" spans="1:2">
      <c r="A5880" s="136" t="str">
        <f t="shared" si="28"/>
        <v/>
      </c>
      <c r="B5880" s="136" t="str">
        <f t="shared" si="29"/>
        <v/>
      </c>
    </row>
    <row r="5881" spans="1:2">
      <c r="A5881" s="136" t="str">
        <f t="shared" si="28"/>
        <v/>
      </c>
      <c r="B5881" s="136" t="str">
        <f t="shared" si="29"/>
        <v/>
      </c>
    </row>
    <row r="5882" spans="1:2">
      <c r="A5882" s="136" t="str">
        <f t="shared" si="28"/>
        <v/>
      </c>
      <c r="B5882" s="136" t="str">
        <f t="shared" si="29"/>
        <v/>
      </c>
    </row>
    <row r="5883" spans="1:2">
      <c r="A5883" s="136" t="str">
        <f t="shared" si="28"/>
        <v/>
      </c>
      <c r="B5883" s="136" t="str">
        <f t="shared" si="29"/>
        <v/>
      </c>
    </row>
    <row r="5884" spans="1:2">
      <c r="A5884" s="136" t="str">
        <f t="shared" si="28"/>
        <v/>
      </c>
      <c r="B5884" s="136" t="str">
        <f t="shared" si="29"/>
        <v/>
      </c>
    </row>
    <row r="5885" spans="1:2">
      <c r="A5885" s="136" t="str">
        <f t="shared" si="28"/>
        <v/>
      </c>
      <c r="B5885" s="136" t="str">
        <f t="shared" si="29"/>
        <v/>
      </c>
    </row>
    <row r="5886" spans="1:2">
      <c r="A5886" s="136" t="str">
        <f t="shared" si="28"/>
        <v/>
      </c>
      <c r="B5886" s="136" t="str">
        <f t="shared" si="29"/>
        <v/>
      </c>
    </row>
    <row r="5887" spans="1:2">
      <c r="A5887" s="136" t="str">
        <f t="shared" si="28"/>
        <v/>
      </c>
      <c r="B5887" s="136" t="str">
        <f t="shared" si="29"/>
        <v/>
      </c>
    </row>
    <row r="5888" spans="1:2">
      <c r="A5888" s="136" t="str">
        <f t="shared" si="28"/>
        <v/>
      </c>
      <c r="B5888" s="136" t="str">
        <f t="shared" si="29"/>
        <v/>
      </c>
    </row>
    <row r="5889" spans="1:2">
      <c r="A5889" s="136" t="str">
        <f t="shared" si="28"/>
        <v/>
      </c>
      <c r="B5889" s="136" t="str">
        <f t="shared" si="29"/>
        <v/>
      </c>
    </row>
    <row r="5890" spans="1:2">
      <c r="A5890" s="136" t="str">
        <f t="shared" si="28"/>
        <v/>
      </c>
      <c r="B5890" s="136" t="str">
        <f t="shared" si="29"/>
        <v/>
      </c>
    </row>
    <row r="5891" spans="1:2">
      <c r="A5891" s="136" t="str">
        <f t="shared" si="28"/>
        <v/>
      </c>
      <c r="B5891" s="136" t="str">
        <f t="shared" si="29"/>
        <v/>
      </c>
    </row>
    <row r="5892" spans="1:2">
      <c r="A5892" s="136" t="str">
        <f t="shared" si="28"/>
        <v/>
      </c>
      <c r="B5892" s="136" t="str">
        <f t="shared" si="29"/>
        <v/>
      </c>
    </row>
    <row r="5893" spans="1:2">
      <c r="A5893" s="136" t="str">
        <f t="shared" si="28"/>
        <v/>
      </c>
      <c r="B5893" s="136" t="str">
        <f t="shared" si="29"/>
        <v/>
      </c>
    </row>
    <row r="5894" spans="1:2">
      <c r="A5894" s="136" t="str">
        <f t="shared" si="28"/>
        <v/>
      </c>
      <c r="B5894" s="136" t="str">
        <f t="shared" si="29"/>
        <v/>
      </c>
    </row>
    <row r="5895" spans="1:2">
      <c r="A5895" s="136" t="str">
        <f t="shared" si="28"/>
        <v/>
      </c>
      <c r="B5895" s="136" t="str">
        <f t="shared" si="29"/>
        <v/>
      </c>
    </row>
    <row r="5896" spans="1:2">
      <c r="A5896" s="136" t="str">
        <f t="shared" si="28"/>
        <v/>
      </c>
      <c r="B5896" s="136" t="str">
        <f t="shared" si="29"/>
        <v/>
      </c>
    </row>
    <row r="5897" spans="1:2">
      <c r="A5897" s="136" t="str">
        <f t="shared" si="28"/>
        <v/>
      </c>
      <c r="B5897" s="136" t="str">
        <f t="shared" si="29"/>
        <v/>
      </c>
    </row>
    <row r="5898" spans="1:2">
      <c r="A5898" s="136" t="str">
        <f t="shared" si="28"/>
        <v/>
      </c>
      <c r="B5898" s="136" t="str">
        <f t="shared" si="29"/>
        <v/>
      </c>
    </row>
    <row r="5899" spans="1:2">
      <c r="A5899" s="136" t="str">
        <f t="shared" si="28"/>
        <v/>
      </c>
      <c r="B5899" s="136" t="str">
        <f t="shared" si="29"/>
        <v/>
      </c>
    </row>
    <row r="5900" spans="1:2">
      <c r="A5900" s="136" t="str">
        <f t="shared" si="28"/>
        <v/>
      </c>
      <c r="B5900" s="136" t="str">
        <f t="shared" si="29"/>
        <v/>
      </c>
    </row>
    <row r="5901" spans="1:2">
      <c r="A5901" s="136" t="str">
        <f t="shared" si="28"/>
        <v/>
      </c>
      <c r="B5901" s="136" t="str">
        <f t="shared" si="29"/>
        <v/>
      </c>
    </row>
    <row r="5902" spans="1:2">
      <c r="A5902" s="136" t="str">
        <f t="shared" si="28"/>
        <v/>
      </c>
      <c r="B5902" s="136" t="str">
        <f t="shared" si="29"/>
        <v/>
      </c>
    </row>
    <row r="5903" spans="1:2">
      <c r="A5903" s="136" t="str">
        <f t="shared" si="28"/>
        <v/>
      </c>
      <c r="B5903" s="136" t="str">
        <f t="shared" si="29"/>
        <v/>
      </c>
    </row>
    <row r="5904" spans="1:2">
      <c r="A5904" s="136" t="str">
        <f t="shared" si="28"/>
        <v/>
      </c>
      <c r="B5904" s="136" t="str">
        <f t="shared" si="29"/>
        <v/>
      </c>
    </row>
    <row r="5905" spans="1:2">
      <c r="A5905" s="136" t="str">
        <f t="shared" si="28"/>
        <v/>
      </c>
      <c r="B5905" s="136" t="str">
        <f t="shared" si="29"/>
        <v/>
      </c>
    </row>
    <row r="5906" spans="1:2">
      <c r="A5906" s="136" t="str">
        <f t="shared" si="28"/>
        <v/>
      </c>
      <c r="B5906" s="136" t="str">
        <f t="shared" si="29"/>
        <v/>
      </c>
    </row>
    <row r="5907" spans="1:2">
      <c r="A5907" s="136" t="str">
        <f t="shared" si="28"/>
        <v/>
      </c>
      <c r="B5907" s="136" t="str">
        <f t="shared" si="29"/>
        <v/>
      </c>
    </row>
    <row r="5908" spans="1:2">
      <c r="A5908" s="136" t="str">
        <f t="shared" si="28"/>
        <v/>
      </c>
      <c r="B5908" s="136" t="str">
        <f t="shared" si="29"/>
        <v/>
      </c>
    </row>
    <row r="5909" spans="1:2">
      <c r="A5909" s="136" t="str">
        <f t="shared" ref="A5909:A5972" si="30">HYPERLINK("http://tw.stock.yahoo.com/q/ta?s=","")</f>
        <v/>
      </c>
      <c r="B5909" s="136" t="str">
        <f t="shared" ref="B5909:B5972" si="31">HYPERLINK("http://tw.stock.yahoo.com/d/s/earning_.html","")</f>
        <v/>
      </c>
    </row>
    <row r="5910" spans="1:2">
      <c r="A5910" s="136" t="str">
        <f t="shared" si="30"/>
        <v/>
      </c>
      <c r="B5910" s="136" t="str">
        <f t="shared" si="31"/>
        <v/>
      </c>
    </row>
    <row r="5911" spans="1:2">
      <c r="A5911" s="136" t="str">
        <f t="shared" si="30"/>
        <v/>
      </c>
      <c r="B5911" s="136" t="str">
        <f t="shared" si="31"/>
        <v/>
      </c>
    </row>
    <row r="5912" spans="1:2">
      <c r="A5912" s="136" t="str">
        <f t="shared" si="30"/>
        <v/>
      </c>
      <c r="B5912" s="136" t="str">
        <f t="shared" si="31"/>
        <v/>
      </c>
    </row>
    <row r="5913" spans="1:2">
      <c r="A5913" s="136" t="str">
        <f t="shared" si="30"/>
        <v/>
      </c>
      <c r="B5913" s="136" t="str">
        <f t="shared" si="31"/>
        <v/>
      </c>
    </row>
    <row r="5914" spans="1:2">
      <c r="A5914" s="136" t="str">
        <f t="shared" si="30"/>
        <v/>
      </c>
      <c r="B5914" s="136" t="str">
        <f t="shared" si="31"/>
        <v/>
      </c>
    </row>
    <row r="5915" spans="1:2">
      <c r="A5915" s="136" t="str">
        <f t="shared" si="30"/>
        <v/>
      </c>
      <c r="B5915" s="136" t="str">
        <f t="shared" si="31"/>
        <v/>
      </c>
    </row>
    <row r="5916" spans="1:2">
      <c r="A5916" s="136" t="str">
        <f t="shared" si="30"/>
        <v/>
      </c>
      <c r="B5916" s="136" t="str">
        <f t="shared" si="31"/>
        <v/>
      </c>
    </row>
    <row r="5917" spans="1:2">
      <c r="A5917" s="136" t="str">
        <f t="shared" si="30"/>
        <v/>
      </c>
      <c r="B5917" s="136" t="str">
        <f t="shared" si="31"/>
        <v/>
      </c>
    </row>
    <row r="5918" spans="1:2">
      <c r="A5918" s="136" t="str">
        <f t="shared" si="30"/>
        <v/>
      </c>
      <c r="B5918" s="136" t="str">
        <f t="shared" si="31"/>
        <v/>
      </c>
    </row>
    <row r="5919" spans="1:2">
      <c r="A5919" s="136" t="str">
        <f t="shared" si="30"/>
        <v/>
      </c>
      <c r="B5919" s="136" t="str">
        <f t="shared" si="31"/>
        <v/>
      </c>
    </row>
    <row r="5920" spans="1:2">
      <c r="A5920" s="136" t="str">
        <f t="shared" si="30"/>
        <v/>
      </c>
      <c r="B5920" s="136" t="str">
        <f t="shared" si="31"/>
        <v/>
      </c>
    </row>
    <row r="5921" spans="1:2">
      <c r="A5921" s="136" t="str">
        <f t="shared" si="30"/>
        <v/>
      </c>
      <c r="B5921" s="136" t="str">
        <f t="shared" si="31"/>
        <v/>
      </c>
    </row>
    <row r="5922" spans="1:2">
      <c r="A5922" s="136" t="str">
        <f t="shared" si="30"/>
        <v/>
      </c>
      <c r="B5922" s="136" t="str">
        <f t="shared" si="31"/>
        <v/>
      </c>
    </row>
    <row r="5923" spans="1:2">
      <c r="A5923" s="136" t="str">
        <f t="shared" si="30"/>
        <v/>
      </c>
      <c r="B5923" s="136" t="str">
        <f t="shared" si="31"/>
        <v/>
      </c>
    </row>
    <row r="5924" spans="1:2">
      <c r="A5924" s="136" t="str">
        <f t="shared" si="30"/>
        <v/>
      </c>
      <c r="B5924" s="136" t="str">
        <f t="shared" si="31"/>
        <v/>
      </c>
    </row>
    <row r="5925" spans="1:2">
      <c r="A5925" s="136" t="str">
        <f t="shared" si="30"/>
        <v/>
      </c>
      <c r="B5925" s="136" t="str">
        <f t="shared" si="31"/>
        <v/>
      </c>
    </row>
    <row r="5926" spans="1:2">
      <c r="A5926" s="136" t="str">
        <f t="shared" si="30"/>
        <v/>
      </c>
      <c r="B5926" s="136" t="str">
        <f t="shared" si="31"/>
        <v/>
      </c>
    </row>
    <row r="5927" spans="1:2">
      <c r="A5927" s="136" t="str">
        <f t="shared" si="30"/>
        <v/>
      </c>
      <c r="B5927" s="136" t="str">
        <f t="shared" si="31"/>
        <v/>
      </c>
    </row>
    <row r="5928" spans="1:2">
      <c r="A5928" s="136" t="str">
        <f t="shared" si="30"/>
        <v/>
      </c>
      <c r="B5928" s="136" t="str">
        <f t="shared" si="31"/>
        <v/>
      </c>
    </row>
    <row r="5929" spans="1:2">
      <c r="A5929" s="136" t="str">
        <f t="shared" si="30"/>
        <v/>
      </c>
      <c r="B5929" s="136" t="str">
        <f t="shared" si="31"/>
        <v/>
      </c>
    </row>
    <row r="5930" spans="1:2">
      <c r="A5930" s="136" t="str">
        <f t="shared" si="30"/>
        <v/>
      </c>
      <c r="B5930" s="136" t="str">
        <f t="shared" si="31"/>
        <v/>
      </c>
    </row>
    <row r="5931" spans="1:2">
      <c r="A5931" s="136" t="str">
        <f t="shared" si="30"/>
        <v/>
      </c>
      <c r="B5931" s="136" t="str">
        <f t="shared" si="31"/>
        <v/>
      </c>
    </row>
    <row r="5932" spans="1:2">
      <c r="A5932" s="136" t="str">
        <f t="shared" si="30"/>
        <v/>
      </c>
      <c r="B5932" s="136" t="str">
        <f t="shared" si="31"/>
        <v/>
      </c>
    </row>
    <row r="5933" spans="1:2">
      <c r="A5933" s="136" t="str">
        <f t="shared" si="30"/>
        <v/>
      </c>
      <c r="B5933" s="136" t="str">
        <f t="shared" si="31"/>
        <v/>
      </c>
    </row>
    <row r="5934" spans="1:2">
      <c r="A5934" s="136" t="str">
        <f t="shared" si="30"/>
        <v/>
      </c>
      <c r="B5934" s="136" t="str">
        <f t="shared" si="31"/>
        <v/>
      </c>
    </row>
    <row r="5935" spans="1:2">
      <c r="A5935" s="136" t="str">
        <f t="shared" si="30"/>
        <v/>
      </c>
      <c r="B5935" s="136" t="str">
        <f t="shared" si="31"/>
        <v/>
      </c>
    </row>
    <row r="5936" spans="1:2">
      <c r="A5936" s="136" t="str">
        <f t="shared" si="30"/>
        <v/>
      </c>
      <c r="B5936" s="136" t="str">
        <f t="shared" si="31"/>
        <v/>
      </c>
    </row>
    <row r="5937" spans="1:2">
      <c r="A5937" s="136" t="str">
        <f t="shared" si="30"/>
        <v/>
      </c>
      <c r="B5937" s="136" t="str">
        <f t="shared" si="31"/>
        <v/>
      </c>
    </row>
    <row r="5938" spans="1:2">
      <c r="A5938" s="136" t="str">
        <f t="shared" si="30"/>
        <v/>
      </c>
      <c r="B5938" s="136" t="str">
        <f t="shared" si="31"/>
        <v/>
      </c>
    </row>
    <row r="5939" spans="1:2">
      <c r="A5939" s="136" t="str">
        <f t="shared" si="30"/>
        <v/>
      </c>
      <c r="B5939" s="136" t="str">
        <f t="shared" si="31"/>
        <v/>
      </c>
    </row>
    <row r="5940" spans="1:2">
      <c r="A5940" s="136" t="str">
        <f t="shared" si="30"/>
        <v/>
      </c>
      <c r="B5940" s="136" t="str">
        <f t="shared" si="31"/>
        <v/>
      </c>
    </row>
    <row r="5941" spans="1:2">
      <c r="A5941" s="136" t="str">
        <f t="shared" si="30"/>
        <v/>
      </c>
      <c r="B5941" s="136" t="str">
        <f t="shared" si="31"/>
        <v/>
      </c>
    </row>
    <row r="5942" spans="1:2">
      <c r="A5942" s="136" t="str">
        <f t="shared" si="30"/>
        <v/>
      </c>
      <c r="B5942" s="136" t="str">
        <f t="shared" si="31"/>
        <v/>
      </c>
    </row>
    <row r="5943" spans="1:2">
      <c r="A5943" s="136" t="str">
        <f t="shared" si="30"/>
        <v/>
      </c>
      <c r="B5943" s="136" t="str">
        <f t="shared" si="31"/>
        <v/>
      </c>
    </row>
    <row r="5944" spans="1:2">
      <c r="A5944" s="136" t="str">
        <f t="shared" si="30"/>
        <v/>
      </c>
      <c r="B5944" s="136" t="str">
        <f t="shared" si="31"/>
        <v/>
      </c>
    </row>
    <row r="5945" spans="1:2">
      <c r="A5945" s="136" t="str">
        <f t="shared" si="30"/>
        <v/>
      </c>
      <c r="B5945" s="136" t="str">
        <f t="shared" si="31"/>
        <v/>
      </c>
    </row>
    <row r="5946" spans="1:2">
      <c r="A5946" s="136" t="str">
        <f t="shared" si="30"/>
        <v/>
      </c>
      <c r="B5946" s="136" t="str">
        <f t="shared" si="31"/>
        <v/>
      </c>
    </row>
    <row r="5947" spans="1:2">
      <c r="A5947" s="136" t="str">
        <f t="shared" si="30"/>
        <v/>
      </c>
      <c r="B5947" s="136" t="str">
        <f t="shared" si="31"/>
        <v/>
      </c>
    </row>
    <row r="5948" spans="1:2">
      <c r="A5948" s="136" t="str">
        <f t="shared" si="30"/>
        <v/>
      </c>
      <c r="B5948" s="136" t="str">
        <f t="shared" si="31"/>
        <v/>
      </c>
    </row>
    <row r="5949" spans="1:2">
      <c r="A5949" s="136" t="str">
        <f t="shared" si="30"/>
        <v/>
      </c>
      <c r="B5949" s="136" t="str">
        <f t="shared" si="31"/>
        <v/>
      </c>
    </row>
    <row r="5950" spans="1:2">
      <c r="A5950" s="136" t="str">
        <f t="shared" si="30"/>
        <v/>
      </c>
      <c r="B5950" s="136" t="str">
        <f t="shared" si="31"/>
        <v/>
      </c>
    </row>
    <row r="5951" spans="1:2">
      <c r="A5951" s="136" t="str">
        <f t="shared" si="30"/>
        <v/>
      </c>
      <c r="B5951" s="136" t="str">
        <f t="shared" si="31"/>
        <v/>
      </c>
    </row>
    <row r="5952" spans="1:2">
      <c r="A5952" s="136" t="str">
        <f t="shared" si="30"/>
        <v/>
      </c>
      <c r="B5952" s="136" t="str">
        <f t="shared" si="31"/>
        <v/>
      </c>
    </row>
    <row r="5953" spans="1:2">
      <c r="A5953" s="136" t="str">
        <f t="shared" si="30"/>
        <v/>
      </c>
      <c r="B5953" s="136" t="str">
        <f t="shared" si="31"/>
        <v/>
      </c>
    </row>
    <row r="5954" spans="1:2">
      <c r="A5954" s="136" t="str">
        <f t="shared" si="30"/>
        <v/>
      </c>
      <c r="B5954" s="136" t="str">
        <f t="shared" si="31"/>
        <v/>
      </c>
    </row>
    <row r="5955" spans="1:2">
      <c r="A5955" s="136" t="str">
        <f t="shared" si="30"/>
        <v/>
      </c>
      <c r="B5955" s="136" t="str">
        <f t="shared" si="31"/>
        <v/>
      </c>
    </row>
    <row r="5956" spans="1:2">
      <c r="A5956" s="136" t="str">
        <f t="shared" si="30"/>
        <v/>
      </c>
      <c r="B5956" s="136" t="str">
        <f t="shared" si="31"/>
        <v/>
      </c>
    </row>
    <row r="5957" spans="1:2">
      <c r="A5957" s="136" t="str">
        <f t="shared" si="30"/>
        <v/>
      </c>
      <c r="B5957" s="136" t="str">
        <f t="shared" si="31"/>
        <v/>
      </c>
    </row>
    <row r="5958" spans="1:2">
      <c r="A5958" s="136" t="str">
        <f t="shared" si="30"/>
        <v/>
      </c>
      <c r="B5958" s="136" t="str">
        <f t="shared" si="31"/>
        <v/>
      </c>
    </row>
    <row r="5959" spans="1:2">
      <c r="A5959" s="136" t="str">
        <f t="shared" si="30"/>
        <v/>
      </c>
      <c r="B5959" s="136" t="str">
        <f t="shared" si="31"/>
        <v/>
      </c>
    </row>
    <row r="5960" spans="1:2">
      <c r="A5960" s="136" t="str">
        <f t="shared" si="30"/>
        <v/>
      </c>
      <c r="B5960" s="136" t="str">
        <f t="shared" si="31"/>
        <v/>
      </c>
    </row>
    <row r="5961" spans="1:2">
      <c r="A5961" s="136" t="str">
        <f t="shared" si="30"/>
        <v/>
      </c>
      <c r="B5961" s="136" t="str">
        <f t="shared" si="31"/>
        <v/>
      </c>
    </row>
    <row r="5962" spans="1:2">
      <c r="A5962" s="136" t="str">
        <f t="shared" si="30"/>
        <v/>
      </c>
      <c r="B5962" s="136" t="str">
        <f t="shared" si="31"/>
        <v/>
      </c>
    </row>
    <row r="5963" spans="1:2">
      <c r="A5963" s="136" t="str">
        <f t="shared" si="30"/>
        <v/>
      </c>
      <c r="B5963" s="136" t="str">
        <f t="shared" si="31"/>
        <v/>
      </c>
    </row>
    <row r="5964" spans="1:2">
      <c r="A5964" s="136" t="str">
        <f t="shared" si="30"/>
        <v/>
      </c>
      <c r="B5964" s="136" t="str">
        <f t="shared" si="31"/>
        <v/>
      </c>
    </row>
    <row r="5965" spans="1:2">
      <c r="A5965" s="136" t="str">
        <f t="shared" si="30"/>
        <v/>
      </c>
      <c r="B5965" s="136" t="str">
        <f t="shared" si="31"/>
        <v/>
      </c>
    </row>
    <row r="5966" spans="1:2">
      <c r="A5966" s="136" t="str">
        <f t="shared" si="30"/>
        <v/>
      </c>
      <c r="B5966" s="136" t="str">
        <f t="shared" si="31"/>
        <v/>
      </c>
    </row>
    <row r="5967" spans="1:2">
      <c r="A5967" s="136" t="str">
        <f t="shared" si="30"/>
        <v/>
      </c>
      <c r="B5967" s="136" t="str">
        <f t="shared" si="31"/>
        <v/>
      </c>
    </row>
    <row r="5968" spans="1:2">
      <c r="A5968" s="136" t="str">
        <f t="shared" si="30"/>
        <v/>
      </c>
      <c r="B5968" s="136" t="str">
        <f t="shared" si="31"/>
        <v/>
      </c>
    </row>
    <row r="5969" spans="1:2">
      <c r="A5969" s="136" t="str">
        <f t="shared" si="30"/>
        <v/>
      </c>
      <c r="B5969" s="136" t="str">
        <f t="shared" si="31"/>
        <v/>
      </c>
    </row>
    <row r="5970" spans="1:2">
      <c r="A5970" s="136" t="str">
        <f t="shared" si="30"/>
        <v/>
      </c>
      <c r="B5970" s="136" t="str">
        <f t="shared" si="31"/>
        <v/>
      </c>
    </row>
    <row r="5971" spans="1:2">
      <c r="A5971" s="136" t="str">
        <f t="shared" si="30"/>
        <v/>
      </c>
      <c r="B5971" s="136" t="str">
        <f t="shared" si="31"/>
        <v/>
      </c>
    </row>
    <row r="5972" spans="1:2">
      <c r="A5972" s="136" t="str">
        <f t="shared" si="30"/>
        <v/>
      </c>
      <c r="B5972" s="136" t="str">
        <f t="shared" si="31"/>
        <v/>
      </c>
    </row>
    <row r="5973" spans="1:2">
      <c r="A5973" s="136" t="str">
        <f t="shared" ref="A5973:A6036" si="32">HYPERLINK("http://tw.stock.yahoo.com/q/ta?s=","")</f>
        <v/>
      </c>
      <c r="B5973" s="136" t="str">
        <f t="shared" ref="B5973:B6036" si="33">HYPERLINK("http://tw.stock.yahoo.com/d/s/earning_.html","")</f>
        <v/>
      </c>
    </row>
    <row r="5974" spans="1:2">
      <c r="A5974" s="136" t="str">
        <f t="shared" si="32"/>
        <v/>
      </c>
      <c r="B5974" s="136" t="str">
        <f t="shared" si="33"/>
        <v/>
      </c>
    </row>
    <row r="5975" spans="1:2">
      <c r="A5975" s="136" t="str">
        <f t="shared" si="32"/>
        <v/>
      </c>
      <c r="B5975" s="136" t="str">
        <f t="shared" si="33"/>
        <v/>
      </c>
    </row>
    <row r="5976" spans="1:2">
      <c r="A5976" s="136" t="str">
        <f t="shared" si="32"/>
        <v/>
      </c>
      <c r="B5976" s="136" t="str">
        <f t="shared" si="33"/>
        <v/>
      </c>
    </row>
    <row r="5977" spans="1:2">
      <c r="A5977" s="136" t="str">
        <f t="shared" si="32"/>
        <v/>
      </c>
      <c r="B5977" s="136" t="str">
        <f t="shared" si="33"/>
        <v/>
      </c>
    </row>
    <row r="5978" spans="1:2">
      <c r="A5978" s="136" t="str">
        <f t="shared" si="32"/>
        <v/>
      </c>
      <c r="B5978" s="136" t="str">
        <f t="shared" si="33"/>
        <v/>
      </c>
    </row>
    <row r="5979" spans="1:2">
      <c r="A5979" s="136" t="str">
        <f t="shared" si="32"/>
        <v/>
      </c>
      <c r="B5979" s="136" t="str">
        <f t="shared" si="33"/>
        <v/>
      </c>
    </row>
    <row r="5980" spans="1:2">
      <c r="A5980" s="136" t="str">
        <f t="shared" si="32"/>
        <v/>
      </c>
      <c r="B5980" s="136" t="str">
        <f t="shared" si="33"/>
        <v/>
      </c>
    </row>
    <row r="5981" spans="1:2">
      <c r="A5981" s="136" t="str">
        <f t="shared" si="32"/>
        <v/>
      </c>
      <c r="B5981" s="136" t="str">
        <f t="shared" si="33"/>
        <v/>
      </c>
    </row>
    <row r="5982" spans="1:2">
      <c r="A5982" s="136" t="str">
        <f t="shared" si="32"/>
        <v/>
      </c>
      <c r="B5982" s="136" t="str">
        <f t="shared" si="33"/>
        <v/>
      </c>
    </row>
    <row r="5983" spans="1:2">
      <c r="A5983" s="136" t="str">
        <f t="shared" si="32"/>
        <v/>
      </c>
      <c r="B5983" s="136" t="str">
        <f t="shared" si="33"/>
        <v/>
      </c>
    </row>
    <row r="5984" spans="1:2">
      <c r="A5984" s="136" t="str">
        <f t="shared" si="32"/>
        <v/>
      </c>
      <c r="B5984" s="136" t="str">
        <f t="shared" si="33"/>
        <v/>
      </c>
    </row>
    <row r="5985" spans="1:2">
      <c r="A5985" s="136" t="str">
        <f t="shared" si="32"/>
        <v/>
      </c>
      <c r="B5985" s="136" t="str">
        <f t="shared" si="33"/>
        <v/>
      </c>
    </row>
    <row r="5986" spans="1:2">
      <c r="A5986" s="136" t="str">
        <f t="shared" si="32"/>
        <v/>
      </c>
      <c r="B5986" s="136" t="str">
        <f t="shared" si="33"/>
        <v/>
      </c>
    </row>
    <row r="5987" spans="1:2">
      <c r="A5987" s="136" t="str">
        <f t="shared" si="32"/>
        <v/>
      </c>
      <c r="B5987" s="136" t="str">
        <f t="shared" si="33"/>
        <v/>
      </c>
    </row>
    <row r="5988" spans="1:2">
      <c r="A5988" s="136" t="str">
        <f t="shared" si="32"/>
        <v/>
      </c>
      <c r="B5988" s="136" t="str">
        <f t="shared" si="33"/>
        <v/>
      </c>
    </row>
    <row r="5989" spans="1:2">
      <c r="A5989" s="136" t="str">
        <f t="shared" si="32"/>
        <v/>
      </c>
      <c r="B5989" s="136" t="str">
        <f t="shared" si="33"/>
        <v/>
      </c>
    </row>
    <row r="5990" spans="1:2">
      <c r="A5990" s="136" t="str">
        <f t="shared" si="32"/>
        <v/>
      </c>
      <c r="B5990" s="136" t="str">
        <f t="shared" si="33"/>
        <v/>
      </c>
    </row>
    <row r="5991" spans="1:2">
      <c r="A5991" s="136" t="str">
        <f t="shared" si="32"/>
        <v/>
      </c>
      <c r="B5991" s="136" t="str">
        <f t="shared" si="33"/>
        <v/>
      </c>
    </row>
    <row r="5992" spans="1:2">
      <c r="A5992" s="136" t="str">
        <f t="shared" si="32"/>
        <v/>
      </c>
      <c r="B5992" s="136" t="str">
        <f t="shared" si="33"/>
        <v/>
      </c>
    </row>
    <row r="5993" spans="1:2">
      <c r="A5993" s="136" t="str">
        <f t="shared" si="32"/>
        <v/>
      </c>
      <c r="B5993" s="136" t="str">
        <f t="shared" si="33"/>
        <v/>
      </c>
    </row>
    <row r="5994" spans="1:2">
      <c r="A5994" s="136" t="str">
        <f t="shared" si="32"/>
        <v/>
      </c>
      <c r="B5994" s="136" t="str">
        <f t="shared" si="33"/>
        <v/>
      </c>
    </row>
    <row r="5995" spans="1:2">
      <c r="A5995" s="136" t="str">
        <f t="shared" si="32"/>
        <v/>
      </c>
      <c r="B5995" s="136" t="str">
        <f t="shared" si="33"/>
        <v/>
      </c>
    </row>
    <row r="5996" spans="1:2">
      <c r="A5996" s="136" t="str">
        <f t="shared" si="32"/>
        <v/>
      </c>
      <c r="B5996" s="136" t="str">
        <f t="shared" si="33"/>
        <v/>
      </c>
    </row>
    <row r="5997" spans="1:2">
      <c r="A5997" s="136" t="str">
        <f t="shared" si="32"/>
        <v/>
      </c>
      <c r="B5997" s="136" t="str">
        <f t="shared" si="33"/>
        <v/>
      </c>
    </row>
    <row r="5998" spans="1:2">
      <c r="A5998" s="136" t="str">
        <f t="shared" si="32"/>
        <v/>
      </c>
      <c r="B5998" s="136" t="str">
        <f t="shared" si="33"/>
        <v/>
      </c>
    </row>
    <row r="5999" spans="1:2">
      <c r="A5999" s="136" t="str">
        <f t="shared" si="32"/>
        <v/>
      </c>
      <c r="B5999" s="136" t="str">
        <f t="shared" si="33"/>
        <v/>
      </c>
    </row>
    <row r="6000" spans="1:2">
      <c r="A6000" s="136" t="str">
        <f t="shared" si="32"/>
        <v/>
      </c>
      <c r="B6000" s="136" t="str">
        <f t="shared" si="33"/>
        <v/>
      </c>
    </row>
    <row r="6001" spans="1:2">
      <c r="A6001" s="136" t="str">
        <f t="shared" si="32"/>
        <v/>
      </c>
      <c r="B6001" s="136" t="str">
        <f t="shared" si="33"/>
        <v/>
      </c>
    </row>
    <row r="6002" spans="1:2">
      <c r="A6002" s="136" t="str">
        <f t="shared" si="32"/>
        <v/>
      </c>
      <c r="B6002" s="136" t="str">
        <f t="shared" si="33"/>
        <v/>
      </c>
    </row>
    <row r="6003" spans="1:2">
      <c r="A6003" s="136" t="str">
        <f t="shared" si="32"/>
        <v/>
      </c>
      <c r="B6003" s="136" t="str">
        <f t="shared" si="33"/>
        <v/>
      </c>
    </row>
    <row r="6004" spans="1:2">
      <c r="A6004" s="136" t="str">
        <f t="shared" si="32"/>
        <v/>
      </c>
      <c r="B6004" s="136" t="str">
        <f t="shared" si="33"/>
        <v/>
      </c>
    </row>
    <row r="6005" spans="1:2">
      <c r="A6005" s="136" t="str">
        <f t="shared" si="32"/>
        <v/>
      </c>
      <c r="B6005" s="136" t="str">
        <f t="shared" si="33"/>
        <v/>
      </c>
    </row>
    <row r="6006" spans="1:2">
      <c r="A6006" s="136" t="str">
        <f t="shared" si="32"/>
        <v/>
      </c>
      <c r="B6006" s="136" t="str">
        <f t="shared" si="33"/>
        <v/>
      </c>
    </row>
    <row r="6007" spans="1:2">
      <c r="A6007" s="136" t="str">
        <f t="shared" si="32"/>
        <v/>
      </c>
      <c r="B6007" s="136" t="str">
        <f t="shared" si="33"/>
        <v/>
      </c>
    </row>
    <row r="6008" spans="1:2">
      <c r="A6008" s="136" t="str">
        <f t="shared" si="32"/>
        <v/>
      </c>
      <c r="B6008" s="136" t="str">
        <f t="shared" si="33"/>
        <v/>
      </c>
    </row>
    <row r="6009" spans="1:2">
      <c r="A6009" s="136" t="str">
        <f t="shared" si="32"/>
        <v/>
      </c>
      <c r="B6009" s="136" t="str">
        <f t="shared" si="33"/>
        <v/>
      </c>
    </row>
    <row r="6010" spans="1:2">
      <c r="A6010" s="136" t="str">
        <f t="shared" si="32"/>
        <v/>
      </c>
      <c r="B6010" s="136" t="str">
        <f t="shared" si="33"/>
        <v/>
      </c>
    </row>
    <row r="6011" spans="1:2">
      <c r="A6011" s="136" t="str">
        <f t="shared" si="32"/>
        <v/>
      </c>
      <c r="B6011" s="136" t="str">
        <f t="shared" si="33"/>
        <v/>
      </c>
    </row>
    <row r="6012" spans="1:2">
      <c r="A6012" s="136" t="str">
        <f t="shared" si="32"/>
        <v/>
      </c>
      <c r="B6012" s="136" t="str">
        <f t="shared" si="33"/>
        <v/>
      </c>
    </row>
    <row r="6013" spans="1:2">
      <c r="A6013" s="136" t="str">
        <f t="shared" si="32"/>
        <v/>
      </c>
      <c r="B6013" s="136" t="str">
        <f t="shared" si="33"/>
        <v/>
      </c>
    </row>
    <row r="6014" spans="1:2">
      <c r="A6014" s="136" t="str">
        <f t="shared" si="32"/>
        <v/>
      </c>
      <c r="B6014" s="136" t="str">
        <f t="shared" si="33"/>
        <v/>
      </c>
    </row>
    <row r="6015" spans="1:2">
      <c r="A6015" s="136" t="str">
        <f t="shared" si="32"/>
        <v/>
      </c>
      <c r="B6015" s="136" t="str">
        <f t="shared" si="33"/>
        <v/>
      </c>
    </row>
    <row r="6016" spans="1:2">
      <c r="A6016" s="136" t="str">
        <f t="shared" si="32"/>
        <v/>
      </c>
      <c r="B6016" s="136" t="str">
        <f t="shared" si="33"/>
        <v/>
      </c>
    </row>
    <row r="6017" spans="1:2">
      <c r="A6017" s="136" t="str">
        <f t="shared" si="32"/>
        <v/>
      </c>
      <c r="B6017" s="136" t="str">
        <f t="shared" si="33"/>
        <v/>
      </c>
    </row>
    <row r="6018" spans="1:2">
      <c r="A6018" s="136" t="str">
        <f t="shared" si="32"/>
        <v/>
      </c>
      <c r="B6018" s="136" t="str">
        <f t="shared" si="33"/>
        <v/>
      </c>
    </row>
    <row r="6019" spans="1:2">
      <c r="A6019" s="136" t="str">
        <f t="shared" si="32"/>
        <v/>
      </c>
      <c r="B6019" s="136" t="str">
        <f t="shared" si="33"/>
        <v/>
      </c>
    </row>
    <row r="6020" spans="1:2">
      <c r="A6020" s="136" t="str">
        <f t="shared" si="32"/>
        <v/>
      </c>
      <c r="B6020" s="136" t="str">
        <f t="shared" si="33"/>
        <v/>
      </c>
    </row>
    <row r="6021" spans="1:2">
      <c r="A6021" s="136" t="str">
        <f t="shared" si="32"/>
        <v/>
      </c>
      <c r="B6021" s="136" t="str">
        <f t="shared" si="33"/>
        <v/>
      </c>
    </row>
    <row r="6022" spans="1:2">
      <c r="A6022" s="136" t="str">
        <f t="shared" si="32"/>
        <v/>
      </c>
      <c r="B6022" s="136" t="str">
        <f t="shared" si="33"/>
        <v/>
      </c>
    </row>
    <row r="6023" spans="1:2">
      <c r="A6023" s="136" t="str">
        <f t="shared" si="32"/>
        <v/>
      </c>
      <c r="B6023" s="136" t="str">
        <f t="shared" si="33"/>
        <v/>
      </c>
    </row>
    <row r="6024" spans="1:2">
      <c r="A6024" s="136" t="str">
        <f t="shared" si="32"/>
        <v/>
      </c>
      <c r="B6024" s="136" t="str">
        <f t="shared" si="33"/>
        <v/>
      </c>
    </row>
    <row r="6025" spans="1:2">
      <c r="A6025" s="136" t="str">
        <f t="shared" si="32"/>
        <v/>
      </c>
      <c r="B6025" s="136" t="str">
        <f t="shared" si="33"/>
        <v/>
      </c>
    </row>
    <row r="6026" spans="1:2">
      <c r="A6026" s="136" t="str">
        <f t="shared" si="32"/>
        <v/>
      </c>
      <c r="B6026" s="136" t="str">
        <f t="shared" si="33"/>
        <v/>
      </c>
    </row>
    <row r="6027" spans="1:2">
      <c r="A6027" s="136" t="str">
        <f t="shared" si="32"/>
        <v/>
      </c>
      <c r="B6027" s="136" t="str">
        <f t="shared" si="33"/>
        <v/>
      </c>
    </row>
    <row r="6028" spans="1:2">
      <c r="A6028" s="136" t="str">
        <f t="shared" si="32"/>
        <v/>
      </c>
      <c r="B6028" s="136" t="str">
        <f t="shared" si="33"/>
        <v/>
      </c>
    </row>
    <row r="6029" spans="1:2">
      <c r="A6029" s="136" t="str">
        <f t="shared" si="32"/>
        <v/>
      </c>
      <c r="B6029" s="136" t="str">
        <f t="shared" si="33"/>
        <v/>
      </c>
    </row>
    <row r="6030" spans="1:2">
      <c r="A6030" s="136" t="str">
        <f t="shared" si="32"/>
        <v/>
      </c>
      <c r="B6030" s="136" t="str">
        <f t="shared" si="33"/>
        <v/>
      </c>
    </row>
    <row r="6031" spans="1:2">
      <c r="A6031" s="136" t="str">
        <f t="shared" si="32"/>
        <v/>
      </c>
      <c r="B6031" s="136" t="str">
        <f t="shared" si="33"/>
        <v/>
      </c>
    </row>
    <row r="6032" spans="1:2">
      <c r="A6032" s="136" t="str">
        <f t="shared" si="32"/>
        <v/>
      </c>
      <c r="B6032" s="136" t="str">
        <f t="shared" si="33"/>
        <v/>
      </c>
    </row>
    <row r="6033" spans="1:2">
      <c r="A6033" s="136" t="str">
        <f t="shared" si="32"/>
        <v/>
      </c>
      <c r="B6033" s="136" t="str">
        <f t="shared" si="33"/>
        <v/>
      </c>
    </row>
    <row r="6034" spans="1:2">
      <c r="A6034" s="136" t="str">
        <f t="shared" si="32"/>
        <v/>
      </c>
      <c r="B6034" s="136" t="str">
        <f t="shared" si="33"/>
        <v/>
      </c>
    </row>
    <row r="6035" spans="1:2">
      <c r="A6035" s="136" t="str">
        <f t="shared" si="32"/>
        <v/>
      </c>
      <c r="B6035" s="136" t="str">
        <f t="shared" si="33"/>
        <v/>
      </c>
    </row>
    <row r="6036" spans="1:2">
      <c r="A6036" s="136" t="str">
        <f t="shared" si="32"/>
        <v/>
      </c>
      <c r="B6036" s="136" t="str">
        <f t="shared" si="33"/>
        <v/>
      </c>
    </row>
    <row r="6037" spans="1:2">
      <c r="A6037" s="136" t="str">
        <f t="shared" ref="A6037:A6100" si="34">HYPERLINK("http://tw.stock.yahoo.com/q/ta?s=","")</f>
        <v/>
      </c>
      <c r="B6037" s="136" t="str">
        <f t="shared" ref="B6037:B6100" si="35">HYPERLINK("http://tw.stock.yahoo.com/d/s/earning_.html","")</f>
        <v/>
      </c>
    </row>
    <row r="6038" spans="1:2">
      <c r="A6038" s="136" t="str">
        <f t="shared" si="34"/>
        <v/>
      </c>
      <c r="B6038" s="136" t="str">
        <f t="shared" si="35"/>
        <v/>
      </c>
    </row>
    <row r="6039" spans="1:2">
      <c r="A6039" s="136" t="str">
        <f t="shared" si="34"/>
        <v/>
      </c>
      <c r="B6039" s="136" t="str">
        <f t="shared" si="35"/>
        <v/>
      </c>
    </row>
    <row r="6040" spans="1:2">
      <c r="A6040" s="136" t="str">
        <f t="shared" si="34"/>
        <v/>
      </c>
      <c r="B6040" s="136" t="str">
        <f t="shared" si="35"/>
        <v/>
      </c>
    </row>
    <row r="6041" spans="1:2">
      <c r="A6041" s="136" t="str">
        <f t="shared" si="34"/>
        <v/>
      </c>
      <c r="B6041" s="136" t="str">
        <f t="shared" si="35"/>
        <v/>
      </c>
    </row>
    <row r="6042" spans="1:2">
      <c r="A6042" s="136" t="str">
        <f t="shared" si="34"/>
        <v/>
      </c>
      <c r="B6042" s="136" t="str">
        <f t="shared" si="35"/>
        <v/>
      </c>
    </row>
    <row r="6043" spans="1:2">
      <c r="A6043" s="136" t="str">
        <f t="shared" si="34"/>
        <v/>
      </c>
      <c r="B6043" s="136" t="str">
        <f t="shared" si="35"/>
        <v/>
      </c>
    </row>
    <row r="6044" spans="1:2">
      <c r="A6044" s="136" t="str">
        <f t="shared" si="34"/>
        <v/>
      </c>
      <c r="B6044" s="136" t="str">
        <f t="shared" si="35"/>
        <v/>
      </c>
    </row>
    <row r="6045" spans="1:2">
      <c r="A6045" s="136" t="str">
        <f t="shared" si="34"/>
        <v/>
      </c>
      <c r="B6045" s="136" t="str">
        <f t="shared" si="35"/>
        <v/>
      </c>
    </row>
    <row r="6046" spans="1:2">
      <c r="A6046" s="136" t="str">
        <f t="shared" si="34"/>
        <v/>
      </c>
      <c r="B6046" s="136" t="str">
        <f t="shared" si="35"/>
        <v/>
      </c>
    </row>
    <row r="6047" spans="1:2">
      <c r="A6047" s="136" t="str">
        <f t="shared" si="34"/>
        <v/>
      </c>
      <c r="B6047" s="136" t="str">
        <f t="shared" si="35"/>
        <v/>
      </c>
    </row>
    <row r="6048" spans="1:2">
      <c r="A6048" s="136" t="str">
        <f t="shared" si="34"/>
        <v/>
      </c>
      <c r="B6048" s="136" t="str">
        <f t="shared" si="35"/>
        <v/>
      </c>
    </row>
    <row r="6049" spans="1:2">
      <c r="A6049" s="136" t="str">
        <f t="shared" si="34"/>
        <v/>
      </c>
      <c r="B6049" s="136" t="str">
        <f t="shared" si="35"/>
        <v/>
      </c>
    </row>
    <row r="6050" spans="1:2">
      <c r="A6050" s="136" t="str">
        <f t="shared" si="34"/>
        <v/>
      </c>
      <c r="B6050" s="136" t="str">
        <f t="shared" si="35"/>
        <v/>
      </c>
    </row>
    <row r="6051" spans="1:2">
      <c r="A6051" s="136" t="str">
        <f t="shared" si="34"/>
        <v/>
      </c>
      <c r="B6051" s="136" t="str">
        <f t="shared" si="35"/>
        <v/>
      </c>
    </row>
    <row r="6052" spans="1:2">
      <c r="A6052" s="136" t="str">
        <f t="shared" si="34"/>
        <v/>
      </c>
      <c r="B6052" s="136" t="str">
        <f t="shared" si="35"/>
        <v/>
      </c>
    </row>
    <row r="6053" spans="1:2">
      <c r="A6053" s="136" t="str">
        <f t="shared" si="34"/>
        <v/>
      </c>
      <c r="B6053" s="136" t="str">
        <f t="shared" si="35"/>
        <v/>
      </c>
    </row>
    <row r="6054" spans="1:2">
      <c r="A6054" s="136" t="str">
        <f t="shared" si="34"/>
        <v/>
      </c>
      <c r="B6054" s="136" t="str">
        <f t="shared" si="35"/>
        <v/>
      </c>
    </row>
    <row r="6055" spans="1:2">
      <c r="A6055" s="136" t="str">
        <f t="shared" si="34"/>
        <v/>
      </c>
      <c r="B6055" s="136" t="str">
        <f t="shared" si="35"/>
        <v/>
      </c>
    </row>
    <row r="6056" spans="1:2">
      <c r="A6056" s="136" t="str">
        <f t="shared" si="34"/>
        <v/>
      </c>
      <c r="B6056" s="136" t="str">
        <f t="shared" si="35"/>
        <v/>
      </c>
    </row>
    <row r="6057" spans="1:2">
      <c r="A6057" s="136" t="str">
        <f t="shared" si="34"/>
        <v/>
      </c>
      <c r="B6057" s="136" t="str">
        <f t="shared" si="35"/>
        <v/>
      </c>
    </row>
    <row r="6058" spans="1:2">
      <c r="A6058" s="136" t="str">
        <f t="shared" si="34"/>
        <v/>
      </c>
      <c r="B6058" s="136" t="str">
        <f t="shared" si="35"/>
        <v/>
      </c>
    </row>
    <row r="6059" spans="1:2">
      <c r="A6059" s="136" t="str">
        <f t="shared" si="34"/>
        <v/>
      </c>
      <c r="B6059" s="136" t="str">
        <f t="shared" si="35"/>
        <v/>
      </c>
    </row>
    <row r="6060" spans="1:2">
      <c r="A6060" s="136" t="str">
        <f t="shared" si="34"/>
        <v/>
      </c>
      <c r="B6060" s="136" t="str">
        <f t="shared" si="35"/>
        <v/>
      </c>
    </row>
    <row r="6061" spans="1:2">
      <c r="A6061" s="136" t="str">
        <f t="shared" si="34"/>
        <v/>
      </c>
      <c r="B6061" s="136" t="str">
        <f t="shared" si="35"/>
        <v/>
      </c>
    </row>
    <row r="6062" spans="1:2">
      <c r="A6062" s="136" t="str">
        <f t="shared" si="34"/>
        <v/>
      </c>
      <c r="B6062" s="136" t="str">
        <f t="shared" si="35"/>
        <v/>
      </c>
    </row>
    <row r="6063" spans="1:2">
      <c r="A6063" s="136" t="str">
        <f t="shared" si="34"/>
        <v/>
      </c>
      <c r="B6063" s="136" t="str">
        <f t="shared" si="35"/>
        <v/>
      </c>
    </row>
    <row r="6064" spans="1:2">
      <c r="A6064" s="136" t="str">
        <f t="shared" si="34"/>
        <v/>
      </c>
      <c r="B6064" s="136" t="str">
        <f t="shared" si="35"/>
        <v/>
      </c>
    </row>
    <row r="6065" spans="1:2">
      <c r="A6065" s="136" t="str">
        <f t="shared" si="34"/>
        <v/>
      </c>
      <c r="B6065" s="136" t="str">
        <f t="shared" si="35"/>
        <v/>
      </c>
    </row>
    <row r="6066" spans="1:2">
      <c r="A6066" s="136" t="str">
        <f t="shared" si="34"/>
        <v/>
      </c>
      <c r="B6066" s="136" t="str">
        <f t="shared" si="35"/>
        <v/>
      </c>
    </row>
    <row r="6067" spans="1:2">
      <c r="A6067" s="136" t="str">
        <f t="shared" si="34"/>
        <v/>
      </c>
      <c r="B6067" s="136" t="str">
        <f t="shared" si="35"/>
        <v/>
      </c>
    </row>
    <row r="6068" spans="1:2">
      <c r="A6068" s="136" t="str">
        <f t="shared" si="34"/>
        <v/>
      </c>
      <c r="B6068" s="136" t="str">
        <f t="shared" si="35"/>
        <v/>
      </c>
    </row>
    <row r="6069" spans="1:2">
      <c r="A6069" s="136" t="str">
        <f t="shared" si="34"/>
        <v/>
      </c>
      <c r="B6069" s="136" t="str">
        <f t="shared" si="35"/>
        <v/>
      </c>
    </row>
    <row r="6070" spans="1:2">
      <c r="A6070" s="136" t="str">
        <f t="shared" si="34"/>
        <v/>
      </c>
      <c r="B6070" s="136" t="str">
        <f t="shared" si="35"/>
        <v/>
      </c>
    </row>
    <row r="6071" spans="1:2">
      <c r="A6071" s="136" t="str">
        <f t="shared" si="34"/>
        <v/>
      </c>
      <c r="B6071" s="136" t="str">
        <f t="shared" si="35"/>
        <v/>
      </c>
    </row>
    <row r="6072" spans="1:2">
      <c r="A6072" s="136" t="str">
        <f t="shared" si="34"/>
        <v/>
      </c>
      <c r="B6072" s="136" t="str">
        <f t="shared" si="35"/>
        <v/>
      </c>
    </row>
    <row r="6073" spans="1:2">
      <c r="A6073" s="136" t="str">
        <f t="shared" si="34"/>
        <v/>
      </c>
      <c r="B6073" s="136" t="str">
        <f t="shared" si="35"/>
        <v/>
      </c>
    </row>
    <row r="6074" spans="1:2">
      <c r="A6074" s="136" t="str">
        <f t="shared" si="34"/>
        <v/>
      </c>
      <c r="B6074" s="136" t="str">
        <f t="shared" si="35"/>
        <v/>
      </c>
    </row>
    <row r="6075" spans="1:2">
      <c r="A6075" s="136" t="str">
        <f t="shared" si="34"/>
        <v/>
      </c>
      <c r="B6075" s="136" t="str">
        <f t="shared" si="35"/>
        <v/>
      </c>
    </row>
    <row r="6076" spans="1:2">
      <c r="A6076" s="136" t="str">
        <f t="shared" si="34"/>
        <v/>
      </c>
      <c r="B6076" s="136" t="str">
        <f t="shared" si="35"/>
        <v/>
      </c>
    </row>
    <row r="6077" spans="1:2">
      <c r="A6077" s="136" t="str">
        <f t="shared" si="34"/>
        <v/>
      </c>
      <c r="B6077" s="136" t="str">
        <f t="shared" si="35"/>
        <v/>
      </c>
    </row>
    <row r="6078" spans="1:2">
      <c r="A6078" s="136" t="str">
        <f t="shared" si="34"/>
        <v/>
      </c>
      <c r="B6078" s="136" t="str">
        <f t="shared" si="35"/>
        <v/>
      </c>
    </row>
    <row r="6079" spans="1:2">
      <c r="A6079" s="136" t="str">
        <f t="shared" si="34"/>
        <v/>
      </c>
      <c r="B6079" s="136" t="str">
        <f t="shared" si="35"/>
        <v/>
      </c>
    </row>
    <row r="6080" spans="1:2">
      <c r="A6080" s="136" t="str">
        <f t="shared" si="34"/>
        <v/>
      </c>
      <c r="B6080" s="136" t="str">
        <f t="shared" si="35"/>
        <v/>
      </c>
    </row>
    <row r="6081" spans="1:2">
      <c r="A6081" s="136" t="str">
        <f t="shared" si="34"/>
        <v/>
      </c>
      <c r="B6081" s="136" t="str">
        <f t="shared" si="35"/>
        <v/>
      </c>
    </row>
    <row r="6082" spans="1:2">
      <c r="A6082" s="136" t="str">
        <f t="shared" si="34"/>
        <v/>
      </c>
      <c r="B6082" s="136" t="str">
        <f t="shared" si="35"/>
        <v/>
      </c>
    </row>
    <row r="6083" spans="1:2">
      <c r="A6083" s="136" t="str">
        <f t="shared" si="34"/>
        <v/>
      </c>
      <c r="B6083" s="136" t="str">
        <f t="shared" si="35"/>
        <v/>
      </c>
    </row>
    <row r="6084" spans="1:2">
      <c r="A6084" s="136" t="str">
        <f t="shared" si="34"/>
        <v/>
      </c>
      <c r="B6084" s="136" t="str">
        <f t="shared" si="35"/>
        <v/>
      </c>
    </row>
    <row r="6085" spans="1:2">
      <c r="A6085" s="136" t="str">
        <f t="shared" si="34"/>
        <v/>
      </c>
      <c r="B6085" s="136" t="str">
        <f t="shared" si="35"/>
        <v/>
      </c>
    </row>
    <row r="6086" spans="1:2">
      <c r="A6086" s="136" t="str">
        <f t="shared" si="34"/>
        <v/>
      </c>
      <c r="B6086" s="136" t="str">
        <f t="shared" si="35"/>
        <v/>
      </c>
    </row>
    <row r="6087" spans="1:2">
      <c r="A6087" s="136" t="str">
        <f t="shared" si="34"/>
        <v/>
      </c>
      <c r="B6087" s="136" t="str">
        <f t="shared" si="35"/>
        <v/>
      </c>
    </row>
    <row r="6088" spans="1:2">
      <c r="A6088" s="136" t="str">
        <f t="shared" si="34"/>
        <v/>
      </c>
      <c r="B6088" s="136" t="str">
        <f t="shared" si="35"/>
        <v/>
      </c>
    </row>
    <row r="6089" spans="1:2">
      <c r="A6089" s="136" t="str">
        <f t="shared" si="34"/>
        <v/>
      </c>
      <c r="B6089" s="136" t="str">
        <f t="shared" si="35"/>
        <v/>
      </c>
    </row>
    <row r="6090" spans="1:2">
      <c r="A6090" s="136" t="str">
        <f t="shared" si="34"/>
        <v/>
      </c>
      <c r="B6090" s="136" t="str">
        <f t="shared" si="35"/>
        <v/>
      </c>
    </row>
    <row r="6091" spans="1:2">
      <c r="A6091" s="136" t="str">
        <f t="shared" si="34"/>
        <v/>
      </c>
      <c r="B6091" s="136" t="str">
        <f t="shared" si="35"/>
        <v/>
      </c>
    </row>
    <row r="6092" spans="1:2">
      <c r="A6092" s="136" t="str">
        <f t="shared" si="34"/>
        <v/>
      </c>
      <c r="B6092" s="136" t="str">
        <f t="shared" si="35"/>
        <v/>
      </c>
    </row>
    <row r="6093" spans="1:2">
      <c r="A6093" s="136" t="str">
        <f t="shared" si="34"/>
        <v/>
      </c>
      <c r="B6093" s="136" t="str">
        <f t="shared" si="35"/>
        <v/>
      </c>
    </row>
    <row r="6094" spans="1:2">
      <c r="A6094" s="136" t="str">
        <f t="shared" si="34"/>
        <v/>
      </c>
      <c r="B6094" s="136" t="str">
        <f t="shared" si="35"/>
        <v/>
      </c>
    </row>
    <row r="6095" spans="1:2">
      <c r="A6095" s="136" t="str">
        <f t="shared" si="34"/>
        <v/>
      </c>
      <c r="B6095" s="136" t="str">
        <f t="shared" si="35"/>
        <v/>
      </c>
    </row>
    <row r="6096" spans="1:2">
      <c r="A6096" s="136" t="str">
        <f t="shared" si="34"/>
        <v/>
      </c>
      <c r="B6096" s="136" t="str">
        <f t="shared" si="35"/>
        <v/>
      </c>
    </row>
    <row r="6097" spans="1:2">
      <c r="A6097" s="136" t="str">
        <f t="shared" si="34"/>
        <v/>
      </c>
      <c r="B6097" s="136" t="str">
        <f t="shared" si="35"/>
        <v/>
      </c>
    </row>
    <row r="6098" spans="1:2">
      <c r="A6098" s="136" t="str">
        <f t="shared" si="34"/>
        <v/>
      </c>
      <c r="B6098" s="136" t="str">
        <f t="shared" si="35"/>
        <v/>
      </c>
    </row>
    <row r="6099" spans="1:2">
      <c r="A6099" s="136" t="str">
        <f t="shared" si="34"/>
        <v/>
      </c>
      <c r="B6099" s="136" t="str">
        <f t="shared" si="35"/>
        <v/>
      </c>
    </row>
    <row r="6100" spans="1:2">
      <c r="A6100" s="136" t="str">
        <f t="shared" si="34"/>
        <v/>
      </c>
      <c r="B6100" s="136" t="str">
        <f t="shared" si="35"/>
        <v/>
      </c>
    </row>
    <row r="6101" spans="1:2">
      <c r="A6101" s="136" t="str">
        <f t="shared" ref="A6101:A6164" si="36">HYPERLINK("http://tw.stock.yahoo.com/q/ta?s=","")</f>
        <v/>
      </c>
      <c r="B6101" s="136" t="str">
        <f t="shared" ref="B6101:B6164" si="37">HYPERLINK("http://tw.stock.yahoo.com/d/s/earning_.html","")</f>
        <v/>
      </c>
    </row>
    <row r="6102" spans="1:2">
      <c r="A6102" s="136" t="str">
        <f t="shared" si="36"/>
        <v/>
      </c>
      <c r="B6102" s="136" t="str">
        <f t="shared" si="37"/>
        <v/>
      </c>
    </row>
    <row r="6103" spans="1:2">
      <c r="A6103" s="136" t="str">
        <f t="shared" si="36"/>
        <v/>
      </c>
      <c r="B6103" s="136" t="str">
        <f t="shared" si="37"/>
        <v/>
      </c>
    </row>
    <row r="6104" spans="1:2">
      <c r="A6104" s="136" t="str">
        <f t="shared" si="36"/>
        <v/>
      </c>
      <c r="B6104" s="136" t="str">
        <f t="shared" si="37"/>
        <v/>
      </c>
    </row>
    <row r="6105" spans="1:2">
      <c r="A6105" s="136" t="str">
        <f t="shared" si="36"/>
        <v/>
      </c>
      <c r="B6105" s="136" t="str">
        <f t="shared" si="37"/>
        <v/>
      </c>
    </row>
    <row r="6106" spans="1:2">
      <c r="A6106" s="136" t="str">
        <f t="shared" si="36"/>
        <v/>
      </c>
      <c r="B6106" s="136" t="str">
        <f t="shared" si="37"/>
        <v/>
      </c>
    </row>
    <row r="6107" spans="1:2">
      <c r="A6107" s="136" t="str">
        <f t="shared" si="36"/>
        <v/>
      </c>
      <c r="B6107" s="136" t="str">
        <f t="shared" si="37"/>
        <v/>
      </c>
    </row>
    <row r="6108" spans="1:2">
      <c r="A6108" s="136" t="str">
        <f t="shared" si="36"/>
        <v/>
      </c>
      <c r="B6108" s="136" t="str">
        <f t="shared" si="37"/>
        <v/>
      </c>
    </row>
    <row r="6109" spans="1:2">
      <c r="A6109" s="136" t="str">
        <f t="shared" si="36"/>
        <v/>
      </c>
      <c r="B6109" s="136" t="str">
        <f t="shared" si="37"/>
        <v/>
      </c>
    </row>
    <row r="6110" spans="1:2">
      <c r="A6110" s="136" t="str">
        <f t="shared" si="36"/>
        <v/>
      </c>
      <c r="B6110" s="136" t="str">
        <f t="shared" si="37"/>
        <v/>
      </c>
    </row>
    <row r="6111" spans="1:2">
      <c r="A6111" s="136" t="str">
        <f t="shared" si="36"/>
        <v/>
      </c>
      <c r="B6111" s="136" t="str">
        <f t="shared" si="37"/>
        <v/>
      </c>
    </row>
    <row r="6112" spans="1:2">
      <c r="A6112" s="136" t="str">
        <f t="shared" si="36"/>
        <v/>
      </c>
      <c r="B6112" s="136" t="str">
        <f t="shared" si="37"/>
        <v/>
      </c>
    </row>
    <row r="6113" spans="1:2">
      <c r="A6113" s="136" t="str">
        <f t="shared" si="36"/>
        <v/>
      </c>
      <c r="B6113" s="136" t="str">
        <f t="shared" si="37"/>
        <v/>
      </c>
    </row>
    <row r="6114" spans="1:2">
      <c r="A6114" s="136" t="str">
        <f t="shared" si="36"/>
        <v/>
      </c>
      <c r="B6114" s="136" t="str">
        <f t="shared" si="37"/>
        <v/>
      </c>
    </row>
    <row r="6115" spans="1:2">
      <c r="A6115" s="136" t="str">
        <f t="shared" si="36"/>
        <v/>
      </c>
      <c r="B6115" s="136" t="str">
        <f t="shared" si="37"/>
        <v/>
      </c>
    </row>
    <row r="6116" spans="1:2">
      <c r="A6116" s="136" t="str">
        <f t="shared" si="36"/>
        <v/>
      </c>
      <c r="B6116" s="136" t="str">
        <f t="shared" si="37"/>
        <v/>
      </c>
    </row>
    <row r="6117" spans="1:2">
      <c r="A6117" s="136" t="str">
        <f t="shared" si="36"/>
        <v/>
      </c>
      <c r="B6117" s="136" t="str">
        <f t="shared" si="37"/>
        <v/>
      </c>
    </row>
    <row r="6118" spans="1:2">
      <c r="A6118" s="136" t="str">
        <f t="shared" si="36"/>
        <v/>
      </c>
      <c r="B6118" s="136" t="str">
        <f t="shared" si="37"/>
        <v/>
      </c>
    </row>
    <row r="6119" spans="1:2">
      <c r="A6119" s="136" t="str">
        <f t="shared" si="36"/>
        <v/>
      </c>
      <c r="B6119" s="136" t="str">
        <f t="shared" si="37"/>
        <v/>
      </c>
    </row>
    <row r="6120" spans="1:2">
      <c r="A6120" s="136" t="str">
        <f t="shared" si="36"/>
        <v/>
      </c>
      <c r="B6120" s="136" t="str">
        <f t="shared" si="37"/>
        <v/>
      </c>
    </row>
    <row r="6121" spans="1:2">
      <c r="A6121" s="136" t="str">
        <f t="shared" si="36"/>
        <v/>
      </c>
      <c r="B6121" s="136" t="str">
        <f t="shared" si="37"/>
        <v/>
      </c>
    </row>
    <row r="6122" spans="1:2">
      <c r="A6122" s="136" t="str">
        <f t="shared" si="36"/>
        <v/>
      </c>
      <c r="B6122" s="136" t="str">
        <f t="shared" si="37"/>
        <v/>
      </c>
    </row>
    <row r="6123" spans="1:2">
      <c r="A6123" s="136" t="str">
        <f t="shared" si="36"/>
        <v/>
      </c>
      <c r="B6123" s="136" t="str">
        <f t="shared" si="37"/>
        <v/>
      </c>
    </row>
    <row r="6124" spans="1:2">
      <c r="A6124" s="136" t="str">
        <f t="shared" si="36"/>
        <v/>
      </c>
      <c r="B6124" s="136" t="str">
        <f t="shared" si="37"/>
        <v/>
      </c>
    </row>
    <row r="6125" spans="1:2">
      <c r="A6125" s="136" t="str">
        <f t="shared" si="36"/>
        <v/>
      </c>
      <c r="B6125" s="136" t="str">
        <f t="shared" si="37"/>
        <v/>
      </c>
    </row>
    <row r="6126" spans="1:2">
      <c r="A6126" s="136" t="str">
        <f t="shared" si="36"/>
        <v/>
      </c>
      <c r="B6126" s="136" t="str">
        <f t="shared" si="37"/>
        <v/>
      </c>
    </row>
    <row r="6127" spans="1:2">
      <c r="A6127" s="136" t="str">
        <f t="shared" si="36"/>
        <v/>
      </c>
      <c r="B6127" s="136" t="str">
        <f t="shared" si="37"/>
        <v/>
      </c>
    </row>
    <row r="6128" spans="1:2">
      <c r="A6128" s="136" t="str">
        <f t="shared" si="36"/>
        <v/>
      </c>
      <c r="B6128" s="136" t="str">
        <f t="shared" si="37"/>
        <v/>
      </c>
    </row>
    <row r="6129" spans="1:2">
      <c r="A6129" s="136" t="str">
        <f t="shared" si="36"/>
        <v/>
      </c>
      <c r="B6129" s="136" t="str">
        <f t="shared" si="37"/>
        <v/>
      </c>
    </row>
    <row r="6130" spans="1:2">
      <c r="A6130" s="136" t="str">
        <f t="shared" si="36"/>
        <v/>
      </c>
      <c r="B6130" s="136" t="str">
        <f t="shared" si="37"/>
        <v/>
      </c>
    </row>
    <row r="6131" spans="1:2">
      <c r="A6131" s="136" t="str">
        <f t="shared" si="36"/>
        <v/>
      </c>
      <c r="B6131" s="136" t="str">
        <f t="shared" si="37"/>
        <v/>
      </c>
    </row>
    <row r="6132" spans="1:2">
      <c r="A6132" s="136" t="str">
        <f t="shared" si="36"/>
        <v/>
      </c>
      <c r="B6132" s="136" t="str">
        <f t="shared" si="37"/>
        <v/>
      </c>
    </row>
    <row r="6133" spans="1:2">
      <c r="A6133" s="136" t="str">
        <f t="shared" si="36"/>
        <v/>
      </c>
      <c r="B6133" s="136" t="str">
        <f t="shared" si="37"/>
        <v/>
      </c>
    </row>
    <row r="6134" spans="1:2">
      <c r="A6134" s="136" t="str">
        <f t="shared" si="36"/>
        <v/>
      </c>
      <c r="B6134" s="136" t="str">
        <f t="shared" si="37"/>
        <v/>
      </c>
    </row>
    <row r="6135" spans="1:2">
      <c r="A6135" s="136" t="str">
        <f t="shared" si="36"/>
        <v/>
      </c>
      <c r="B6135" s="136" t="str">
        <f t="shared" si="37"/>
        <v/>
      </c>
    </row>
    <row r="6136" spans="1:2">
      <c r="A6136" s="136" t="str">
        <f t="shared" si="36"/>
        <v/>
      </c>
      <c r="B6136" s="136" t="str">
        <f t="shared" si="37"/>
        <v/>
      </c>
    </row>
    <row r="6137" spans="1:2">
      <c r="A6137" s="136" t="str">
        <f t="shared" si="36"/>
        <v/>
      </c>
      <c r="B6137" s="136" t="str">
        <f t="shared" si="37"/>
        <v/>
      </c>
    </row>
    <row r="6138" spans="1:2">
      <c r="A6138" s="136" t="str">
        <f t="shared" si="36"/>
        <v/>
      </c>
      <c r="B6138" s="136" t="str">
        <f t="shared" si="37"/>
        <v/>
      </c>
    </row>
    <row r="6139" spans="1:2">
      <c r="A6139" s="136" t="str">
        <f t="shared" si="36"/>
        <v/>
      </c>
      <c r="B6139" s="136" t="str">
        <f t="shared" si="37"/>
        <v/>
      </c>
    </row>
    <row r="6140" spans="1:2">
      <c r="A6140" s="136" t="str">
        <f t="shared" si="36"/>
        <v/>
      </c>
      <c r="B6140" s="136" t="str">
        <f t="shared" si="37"/>
        <v/>
      </c>
    </row>
    <row r="6141" spans="1:2">
      <c r="A6141" s="136" t="str">
        <f t="shared" si="36"/>
        <v/>
      </c>
      <c r="B6141" s="136" t="str">
        <f t="shared" si="37"/>
        <v/>
      </c>
    </row>
    <row r="6142" spans="1:2">
      <c r="A6142" s="136" t="str">
        <f t="shared" si="36"/>
        <v/>
      </c>
      <c r="B6142" s="136" t="str">
        <f t="shared" si="37"/>
        <v/>
      </c>
    </row>
    <row r="6143" spans="1:2">
      <c r="A6143" s="136" t="str">
        <f t="shared" si="36"/>
        <v/>
      </c>
      <c r="B6143" s="136" t="str">
        <f t="shared" si="37"/>
        <v/>
      </c>
    </row>
    <row r="6144" spans="1:2">
      <c r="A6144" s="136" t="str">
        <f t="shared" si="36"/>
        <v/>
      </c>
      <c r="B6144" s="136" t="str">
        <f t="shared" si="37"/>
        <v/>
      </c>
    </row>
    <row r="6145" spans="1:2">
      <c r="A6145" s="136" t="str">
        <f t="shared" si="36"/>
        <v/>
      </c>
      <c r="B6145" s="136" t="str">
        <f t="shared" si="37"/>
        <v/>
      </c>
    </row>
    <row r="6146" spans="1:2">
      <c r="A6146" s="136" t="str">
        <f t="shared" si="36"/>
        <v/>
      </c>
      <c r="B6146" s="136" t="str">
        <f t="shared" si="37"/>
        <v/>
      </c>
    </row>
    <row r="6147" spans="1:2">
      <c r="A6147" s="136" t="str">
        <f t="shared" si="36"/>
        <v/>
      </c>
      <c r="B6147" s="136" t="str">
        <f t="shared" si="37"/>
        <v/>
      </c>
    </row>
    <row r="6148" spans="1:2">
      <c r="A6148" s="136" t="str">
        <f t="shared" si="36"/>
        <v/>
      </c>
      <c r="B6148" s="136" t="str">
        <f t="shared" si="37"/>
        <v/>
      </c>
    </row>
    <row r="6149" spans="1:2">
      <c r="A6149" s="136" t="str">
        <f t="shared" si="36"/>
        <v/>
      </c>
      <c r="B6149" s="136" t="str">
        <f t="shared" si="37"/>
        <v/>
      </c>
    </row>
    <row r="6150" spans="1:2">
      <c r="A6150" s="136" t="str">
        <f t="shared" si="36"/>
        <v/>
      </c>
      <c r="B6150" s="136" t="str">
        <f t="shared" si="37"/>
        <v/>
      </c>
    </row>
    <row r="6151" spans="1:2">
      <c r="A6151" s="136" t="str">
        <f t="shared" si="36"/>
        <v/>
      </c>
      <c r="B6151" s="136" t="str">
        <f t="shared" si="37"/>
        <v/>
      </c>
    </row>
    <row r="6152" spans="1:2">
      <c r="A6152" s="136" t="str">
        <f t="shared" si="36"/>
        <v/>
      </c>
      <c r="B6152" s="136" t="str">
        <f t="shared" si="37"/>
        <v/>
      </c>
    </row>
    <row r="6153" spans="1:2">
      <c r="A6153" s="136" t="str">
        <f t="shared" si="36"/>
        <v/>
      </c>
      <c r="B6153" s="136" t="str">
        <f t="shared" si="37"/>
        <v/>
      </c>
    </row>
    <row r="6154" spans="1:2">
      <c r="A6154" s="136" t="str">
        <f t="shared" si="36"/>
        <v/>
      </c>
      <c r="B6154" s="136" t="str">
        <f t="shared" si="37"/>
        <v/>
      </c>
    </row>
    <row r="6155" spans="1:2">
      <c r="A6155" s="136" t="str">
        <f t="shared" si="36"/>
        <v/>
      </c>
      <c r="B6155" s="136" t="str">
        <f t="shared" si="37"/>
        <v/>
      </c>
    </row>
    <row r="6156" spans="1:2">
      <c r="A6156" s="136" t="str">
        <f t="shared" si="36"/>
        <v/>
      </c>
      <c r="B6156" s="136" t="str">
        <f t="shared" si="37"/>
        <v/>
      </c>
    </row>
    <row r="6157" spans="1:2">
      <c r="A6157" s="136" t="str">
        <f t="shared" si="36"/>
        <v/>
      </c>
      <c r="B6157" s="136" t="str">
        <f t="shared" si="37"/>
        <v/>
      </c>
    </row>
    <row r="6158" spans="1:2">
      <c r="A6158" s="136" t="str">
        <f t="shared" si="36"/>
        <v/>
      </c>
      <c r="B6158" s="136" t="str">
        <f t="shared" si="37"/>
        <v/>
      </c>
    </row>
    <row r="6159" spans="1:2">
      <c r="A6159" s="136" t="str">
        <f t="shared" si="36"/>
        <v/>
      </c>
      <c r="B6159" s="136" t="str">
        <f t="shared" si="37"/>
        <v/>
      </c>
    </row>
    <row r="6160" spans="1:2">
      <c r="A6160" s="136" t="str">
        <f t="shared" si="36"/>
        <v/>
      </c>
      <c r="B6160" s="136" t="str">
        <f t="shared" si="37"/>
        <v/>
      </c>
    </row>
    <row r="6161" spans="1:2">
      <c r="A6161" s="136" t="str">
        <f t="shared" si="36"/>
        <v/>
      </c>
      <c r="B6161" s="136" t="str">
        <f t="shared" si="37"/>
        <v/>
      </c>
    </row>
    <row r="6162" spans="1:2">
      <c r="A6162" s="136" t="str">
        <f t="shared" si="36"/>
        <v/>
      </c>
      <c r="B6162" s="136" t="str">
        <f t="shared" si="37"/>
        <v/>
      </c>
    </row>
    <row r="6163" spans="1:2">
      <c r="A6163" s="136" t="str">
        <f t="shared" si="36"/>
        <v/>
      </c>
      <c r="B6163" s="136" t="str">
        <f t="shared" si="37"/>
        <v/>
      </c>
    </row>
    <row r="6164" spans="1:2">
      <c r="A6164" s="136" t="str">
        <f t="shared" si="36"/>
        <v/>
      </c>
      <c r="B6164" s="136" t="str">
        <f t="shared" si="37"/>
        <v/>
      </c>
    </row>
    <row r="6165" spans="1:2">
      <c r="A6165" s="136" t="str">
        <f t="shared" ref="A6165:A6228" si="38">HYPERLINK("http://tw.stock.yahoo.com/q/ta?s=","")</f>
        <v/>
      </c>
      <c r="B6165" s="136" t="str">
        <f t="shared" ref="B6165:B6228" si="39">HYPERLINK("http://tw.stock.yahoo.com/d/s/earning_.html","")</f>
        <v/>
      </c>
    </row>
    <row r="6166" spans="1:2">
      <c r="A6166" s="136" t="str">
        <f t="shared" si="38"/>
        <v/>
      </c>
      <c r="B6166" s="136" t="str">
        <f t="shared" si="39"/>
        <v/>
      </c>
    </row>
    <row r="6167" spans="1:2">
      <c r="A6167" s="136" t="str">
        <f t="shared" si="38"/>
        <v/>
      </c>
      <c r="B6167" s="136" t="str">
        <f t="shared" si="39"/>
        <v/>
      </c>
    </row>
    <row r="6168" spans="1:2">
      <c r="A6168" s="136" t="str">
        <f t="shared" si="38"/>
        <v/>
      </c>
      <c r="B6168" s="136" t="str">
        <f t="shared" si="39"/>
        <v/>
      </c>
    </row>
    <row r="6169" spans="1:2">
      <c r="A6169" s="136" t="str">
        <f t="shared" si="38"/>
        <v/>
      </c>
      <c r="B6169" s="136" t="str">
        <f t="shared" si="39"/>
        <v/>
      </c>
    </row>
    <row r="6170" spans="1:2">
      <c r="A6170" s="136" t="str">
        <f t="shared" si="38"/>
        <v/>
      </c>
      <c r="B6170" s="136" t="str">
        <f t="shared" si="39"/>
        <v/>
      </c>
    </row>
    <row r="6171" spans="1:2">
      <c r="A6171" s="136" t="str">
        <f t="shared" si="38"/>
        <v/>
      </c>
      <c r="B6171" s="136" t="str">
        <f t="shared" si="39"/>
        <v/>
      </c>
    </row>
    <row r="6172" spans="1:2">
      <c r="A6172" s="136" t="str">
        <f t="shared" si="38"/>
        <v/>
      </c>
      <c r="B6172" s="136" t="str">
        <f t="shared" si="39"/>
        <v/>
      </c>
    </row>
    <row r="6173" spans="1:2">
      <c r="A6173" s="136" t="str">
        <f t="shared" si="38"/>
        <v/>
      </c>
      <c r="B6173" s="136" t="str">
        <f t="shared" si="39"/>
        <v/>
      </c>
    </row>
    <row r="6174" spans="1:2">
      <c r="A6174" s="136" t="str">
        <f t="shared" si="38"/>
        <v/>
      </c>
      <c r="B6174" s="136" t="str">
        <f t="shared" si="39"/>
        <v/>
      </c>
    </row>
    <row r="6175" spans="1:2">
      <c r="A6175" s="136" t="str">
        <f t="shared" si="38"/>
        <v/>
      </c>
      <c r="B6175" s="136" t="str">
        <f t="shared" si="39"/>
        <v/>
      </c>
    </row>
    <row r="6176" spans="1:2">
      <c r="A6176" s="136" t="str">
        <f t="shared" si="38"/>
        <v/>
      </c>
      <c r="B6176" s="136" t="str">
        <f t="shared" si="39"/>
        <v/>
      </c>
    </row>
    <row r="6177" spans="1:2">
      <c r="A6177" s="136" t="str">
        <f t="shared" si="38"/>
        <v/>
      </c>
      <c r="B6177" s="136" t="str">
        <f t="shared" si="39"/>
        <v/>
      </c>
    </row>
    <row r="6178" spans="1:2">
      <c r="A6178" s="136" t="str">
        <f t="shared" si="38"/>
        <v/>
      </c>
      <c r="B6178" s="136" t="str">
        <f t="shared" si="39"/>
        <v/>
      </c>
    </row>
    <row r="6179" spans="1:2">
      <c r="A6179" s="136" t="str">
        <f t="shared" si="38"/>
        <v/>
      </c>
      <c r="B6179" s="136" t="str">
        <f t="shared" si="39"/>
        <v/>
      </c>
    </row>
    <row r="6180" spans="1:2">
      <c r="A6180" s="136" t="str">
        <f t="shared" si="38"/>
        <v/>
      </c>
      <c r="B6180" s="136" t="str">
        <f t="shared" si="39"/>
        <v/>
      </c>
    </row>
    <row r="6181" spans="1:2">
      <c r="A6181" s="136" t="str">
        <f t="shared" si="38"/>
        <v/>
      </c>
      <c r="B6181" s="136" t="str">
        <f t="shared" si="39"/>
        <v/>
      </c>
    </row>
    <row r="6182" spans="1:2">
      <c r="A6182" s="136" t="str">
        <f t="shared" si="38"/>
        <v/>
      </c>
      <c r="B6182" s="136" t="str">
        <f t="shared" si="39"/>
        <v/>
      </c>
    </row>
    <row r="6183" spans="1:2">
      <c r="A6183" s="136" t="str">
        <f t="shared" si="38"/>
        <v/>
      </c>
      <c r="B6183" s="136" t="str">
        <f t="shared" si="39"/>
        <v/>
      </c>
    </row>
    <row r="6184" spans="1:2">
      <c r="A6184" s="136" t="str">
        <f t="shared" si="38"/>
        <v/>
      </c>
      <c r="B6184" s="136" t="str">
        <f t="shared" si="39"/>
        <v/>
      </c>
    </row>
    <row r="6185" spans="1:2">
      <c r="A6185" s="136" t="str">
        <f t="shared" si="38"/>
        <v/>
      </c>
      <c r="B6185" s="136" t="str">
        <f t="shared" si="39"/>
        <v/>
      </c>
    </row>
    <row r="6186" spans="1:2">
      <c r="A6186" s="136" t="str">
        <f t="shared" si="38"/>
        <v/>
      </c>
      <c r="B6186" s="136" t="str">
        <f t="shared" si="39"/>
        <v/>
      </c>
    </row>
    <row r="6187" spans="1:2">
      <c r="A6187" s="136" t="str">
        <f t="shared" si="38"/>
        <v/>
      </c>
      <c r="B6187" s="136" t="str">
        <f t="shared" si="39"/>
        <v/>
      </c>
    </row>
    <row r="6188" spans="1:2">
      <c r="A6188" s="136" t="str">
        <f t="shared" si="38"/>
        <v/>
      </c>
      <c r="B6188" s="136" t="str">
        <f t="shared" si="39"/>
        <v/>
      </c>
    </row>
    <row r="6189" spans="1:2">
      <c r="A6189" s="136" t="str">
        <f t="shared" si="38"/>
        <v/>
      </c>
      <c r="B6189" s="136" t="str">
        <f t="shared" si="39"/>
        <v/>
      </c>
    </row>
    <row r="6190" spans="1:2">
      <c r="A6190" s="136" t="str">
        <f t="shared" si="38"/>
        <v/>
      </c>
      <c r="B6190" s="136" t="str">
        <f t="shared" si="39"/>
        <v/>
      </c>
    </row>
    <row r="6191" spans="1:2">
      <c r="A6191" s="136" t="str">
        <f t="shared" si="38"/>
        <v/>
      </c>
      <c r="B6191" s="136" t="str">
        <f t="shared" si="39"/>
        <v/>
      </c>
    </row>
    <row r="6192" spans="1:2">
      <c r="A6192" s="136" t="str">
        <f t="shared" si="38"/>
        <v/>
      </c>
      <c r="B6192" s="136" t="str">
        <f t="shared" si="39"/>
        <v/>
      </c>
    </row>
    <row r="6193" spans="1:2">
      <c r="A6193" s="136" t="str">
        <f t="shared" si="38"/>
        <v/>
      </c>
      <c r="B6193" s="136" t="str">
        <f t="shared" si="39"/>
        <v/>
      </c>
    </row>
    <row r="6194" spans="1:2">
      <c r="A6194" s="136" t="str">
        <f t="shared" si="38"/>
        <v/>
      </c>
      <c r="B6194" s="136" t="str">
        <f t="shared" si="39"/>
        <v/>
      </c>
    </row>
    <row r="6195" spans="1:2">
      <c r="A6195" s="136" t="str">
        <f t="shared" si="38"/>
        <v/>
      </c>
      <c r="B6195" s="136" t="str">
        <f t="shared" si="39"/>
        <v/>
      </c>
    </row>
    <row r="6196" spans="1:2">
      <c r="A6196" s="136" t="str">
        <f t="shared" si="38"/>
        <v/>
      </c>
      <c r="B6196" s="136" t="str">
        <f t="shared" si="39"/>
        <v/>
      </c>
    </row>
    <row r="6197" spans="1:2">
      <c r="A6197" s="136" t="str">
        <f t="shared" si="38"/>
        <v/>
      </c>
      <c r="B6197" s="136" t="str">
        <f t="shared" si="39"/>
        <v/>
      </c>
    </row>
    <row r="6198" spans="1:2">
      <c r="A6198" s="136" t="str">
        <f t="shared" si="38"/>
        <v/>
      </c>
      <c r="B6198" s="136" t="str">
        <f t="shared" si="39"/>
        <v/>
      </c>
    </row>
    <row r="6199" spans="1:2">
      <c r="A6199" s="136" t="str">
        <f t="shared" si="38"/>
        <v/>
      </c>
      <c r="B6199" s="136" t="str">
        <f t="shared" si="39"/>
        <v/>
      </c>
    </row>
    <row r="6200" spans="1:2">
      <c r="A6200" s="136" t="str">
        <f t="shared" si="38"/>
        <v/>
      </c>
      <c r="B6200" s="136" t="str">
        <f t="shared" si="39"/>
        <v/>
      </c>
    </row>
    <row r="6201" spans="1:2">
      <c r="A6201" s="136" t="str">
        <f t="shared" si="38"/>
        <v/>
      </c>
      <c r="B6201" s="136" t="str">
        <f t="shared" si="39"/>
        <v/>
      </c>
    </row>
    <row r="6202" spans="1:2">
      <c r="A6202" s="136" t="str">
        <f t="shared" si="38"/>
        <v/>
      </c>
      <c r="B6202" s="136" t="str">
        <f t="shared" si="39"/>
        <v/>
      </c>
    </row>
    <row r="6203" spans="1:2">
      <c r="A6203" s="136" t="str">
        <f t="shared" si="38"/>
        <v/>
      </c>
      <c r="B6203" s="136" t="str">
        <f t="shared" si="39"/>
        <v/>
      </c>
    </row>
    <row r="6204" spans="1:2">
      <c r="A6204" s="136" t="str">
        <f t="shared" si="38"/>
        <v/>
      </c>
      <c r="B6204" s="136" t="str">
        <f t="shared" si="39"/>
        <v/>
      </c>
    </row>
    <row r="6205" spans="1:2">
      <c r="A6205" s="136" t="str">
        <f t="shared" si="38"/>
        <v/>
      </c>
      <c r="B6205" s="136" t="str">
        <f t="shared" si="39"/>
        <v/>
      </c>
    </row>
    <row r="6206" spans="1:2">
      <c r="A6206" s="136" t="str">
        <f t="shared" si="38"/>
        <v/>
      </c>
      <c r="B6206" s="136" t="str">
        <f t="shared" si="39"/>
        <v/>
      </c>
    </row>
    <row r="6207" spans="1:2">
      <c r="A6207" s="136" t="str">
        <f t="shared" si="38"/>
        <v/>
      </c>
      <c r="B6207" s="136" t="str">
        <f t="shared" si="39"/>
        <v/>
      </c>
    </row>
    <row r="6208" spans="1:2">
      <c r="A6208" s="136" t="str">
        <f t="shared" si="38"/>
        <v/>
      </c>
      <c r="B6208" s="136" t="str">
        <f t="shared" si="39"/>
        <v/>
      </c>
    </row>
    <row r="6209" spans="1:2">
      <c r="A6209" s="136" t="str">
        <f t="shared" si="38"/>
        <v/>
      </c>
      <c r="B6209" s="136" t="str">
        <f t="shared" si="39"/>
        <v/>
      </c>
    </row>
    <row r="6210" spans="1:2">
      <c r="A6210" s="136" t="str">
        <f t="shared" si="38"/>
        <v/>
      </c>
      <c r="B6210" s="136" t="str">
        <f t="shared" si="39"/>
        <v/>
      </c>
    </row>
    <row r="6211" spans="1:2">
      <c r="A6211" s="136" t="str">
        <f t="shared" si="38"/>
        <v/>
      </c>
      <c r="B6211" s="136" t="str">
        <f t="shared" si="39"/>
        <v/>
      </c>
    </row>
    <row r="6212" spans="1:2">
      <c r="A6212" s="136" t="str">
        <f t="shared" si="38"/>
        <v/>
      </c>
      <c r="B6212" s="136" t="str">
        <f t="shared" si="39"/>
        <v/>
      </c>
    </row>
    <row r="6213" spans="1:2">
      <c r="A6213" s="136" t="str">
        <f t="shared" si="38"/>
        <v/>
      </c>
      <c r="B6213" s="136" t="str">
        <f t="shared" si="39"/>
        <v/>
      </c>
    </row>
    <row r="6214" spans="1:2">
      <c r="A6214" s="136" t="str">
        <f t="shared" si="38"/>
        <v/>
      </c>
      <c r="B6214" s="136" t="str">
        <f t="shared" si="39"/>
        <v/>
      </c>
    </row>
    <row r="6215" spans="1:2">
      <c r="A6215" s="136" t="str">
        <f t="shared" si="38"/>
        <v/>
      </c>
      <c r="B6215" s="136" t="str">
        <f t="shared" si="39"/>
        <v/>
      </c>
    </row>
    <row r="6216" spans="1:2">
      <c r="A6216" s="136" t="str">
        <f t="shared" si="38"/>
        <v/>
      </c>
      <c r="B6216" s="136" t="str">
        <f t="shared" si="39"/>
        <v/>
      </c>
    </row>
    <row r="6217" spans="1:2">
      <c r="A6217" s="136" t="str">
        <f t="shared" si="38"/>
        <v/>
      </c>
      <c r="B6217" s="136" t="str">
        <f t="shared" si="39"/>
        <v/>
      </c>
    </row>
    <row r="6218" spans="1:2">
      <c r="A6218" s="136" t="str">
        <f t="shared" si="38"/>
        <v/>
      </c>
      <c r="B6218" s="136" t="str">
        <f t="shared" si="39"/>
        <v/>
      </c>
    </row>
    <row r="6219" spans="1:2">
      <c r="A6219" s="136" t="str">
        <f t="shared" si="38"/>
        <v/>
      </c>
      <c r="B6219" s="136" t="str">
        <f t="shared" si="39"/>
        <v/>
      </c>
    </row>
    <row r="6220" spans="1:2">
      <c r="A6220" s="136" t="str">
        <f t="shared" si="38"/>
        <v/>
      </c>
      <c r="B6220" s="136" t="str">
        <f t="shared" si="39"/>
        <v/>
      </c>
    </row>
    <row r="6221" spans="1:2">
      <c r="A6221" s="136" t="str">
        <f t="shared" si="38"/>
        <v/>
      </c>
      <c r="B6221" s="136" t="str">
        <f t="shared" si="39"/>
        <v/>
      </c>
    </row>
    <row r="6222" spans="1:2">
      <c r="A6222" s="136" t="str">
        <f t="shared" si="38"/>
        <v/>
      </c>
      <c r="B6222" s="136" t="str">
        <f t="shared" si="39"/>
        <v/>
      </c>
    </row>
    <row r="6223" spans="1:2">
      <c r="A6223" s="136" t="str">
        <f t="shared" si="38"/>
        <v/>
      </c>
      <c r="B6223" s="136" t="str">
        <f t="shared" si="39"/>
        <v/>
      </c>
    </row>
    <row r="6224" spans="1:2">
      <c r="A6224" s="136" t="str">
        <f t="shared" si="38"/>
        <v/>
      </c>
      <c r="B6224" s="136" t="str">
        <f t="shared" si="39"/>
        <v/>
      </c>
    </row>
    <row r="6225" spans="1:2">
      <c r="A6225" s="136" t="str">
        <f t="shared" si="38"/>
        <v/>
      </c>
      <c r="B6225" s="136" t="str">
        <f t="shared" si="39"/>
        <v/>
      </c>
    </row>
    <row r="6226" spans="1:2">
      <c r="A6226" s="136" t="str">
        <f t="shared" si="38"/>
        <v/>
      </c>
      <c r="B6226" s="136" t="str">
        <f t="shared" si="39"/>
        <v/>
      </c>
    </row>
    <row r="6227" spans="1:2">
      <c r="A6227" s="136" t="str">
        <f t="shared" si="38"/>
        <v/>
      </c>
      <c r="B6227" s="136" t="str">
        <f t="shared" si="39"/>
        <v/>
      </c>
    </row>
    <row r="6228" spans="1:2">
      <c r="A6228" s="136" t="str">
        <f t="shared" si="38"/>
        <v/>
      </c>
      <c r="B6228" s="136" t="str">
        <f t="shared" si="39"/>
        <v/>
      </c>
    </row>
    <row r="6229" spans="1:2">
      <c r="A6229" s="136" t="str">
        <f t="shared" ref="A6229:A6292" si="40">HYPERLINK("http://tw.stock.yahoo.com/q/ta?s=","")</f>
        <v/>
      </c>
      <c r="B6229" s="136" t="str">
        <f t="shared" ref="B6229:B6292" si="41">HYPERLINK("http://tw.stock.yahoo.com/d/s/earning_.html","")</f>
        <v/>
      </c>
    </row>
    <row r="6230" spans="1:2">
      <c r="A6230" s="136" t="str">
        <f t="shared" si="40"/>
        <v/>
      </c>
      <c r="B6230" s="136" t="str">
        <f t="shared" si="41"/>
        <v/>
      </c>
    </row>
    <row r="6231" spans="1:2">
      <c r="A6231" s="136" t="str">
        <f t="shared" si="40"/>
        <v/>
      </c>
      <c r="B6231" s="136" t="str">
        <f t="shared" si="41"/>
        <v/>
      </c>
    </row>
    <row r="6232" spans="1:2">
      <c r="A6232" s="136" t="str">
        <f t="shared" si="40"/>
        <v/>
      </c>
      <c r="B6232" s="136" t="str">
        <f t="shared" si="41"/>
        <v/>
      </c>
    </row>
    <row r="6233" spans="1:2">
      <c r="A6233" s="136" t="str">
        <f t="shared" si="40"/>
        <v/>
      </c>
      <c r="B6233" s="136" t="str">
        <f t="shared" si="41"/>
        <v/>
      </c>
    </row>
    <row r="6234" spans="1:2">
      <c r="A6234" s="136" t="str">
        <f t="shared" si="40"/>
        <v/>
      </c>
      <c r="B6234" s="136" t="str">
        <f t="shared" si="41"/>
        <v/>
      </c>
    </row>
    <row r="6235" spans="1:2">
      <c r="A6235" s="136" t="str">
        <f t="shared" si="40"/>
        <v/>
      </c>
      <c r="B6235" s="136" t="str">
        <f t="shared" si="41"/>
        <v/>
      </c>
    </row>
    <row r="6236" spans="1:2">
      <c r="A6236" s="136" t="str">
        <f t="shared" si="40"/>
        <v/>
      </c>
      <c r="B6236" s="136" t="str">
        <f t="shared" si="41"/>
        <v/>
      </c>
    </row>
    <row r="6237" spans="1:2">
      <c r="A6237" s="136" t="str">
        <f t="shared" si="40"/>
        <v/>
      </c>
      <c r="B6237" s="136" t="str">
        <f t="shared" si="41"/>
        <v/>
      </c>
    </row>
    <row r="6238" spans="1:2">
      <c r="A6238" s="136" t="str">
        <f t="shared" si="40"/>
        <v/>
      </c>
      <c r="B6238" s="136" t="str">
        <f t="shared" si="41"/>
        <v/>
      </c>
    </row>
    <row r="6239" spans="1:2">
      <c r="A6239" s="136" t="str">
        <f t="shared" si="40"/>
        <v/>
      </c>
      <c r="B6239" s="136" t="str">
        <f t="shared" si="41"/>
        <v/>
      </c>
    </row>
    <row r="6240" spans="1:2">
      <c r="A6240" s="136" t="str">
        <f t="shared" si="40"/>
        <v/>
      </c>
      <c r="B6240" s="136" t="str">
        <f t="shared" si="41"/>
        <v/>
      </c>
    </row>
    <row r="6241" spans="1:2">
      <c r="A6241" s="136" t="str">
        <f t="shared" si="40"/>
        <v/>
      </c>
      <c r="B6241" s="136" t="str">
        <f t="shared" si="41"/>
        <v/>
      </c>
    </row>
    <row r="6242" spans="1:2">
      <c r="A6242" s="136" t="str">
        <f t="shared" si="40"/>
        <v/>
      </c>
      <c r="B6242" s="136" t="str">
        <f t="shared" si="41"/>
        <v/>
      </c>
    </row>
    <row r="6243" spans="1:2">
      <c r="A6243" s="136" t="str">
        <f t="shared" si="40"/>
        <v/>
      </c>
      <c r="B6243" s="136" t="str">
        <f t="shared" si="41"/>
        <v/>
      </c>
    </row>
    <row r="6244" spans="1:2">
      <c r="A6244" s="136" t="str">
        <f t="shared" si="40"/>
        <v/>
      </c>
      <c r="B6244" s="136" t="str">
        <f t="shared" si="41"/>
        <v/>
      </c>
    </row>
    <row r="6245" spans="1:2">
      <c r="A6245" s="136" t="str">
        <f t="shared" si="40"/>
        <v/>
      </c>
      <c r="B6245" s="136" t="str">
        <f t="shared" si="41"/>
        <v/>
      </c>
    </row>
    <row r="6246" spans="1:2">
      <c r="A6246" s="136" t="str">
        <f t="shared" si="40"/>
        <v/>
      </c>
      <c r="B6246" s="136" t="str">
        <f t="shared" si="41"/>
        <v/>
      </c>
    </row>
    <row r="6247" spans="1:2">
      <c r="A6247" s="136" t="str">
        <f t="shared" si="40"/>
        <v/>
      </c>
      <c r="B6247" s="136" t="str">
        <f t="shared" si="41"/>
        <v/>
      </c>
    </row>
    <row r="6248" spans="1:2">
      <c r="A6248" s="136" t="str">
        <f t="shared" si="40"/>
        <v/>
      </c>
      <c r="B6248" s="136" t="str">
        <f t="shared" si="41"/>
        <v/>
      </c>
    </row>
    <row r="6249" spans="1:2">
      <c r="A6249" s="136" t="str">
        <f t="shared" si="40"/>
        <v/>
      </c>
      <c r="B6249" s="136" t="str">
        <f t="shared" si="41"/>
        <v/>
      </c>
    </row>
    <row r="6250" spans="1:2">
      <c r="A6250" s="136" t="str">
        <f t="shared" si="40"/>
        <v/>
      </c>
      <c r="B6250" s="136" t="str">
        <f t="shared" si="41"/>
        <v/>
      </c>
    </row>
    <row r="6251" spans="1:2">
      <c r="A6251" s="136" t="str">
        <f t="shared" si="40"/>
        <v/>
      </c>
      <c r="B6251" s="136" t="str">
        <f t="shared" si="41"/>
        <v/>
      </c>
    </row>
    <row r="6252" spans="1:2">
      <c r="A6252" s="136" t="str">
        <f t="shared" si="40"/>
        <v/>
      </c>
      <c r="B6252" s="136" t="str">
        <f t="shared" si="41"/>
        <v/>
      </c>
    </row>
    <row r="6253" spans="1:2">
      <c r="A6253" s="136" t="str">
        <f t="shared" si="40"/>
        <v/>
      </c>
      <c r="B6253" s="136" t="str">
        <f t="shared" si="41"/>
        <v/>
      </c>
    </row>
    <row r="6254" spans="1:2">
      <c r="A6254" s="136" t="str">
        <f t="shared" si="40"/>
        <v/>
      </c>
      <c r="B6254" s="136" t="str">
        <f t="shared" si="41"/>
        <v/>
      </c>
    </row>
    <row r="6255" spans="1:2">
      <c r="A6255" s="136" t="str">
        <f t="shared" si="40"/>
        <v/>
      </c>
      <c r="B6255" s="136" t="str">
        <f t="shared" si="41"/>
        <v/>
      </c>
    </row>
    <row r="6256" spans="1:2">
      <c r="A6256" s="136" t="str">
        <f t="shared" si="40"/>
        <v/>
      </c>
      <c r="B6256" s="136" t="str">
        <f t="shared" si="41"/>
        <v/>
      </c>
    </row>
    <row r="6257" spans="1:2">
      <c r="A6257" s="136" t="str">
        <f t="shared" si="40"/>
        <v/>
      </c>
      <c r="B6257" s="136" t="str">
        <f t="shared" si="41"/>
        <v/>
      </c>
    </row>
    <row r="6258" spans="1:2">
      <c r="A6258" s="136" t="str">
        <f t="shared" si="40"/>
        <v/>
      </c>
      <c r="B6258" s="136" t="str">
        <f t="shared" si="41"/>
        <v/>
      </c>
    </row>
    <row r="6259" spans="1:2">
      <c r="A6259" s="136" t="str">
        <f t="shared" si="40"/>
        <v/>
      </c>
      <c r="B6259" s="136" t="str">
        <f t="shared" si="41"/>
        <v/>
      </c>
    </row>
    <row r="6260" spans="1:2">
      <c r="A6260" s="136" t="str">
        <f t="shared" si="40"/>
        <v/>
      </c>
      <c r="B6260" s="136" t="str">
        <f t="shared" si="41"/>
        <v/>
      </c>
    </row>
    <row r="6261" spans="1:2">
      <c r="A6261" s="136" t="str">
        <f t="shared" si="40"/>
        <v/>
      </c>
      <c r="B6261" s="136" t="str">
        <f t="shared" si="41"/>
        <v/>
      </c>
    </row>
    <row r="6262" spans="1:2">
      <c r="A6262" s="136" t="str">
        <f t="shared" si="40"/>
        <v/>
      </c>
      <c r="B6262" s="136" t="str">
        <f t="shared" si="41"/>
        <v/>
      </c>
    </row>
    <row r="6263" spans="1:2">
      <c r="A6263" s="136" t="str">
        <f t="shared" si="40"/>
        <v/>
      </c>
      <c r="B6263" s="136" t="str">
        <f t="shared" si="41"/>
        <v/>
      </c>
    </row>
    <row r="6264" spans="1:2">
      <c r="A6264" s="136" t="str">
        <f t="shared" si="40"/>
        <v/>
      </c>
      <c r="B6264" s="136" t="str">
        <f t="shared" si="41"/>
        <v/>
      </c>
    </row>
    <row r="6265" spans="1:2">
      <c r="A6265" s="136" t="str">
        <f t="shared" si="40"/>
        <v/>
      </c>
      <c r="B6265" s="136" t="str">
        <f t="shared" si="41"/>
        <v/>
      </c>
    </row>
    <row r="6266" spans="1:2">
      <c r="A6266" s="136" t="str">
        <f t="shared" si="40"/>
        <v/>
      </c>
      <c r="B6266" s="136" t="str">
        <f t="shared" si="41"/>
        <v/>
      </c>
    </row>
    <row r="6267" spans="1:2">
      <c r="A6267" s="136" t="str">
        <f t="shared" si="40"/>
        <v/>
      </c>
      <c r="B6267" s="136" t="str">
        <f t="shared" si="41"/>
        <v/>
      </c>
    </row>
    <row r="6268" spans="1:2">
      <c r="A6268" s="136" t="str">
        <f t="shared" si="40"/>
        <v/>
      </c>
      <c r="B6268" s="136" t="str">
        <f t="shared" si="41"/>
        <v/>
      </c>
    </row>
    <row r="6269" spans="1:2">
      <c r="A6269" s="136" t="str">
        <f t="shared" si="40"/>
        <v/>
      </c>
      <c r="B6269" s="136" t="str">
        <f t="shared" si="41"/>
        <v/>
      </c>
    </row>
    <row r="6270" spans="1:2">
      <c r="A6270" s="136" t="str">
        <f t="shared" si="40"/>
        <v/>
      </c>
      <c r="B6270" s="136" t="str">
        <f t="shared" si="41"/>
        <v/>
      </c>
    </row>
    <row r="6271" spans="1:2">
      <c r="A6271" s="136" t="str">
        <f t="shared" si="40"/>
        <v/>
      </c>
      <c r="B6271" s="136" t="str">
        <f t="shared" si="41"/>
        <v/>
      </c>
    </row>
    <row r="6272" spans="1:2">
      <c r="A6272" s="136" t="str">
        <f t="shared" si="40"/>
        <v/>
      </c>
      <c r="B6272" s="136" t="str">
        <f t="shared" si="41"/>
        <v/>
      </c>
    </row>
    <row r="6273" spans="1:2">
      <c r="A6273" s="136" t="str">
        <f t="shared" si="40"/>
        <v/>
      </c>
      <c r="B6273" s="136" t="str">
        <f t="shared" si="41"/>
        <v/>
      </c>
    </row>
    <row r="6274" spans="1:2">
      <c r="A6274" s="136" t="str">
        <f t="shared" si="40"/>
        <v/>
      </c>
      <c r="B6274" s="136" t="str">
        <f t="shared" si="41"/>
        <v/>
      </c>
    </row>
    <row r="6275" spans="1:2">
      <c r="A6275" s="136" t="str">
        <f t="shared" si="40"/>
        <v/>
      </c>
      <c r="B6275" s="136" t="str">
        <f t="shared" si="41"/>
        <v/>
      </c>
    </row>
    <row r="6276" spans="1:2">
      <c r="A6276" s="136" t="str">
        <f t="shared" si="40"/>
        <v/>
      </c>
      <c r="B6276" s="136" t="str">
        <f t="shared" si="41"/>
        <v/>
      </c>
    </row>
    <row r="6277" spans="1:2">
      <c r="A6277" s="136" t="str">
        <f t="shared" si="40"/>
        <v/>
      </c>
      <c r="B6277" s="136" t="str">
        <f t="shared" si="41"/>
        <v/>
      </c>
    </row>
    <row r="6278" spans="1:2">
      <c r="A6278" s="136" t="str">
        <f t="shared" si="40"/>
        <v/>
      </c>
      <c r="B6278" s="136" t="str">
        <f t="shared" si="41"/>
        <v/>
      </c>
    </row>
    <row r="6279" spans="1:2">
      <c r="A6279" s="136" t="str">
        <f t="shared" si="40"/>
        <v/>
      </c>
      <c r="B6279" s="136" t="str">
        <f t="shared" si="41"/>
        <v/>
      </c>
    </row>
    <row r="6280" spans="1:2">
      <c r="A6280" s="136" t="str">
        <f t="shared" si="40"/>
        <v/>
      </c>
      <c r="B6280" s="136" t="str">
        <f t="shared" si="41"/>
        <v/>
      </c>
    </row>
    <row r="6281" spans="1:2">
      <c r="A6281" s="136" t="str">
        <f t="shared" si="40"/>
        <v/>
      </c>
      <c r="B6281" s="136" t="str">
        <f t="shared" si="41"/>
        <v/>
      </c>
    </row>
    <row r="6282" spans="1:2">
      <c r="A6282" s="136" t="str">
        <f t="shared" si="40"/>
        <v/>
      </c>
      <c r="B6282" s="136" t="str">
        <f t="shared" si="41"/>
        <v/>
      </c>
    </row>
    <row r="6283" spans="1:2">
      <c r="A6283" s="136" t="str">
        <f t="shared" si="40"/>
        <v/>
      </c>
      <c r="B6283" s="136" t="str">
        <f t="shared" si="41"/>
        <v/>
      </c>
    </row>
    <row r="6284" spans="1:2">
      <c r="A6284" s="136" t="str">
        <f t="shared" si="40"/>
        <v/>
      </c>
      <c r="B6284" s="136" t="str">
        <f t="shared" si="41"/>
        <v/>
      </c>
    </row>
    <row r="6285" spans="1:2">
      <c r="A6285" s="136" t="str">
        <f t="shared" si="40"/>
        <v/>
      </c>
      <c r="B6285" s="136" t="str">
        <f t="shared" si="41"/>
        <v/>
      </c>
    </row>
    <row r="6286" spans="1:2">
      <c r="A6286" s="136" t="str">
        <f t="shared" si="40"/>
        <v/>
      </c>
      <c r="B6286" s="136" t="str">
        <f t="shared" si="41"/>
        <v/>
      </c>
    </row>
    <row r="6287" spans="1:2">
      <c r="A6287" s="136" t="str">
        <f t="shared" si="40"/>
        <v/>
      </c>
      <c r="B6287" s="136" t="str">
        <f t="shared" si="41"/>
        <v/>
      </c>
    </row>
    <row r="6288" spans="1:2">
      <c r="A6288" s="136" t="str">
        <f t="shared" si="40"/>
        <v/>
      </c>
      <c r="B6288" s="136" t="str">
        <f t="shared" si="41"/>
        <v/>
      </c>
    </row>
    <row r="6289" spans="1:2">
      <c r="A6289" s="136" t="str">
        <f t="shared" si="40"/>
        <v/>
      </c>
      <c r="B6289" s="136" t="str">
        <f t="shared" si="41"/>
        <v/>
      </c>
    </row>
    <row r="6290" spans="1:2">
      <c r="A6290" s="136" t="str">
        <f t="shared" si="40"/>
        <v/>
      </c>
      <c r="B6290" s="136" t="str">
        <f t="shared" si="41"/>
        <v/>
      </c>
    </row>
    <row r="6291" spans="1:2">
      <c r="A6291" s="136" t="str">
        <f t="shared" si="40"/>
        <v/>
      </c>
      <c r="B6291" s="136" t="str">
        <f t="shared" si="41"/>
        <v/>
      </c>
    </row>
    <row r="6292" spans="1:2">
      <c r="A6292" s="136" t="str">
        <f t="shared" si="40"/>
        <v/>
      </c>
      <c r="B6292" s="136" t="str">
        <f t="shared" si="41"/>
        <v/>
      </c>
    </row>
    <row r="6293" spans="1:2">
      <c r="A6293" s="136" t="str">
        <f t="shared" ref="A6293:A6356" si="42">HYPERLINK("http://tw.stock.yahoo.com/q/ta?s=","")</f>
        <v/>
      </c>
      <c r="B6293" s="136" t="str">
        <f t="shared" ref="B6293:B6356" si="43">HYPERLINK("http://tw.stock.yahoo.com/d/s/earning_.html","")</f>
        <v/>
      </c>
    </row>
    <row r="6294" spans="1:2">
      <c r="A6294" s="136" t="str">
        <f t="shared" si="42"/>
        <v/>
      </c>
      <c r="B6294" s="136" t="str">
        <f t="shared" si="43"/>
        <v/>
      </c>
    </row>
    <row r="6295" spans="1:2">
      <c r="A6295" s="136" t="str">
        <f t="shared" si="42"/>
        <v/>
      </c>
      <c r="B6295" s="136" t="str">
        <f t="shared" si="43"/>
        <v/>
      </c>
    </row>
    <row r="6296" spans="1:2">
      <c r="A6296" s="136" t="str">
        <f t="shared" si="42"/>
        <v/>
      </c>
      <c r="B6296" s="136" t="str">
        <f t="shared" si="43"/>
        <v/>
      </c>
    </row>
    <row r="6297" spans="1:2">
      <c r="A6297" s="136" t="str">
        <f t="shared" si="42"/>
        <v/>
      </c>
      <c r="B6297" s="136" t="str">
        <f t="shared" si="43"/>
        <v/>
      </c>
    </row>
    <row r="6298" spans="1:2">
      <c r="A6298" s="136" t="str">
        <f t="shared" si="42"/>
        <v/>
      </c>
      <c r="B6298" s="136" t="str">
        <f t="shared" si="43"/>
        <v/>
      </c>
    </row>
    <row r="6299" spans="1:2">
      <c r="A6299" s="136" t="str">
        <f t="shared" si="42"/>
        <v/>
      </c>
      <c r="B6299" s="136" t="str">
        <f t="shared" si="43"/>
        <v/>
      </c>
    </row>
    <row r="6300" spans="1:2">
      <c r="A6300" s="136" t="str">
        <f t="shared" si="42"/>
        <v/>
      </c>
      <c r="B6300" s="136" t="str">
        <f t="shared" si="43"/>
        <v/>
      </c>
    </row>
    <row r="6301" spans="1:2">
      <c r="A6301" s="136" t="str">
        <f t="shared" si="42"/>
        <v/>
      </c>
      <c r="B6301" s="136" t="str">
        <f t="shared" si="43"/>
        <v/>
      </c>
    </row>
    <row r="6302" spans="1:2">
      <c r="A6302" s="136" t="str">
        <f t="shared" si="42"/>
        <v/>
      </c>
      <c r="B6302" s="136" t="str">
        <f t="shared" si="43"/>
        <v/>
      </c>
    </row>
    <row r="6303" spans="1:2">
      <c r="A6303" s="136" t="str">
        <f t="shared" si="42"/>
        <v/>
      </c>
      <c r="B6303" s="136" t="str">
        <f t="shared" si="43"/>
        <v/>
      </c>
    </row>
    <row r="6304" spans="1:2">
      <c r="A6304" s="136" t="str">
        <f t="shared" si="42"/>
        <v/>
      </c>
      <c r="B6304" s="136" t="str">
        <f t="shared" si="43"/>
        <v/>
      </c>
    </row>
    <row r="6305" spans="1:2">
      <c r="A6305" s="136" t="str">
        <f t="shared" si="42"/>
        <v/>
      </c>
      <c r="B6305" s="136" t="str">
        <f t="shared" si="43"/>
        <v/>
      </c>
    </row>
    <row r="6306" spans="1:2">
      <c r="A6306" s="136" t="str">
        <f t="shared" si="42"/>
        <v/>
      </c>
      <c r="B6306" s="136" t="str">
        <f t="shared" si="43"/>
        <v/>
      </c>
    </row>
    <row r="6307" spans="1:2">
      <c r="A6307" s="136" t="str">
        <f t="shared" si="42"/>
        <v/>
      </c>
      <c r="B6307" s="136" t="str">
        <f t="shared" si="43"/>
        <v/>
      </c>
    </row>
    <row r="6308" spans="1:2">
      <c r="A6308" s="136" t="str">
        <f t="shared" si="42"/>
        <v/>
      </c>
      <c r="B6308" s="136" t="str">
        <f t="shared" si="43"/>
        <v/>
      </c>
    </row>
    <row r="6309" spans="1:2">
      <c r="A6309" s="136" t="str">
        <f t="shared" si="42"/>
        <v/>
      </c>
      <c r="B6309" s="136" t="str">
        <f t="shared" si="43"/>
        <v/>
      </c>
    </row>
    <row r="6310" spans="1:2">
      <c r="A6310" s="136" t="str">
        <f t="shared" si="42"/>
        <v/>
      </c>
      <c r="B6310" s="136" t="str">
        <f t="shared" si="43"/>
        <v/>
      </c>
    </row>
    <row r="6311" spans="1:2">
      <c r="A6311" s="136" t="str">
        <f t="shared" si="42"/>
        <v/>
      </c>
      <c r="B6311" s="136" t="str">
        <f t="shared" si="43"/>
        <v/>
      </c>
    </row>
    <row r="6312" spans="1:2">
      <c r="A6312" s="136" t="str">
        <f t="shared" si="42"/>
        <v/>
      </c>
      <c r="B6312" s="136" t="str">
        <f t="shared" si="43"/>
        <v/>
      </c>
    </row>
    <row r="6313" spans="1:2">
      <c r="A6313" s="136" t="str">
        <f t="shared" si="42"/>
        <v/>
      </c>
      <c r="B6313" s="136" t="str">
        <f t="shared" si="43"/>
        <v/>
      </c>
    </row>
    <row r="6314" spans="1:2">
      <c r="A6314" s="136" t="str">
        <f t="shared" si="42"/>
        <v/>
      </c>
      <c r="B6314" s="136" t="str">
        <f t="shared" si="43"/>
        <v/>
      </c>
    </row>
    <row r="6315" spans="1:2">
      <c r="A6315" s="136" t="str">
        <f t="shared" si="42"/>
        <v/>
      </c>
      <c r="B6315" s="136" t="str">
        <f t="shared" si="43"/>
        <v/>
      </c>
    </row>
    <row r="6316" spans="1:2">
      <c r="A6316" s="136" t="str">
        <f t="shared" si="42"/>
        <v/>
      </c>
      <c r="B6316" s="136" t="str">
        <f t="shared" si="43"/>
        <v/>
      </c>
    </row>
    <row r="6317" spans="1:2">
      <c r="A6317" s="136" t="str">
        <f t="shared" si="42"/>
        <v/>
      </c>
      <c r="B6317" s="136" t="str">
        <f t="shared" si="43"/>
        <v/>
      </c>
    </row>
    <row r="6318" spans="1:2">
      <c r="A6318" s="136" t="str">
        <f t="shared" si="42"/>
        <v/>
      </c>
      <c r="B6318" s="136" t="str">
        <f t="shared" si="43"/>
        <v/>
      </c>
    </row>
    <row r="6319" spans="1:2">
      <c r="A6319" s="136" t="str">
        <f t="shared" si="42"/>
        <v/>
      </c>
      <c r="B6319" s="136" t="str">
        <f t="shared" si="43"/>
        <v/>
      </c>
    </row>
    <row r="6320" spans="1:2">
      <c r="A6320" s="136" t="str">
        <f t="shared" si="42"/>
        <v/>
      </c>
      <c r="B6320" s="136" t="str">
        <f t="shared" si="43"/>
        <v/>
      </c>
    </row>
    <row r="6321" spans="1:2">
      <c r="A6321" s="136" t="str">
        <f t="shared" si="42"/>
        <v/>
      </c>
      <c r="B6321" s="136" t="str">
        <f t="shared" si="43"/>
        <v/>
      </c>
    </row>
    <row r="6322" spans="1:2">
      <c r="A6322" s="136" t="str">
        <f t="shared" si="42"/>
        <v/>
      </c>
      <c r="B6322" s="136" t="str">
        <f t="shared" si="43"/>
        <v/>
      </c>
    </row>
    <row r="6323" spans="1:2">
      <c r="A6323" s="136" t="str">
        <f t="shared" si="42"/>
        <v/>
      </c>
      <c r="B6323" s="136" t="str">
        <f t="shared" si="43"/>
        <v/>
      </c>
    </row>
    <row r="6324" spans="1:2">
      <c r="A6324" s="136" t="str">
        <f t="shared" si="42"/>
        <v/>
      </c>
      <c r="B6324" s="136" t="str">
        <f t="shared" si="43"/>
        <v/>
      </c>
    </row>
    <row r="6325" spans="1:2">
      <c r="A6325" s="136" t="str">
        <f t="shared" si="42"/>
        <v/>
      </c>
      <c r="B6325" s="136" t="str">
        <f t="shared" si="43"/>
        <v/>
      </c>
    </row>
    <row r="6326" spans="1:2">
      <c r="A6326" s="136" t="str">
        <f t="shared" si="42"/>
        <v/>
      </c>
      <c r="B6326" s="136" t="str">
        <f t="shared" si="43"/>
        <v/>
      </c>
    </row>
    <row r="6327" spans="1:2">
      <c r="A6327" s="136" t="str">
        <f t="shared" si="42"/>
        <v/>
      </c>
      <c r="B6327" s="136" t="str">
        <f t="shared" si="43"/>
        <v/>
      </c>
    </row>
    <row r="6328" spans="1:2">
      <c r="A6328" s="136" t="str">
        <f t="shared" si="42"/>
        <v/>
      </c>
      <c r="B6328" s="136" t="str">
        <f t="shared" si="43"/>
        <v/>
      </c>
    </row>
    <row r="6329" spans="1:2">
      <c r="A6329" s="136" t="str">
        <f t="shared" si="42"/>
        <v/>
      </c>
      <c r="B6329" s="136" t="str">
        <f t="shared" si="43"/>
        <v/>
      </c>
    </row>
    <row r="6330" spans="1:2">
      <c r="A6330" s="136" t="str">
        <f t="shared" si="42"/>
        <v/>
      </c>
      <c r="B6330" s="136" t="str">
        <f t="shared" si="43"/>
        <v/>
      </c>
    </row>
    <row r="6331" spans="1:2">
      <c r="A6331" s="136" t="str">
        <f t="shared" si="42"/>
        <v/>
      </c>
      <c r="B6331" s="136" t="str">
        <f t="shared" si="43"/>
        <v/>
      </c>
    </row>
    <row r="6332" spans="1:2">
      <c r="A6332" s="136" t="str">
        <f t="shared" si="42"/>
        <v/>
      </c>
      <c r="B6332" s="136" t="str">
        <f t="shared" si="43"/>
        <v/>
      </c>
    </row>
    <row r="6333" spans="1:2">
      <c r="A6333" s="136" t="str">
        <f t="shared" si="42"/>
        <v/>
      </c>
      <c r="B6333" s="136" t="str">
        <f t="shared" si="43"/>
        <v/>
      </c>
    </row>
    <row r="6334" spans="1:2">
      <c r="A6334" s="136" t="str">
        <f t="shared" si="42"/>
        <v/>
      </c>
      <c r="B6334" s="136" t="str">
        <f t="shared" si="43"/>
        <v/>
      </c>
    </row>
    <row r="6335" spans="1:2">
      <c r="A6335" s="136" t="str">
        <f t="shared" si="42"/>
        <v/>
      </c>
      <c r="B6335" s="136" t="str">
        <f t="shared" si="43"/>
        <v/>
      </c>
    </row>
    <row r="6336" spans="1:2">
      <c r="A6336" s="136" t="str">
        <f t="shared" si="42"/>
        <v/>
      </c>
      <c r="B6336" s="136" t="str">
        <f t="shared" si="43"/>
        <v/>
      </c>
    </row>
    <row r="6337" spans="1:2">
      <c r="A6337" s="136" t="str">
        <f t="shared" si="42"/>
        <v/>
      </c>
      <c r="B6337" s="136" t="str">
        <f t="shared" si="43"/>
        <v/>
      </c>
    </row>
    <row r="6338" spans="1:2">
      <c r="A6338" s="136" t="str">
        <f t="shared" si="42"/>
        <v/>
      </c>
      <c r="B6338" s="136" t="str">
        <f t="shared" si="43"/>
        <v/>
      </c>
    </row>
    <row r="6339" spans="1:2">
      <c r="A6339" s="136" t="str">
        <f t="shared" si="42"/>
        <v/>
      </c>
      <c r="B6339" s="136" t="str">
        <f t="shared" si="43"/>
        <v/>
      </c>
    </row>
    <row r="6340" spans="1:2">
      <c r="A6340" s="136" t="str">
        <f t="shared" si="42"/>
        <v/>
      </c>
      <c r="B6340" s="136" t="str">
        <f t="shared" si="43"/>
        <v/>
      </c>
    </row>
    <row r="6341" spans="1:2">
      <c r="A6341" s="136" t="str">
        <f t="shared" si="42"/>
        <v/>
      </c>
      <c r="B6341" s="136" t="str">
        <f t="shared" si="43"/>
        <v/>
      </c>
    </row>
    <row r="6342" spans="1:2">
      <c r="A6342" s="136" t="str">
        <f t="shared" si="42"/>
        <v/>
      </c>
      <c r="B6342" s="136" t="str">
        <f t="shared" si="43"/>
        <v/>
      </c>
    </row>
    <row r="6343" spans="1:2">
      <c r="A6343" s="136" t="str">
        <f t="shared" si="42"/>
        <v/>
      </c>
      <c r="B6343" s="136" t="str">
        <f t="shared" si="43"/>
        <v/>
      </c>
    </row>
    <row r="6344" spans="1:2">
      <c r="A6344" s="136" t="str">
        <f t="shared" si="42"/>
        <v/>
      </c>
      <c r="B6344" s="136" t="str">
        <f t="shared" si="43"/>
        <v/>
      </c>
    </row>
    <row r="6345" spans="1:2">
      <c r="A6345" s="136" t="str">
        <f t="shared" si="42"/>
        <v/>
      </c>
      <c r="B6345" s="136" t="str">
        <f t="shared" si="43"/>
        <v/>
      </c>
    </row>
    <row r="6346" spans="1:2">
      <c r="A6346" s="136" t="str">
        <f t="shared" si="42"/>
        <v/>
      </c>
      <c r="B6346" s="136" t="str">
        <f t="shared" si="43"/>
        <v/>
      </c>
    </row>
    <row r="6347" spans="1:2">
      <c r="A6347" s="136" t="str">
        <f t="shared" si="42"/>
        <v/>
      </c>
      <c r="B6347" s="136" t="str">
        <f t="shared" si="43"/>
        <v/>
      </c>
    </row>
    <row r="6348" spans="1:2">
      <c r="A6348" s="136" t="str">
        <f t="shared" si="42"/>
        <v/>
      </c>
      <c r="B6348" s="136" t="str">
        <f t="shared" si="43"/>
        <v/>
      </c>
    </row>
    <row r="6349" spans="1:2">
      <c r="A6349" s="136" t="str">
        <f t="shared" si="42"/>
        <v/>
      </c>
      <c r="B6349" s="136" t="str">
        <f t="shared" si="43"/>
        <v/>
      </c>
    </row>
    <row r="6350" spans="1:2">
      <c r="A6350" s="136" t="str">
        <f t="shared" si="42"/>
        <v/>
      </c>
      <c r="B6350" s="136" t="str">
        <f t="shared" si="43"/>
        <v/>
      </c>
    </row>
    <row r="6351" spans="1:2">
      <c r="A6351" s="136" t="str">
        <f t="shared" si="42"/>
        <v/>
      </c>
      <c r="B6351" s="136" t="str">
        <f t="shared" si="43"/>
        <v/>
      </c>
    </row>
    <row r="6352" spans="1:2">
      <c r="A6352" s="136" t="str">
        <f t="shared" si="42"/>
        <v/>
      </c>
      <c r="B6352" s="136" t="str">
        <f t="shared" si="43"/>
        <v/>
      </c>
    </row>
    <row r="6353" spans="1:2">
      <c r="A6353" s="136" t="str">
        <f t="shared" si="42"/>
        <v/>
      </c>
      <c r="B6353" s="136" t="str">
        <f t="shared" si="43"/>
        <v/>
      </c>
    </row>
    <row r="6354" spans="1:2">
      <c r="A6354" s="136" t="str">
        <f t="shared" si="42"/>
        <v/>
      </c>
      <c r="B6354" s="136" t="str">
        <f t="shared" si="43"/>
        <v/>
      </c>
    </row>
    <row r="6355" spans="1:2">
      <c r="A6355" s="136" t="str">
        <f t="shared" si="42"/>
        <v/>
      </c>
      <c r="B6355" s="136" t="str">
        <f t="shared" si="43"/>
        <v/>
      </c>
    </row>
    <row r="6356" spans="1:2">
      <c r="A6356" s="136" t="str">
        <f t="shared" si="42"/>
        <v/>
      </c>
      <c r="B6356" s="136" t="str">
        <f t="shared" si="43"/>
        <v/>
      </c>
    </row>
    <row r="6357" spans="1:2">
      <c r="A6357" s="136" t="str">
        <f t="shared" ref="A6357:A6420" si="44">HYPERLINK("http://tw.stock.yahoo.com/q/ta?s=","")</f>
        <v/>
      </c>
      <c r="B6357" s="136" t="str">
        <f t="shared" ref="B6357:B6420" si="45">HYPERLINK("http://tw.stock.yahoo.com/d/s/earning_.html","")</f>
        <v/>
      </c>
    </row>
    <row r="6358" spans="1:2">
      <c r="A6358" s="136" t="str">
        <f t="shared" si="44"/>
        <v/>
      </c>
      <c r="B6358" s="136" t="str">
        <f t="shared" si="45"/>
        <v/>
      </c>
    </row>
    <row r="6359" spans="1:2">
      <c r="A6359" s="136" t="str">
        <f t="shared" si="44"/>
        <v/>
      </c>
      <c r="B6359" s="136" t="str">
        <f t="shared" si="45"/>
        <v/>
      </c>
    </row>
    <row r="6360" spans="1:2">
      <c r="A6360" s="136" t="str">
        <f t="shared" si="44"/>
        <v/>
      </c>
      <c r="B6360" s="136" t="str">
        <f t="shared" si="45"/>
        <v/>
      </c>
    </row>
    <row r="6361" spans="1:2">
      <c r="A6361" s="136" t="str">
        <f t="shared" si="44"/>
        <v/>
      </c>
      <c r="B6361" s="136" t="str">
        <f t="shared" si="45"/>
        <v/>
      </c>
    </row>
    <row r="6362" spans="1:2">
      <c r="A6362" s="136" t="str">
        <f t="shared" si="44"/>
        <v/>
      </c>
      <c r="B6362" s="136" t="str">
        <f t="shared" si="45"/>
        <v/>
      </c>
    </row>
    <row r="6363" spans="1:2">
      <c r="A6363" s="136" t="str">
        <f t="shared" si="44"/>
        <v/>
      </c>
      <c r="B6363" s="136" t="str">
        <f t="shared" si="45"/>
        <v/>
      </c>
    </row>
    <row r="6364" spans="1:2">
      <c r="A6364" s="136" t="str">
        <f t="shared" si="44"/>
        <v/>
      </c>
      <c r="B6364" s="136" t="str">
        <f t="shared" si="45"/>
        <v/>
      </c>
    </row>
    <row r="6365" spans="1:2">
      <c r="A6365" s="136" t="str">
        <f t="shared" si="44"/>
        <v/>
      </c>
      <c r="B6365" s="136" t="str">
        <f t="shared" si="45"/>
        <v/>
      </c>
    </row>
    <row r="6366" spans="1:2">
      <c r="A6366" s="136" t="str">
        <f t="shared" si="44"/>
        <v/>
      </c>
      <c r="B6366" s="136" t="str">
        <f t="shared" si="45"/>
        <v/>
      </c>
    </row>
    <row r="6367" spans="1:2">
      <c r="A6367" s="136" t="str">
        <f t="shared" si="44"/>
        <v/>
      </c>
      <c r="B6367" s="136" t="str">
        <f t="shared" si="45"/>
        <v/>
      </c>
    </row>
    <row r="6368" spans="1:2">
      <c r="A6368" s="136" t="str">
        <f t="shared" si="44"/>
        <v/>
      </c>
      <c r="B6368" s="136" t="str">
        <f t="shared" si="45"/>
        <v/>
      </c>
    </row>
    <row r="6369" spans="1:2">
      <c r="A6369" s="136" t="str">
        <f t="shared" si="44"/>
        <v/>
      </c>
      <c r="B6369" s="136" t="str">
        <f t="shared" si="45"/>
        <v/>
      </c>
    </row>
    <row r="6370" spans="1:2">
      <c r="A6370" s="136" t="str">
        <f t="shared" si="44"/>
        <v/>
      </c>
      <c r="B6370" s="136" t="str">
        <f t="shared" si="45"/>
        <v/>
      </c>
    </row>
    <row r="6371" spans="1:2">
      <c r="A6371" s="136" t="str">
        <f t="shared" si="44"/>
        <v/>
      </c>
      <c r="B6371" s="136" t="str">
        <f t="shared" si="45"/>
        <v/>
      </c>
    </row>
    <row r="6372" spans="1:2">
      <c r="A6372" s="136" t="str">
        <f t="shared" si="44"/>
        <v/>
      </c>
      <c r="B6372" s="136" t="str">
        <f t="shared" si="45"/>
        <v/>
      </c>
    </row>
    <row r="6373" spans="1:2">
      <c r="A6373" s="136" t="str">
        <f t="shared" si="44"/>
        <v/>
      </c>
      <c r="B6373" s="136" t="str">
        <f t="shared" si="45"/>
        <v/>
      </c>
    </row>
    <row r="6374" spans="1:2">
      <c r="A6374" s="136" t="str">
        <f t="shared" si="44"/>
        <v/>
      </c>
      <c r="B6374" s="136" t="str">
        <f t="shared" si="45"/>
        <v/>
      </c>
    </row>
    <row r="6375" spans="1:2">
      <c r="A6375" s="136" t="str">
        <f t="shared" si="44"/>
        <v/>
      </c>
      <c r="B6375" s="136" t="str">
        <f t="shared" si="45"/>
        <v/>
      </c>
    </row>
    <row r="6376" spans="1:2">
      <c r="A6376" s="136" t="str">
        <f t="shared" si="44"/>
        <v/>
      </c>
      <c r="B6376" s="136" t="str">
        <f t="shared" si="45"/>
        <v/>
      </c>
    </row>
    <row r="6377" spans="1:2">
      <c r="A6377" s="136" t="str">
        <f t="shared" si="44"/>
        <v/>
      </c>
      <c r="B6377" s="136" t="str">
        <f t="shared" si="45"/>
        <v/>
      </c>
    </row>
    <row r="6378" spans="1:2">
      <c r="A6378" s="136" t="str">
        <f t="shared" si="44"/>
        <v/>
      </c>
      <c r="B6378" s="136" t="str">
        <f t="shared" si="45"/>
        <v/>
      </c>
    </row>
    <row r="6379" spans="1:2">
      <c r="A6379" s="136" t="str">
        <f t="shared" si="44"/>
        <v/>
      </c>
      <c r="B6379" s="136" t="str">
        <f t="shared" si="45"/>
        <v/>
      </c>
    </row>
    <row r="6380" spans="1:2">
      <c r="A6380" s="136" t="str">
        <f t="shared" si="44"/>
        <v/>
      </c>
      <c r="B6380" s="136" t="str">
        <f t="shared" si="45"/>
        <v/>
      </c>
    </row>
    <row r="6381" spans="1:2">
      <c r="A6381" s="136" t="str">
        <f t="shared" si="44"/>
        <v/>
      </c>
      <c r="B6381" s="136" t="str">
        <f t="shared" si="45"/>
        <v/>
      </c>
    </row>
    <row r="6382" spans="1:2">
      <c r="A6382" s="136" t="str">
        <f t="shared" si="44"/>
        <v/>
      </c>
      <c r="B6382" s="136" t="str">
        <f t="shared" si="45"/>
        <v/>
      </c>
    </row>
    <row r="6383" spans="1:2">
      <c r="A6383" s="136" t="str">
        <f t="shared" si="44"/>
        <v/>
      </c>
      <c r="B6383" s="136" t="str">
        <f t="shared" si="45"/>
        <v/>
      </c>
    </row>
    <row r="6384" spans="1:2">
      <c r="A6384" s="136" t="str">
        <f t="shared" si="44"/>
        <v/>
      </c>
      <c r="B6384" s="136" t="str">
        <f t="shared" si="45"/>
        <v/>
      </c>
    </row>
    <row r="6385" spans="1:2">
      <c r="A6385" s="136" t="str">
        <f t="shared" si="44"/>
        <v/>
      </c>
      <c r="B6385" s="136" t="str">
        <f t="shared" si="45"/>
        <v/>
      </c>
    </row>
    <row r="6386" spans="1:2">
      <c r="A6386" s="136" t="str">
        <f t="shared" si="44"/>
        <v/>
      </c>
      <c r="B6386" s="136" t="str">
        <f t="shared" si="45"/>
        <v/>
      </c>
    </row>
    <row r="6387" spans="1:2">
      <c r="A6387" s="136" t="str">
        <f t="shared" si="44"/>
        <v/>
      </c>
      <c r="B6387" s="136" t="str">
        <f t="shared" si="45"/>
        <v/>
      </c>
    </row>
    <row r="6388" spans="1:2">
      <c r="A6388" s="136" t="str">
        <f t="shared" si="44"/>
        <v/>
      </c>
      <c r="B6388" s="136" t="str">
        <f t="shared" si="45"/>
        <v/>
      </c>
    </row>
    <row r="6389" spans="1:2">
      <c r="A6389" s="136" t="str">
        <f t="shared" si="44"/>
        <v/>
      </c>
      <c r="B6389" s="136" t="str">
        <f t="shared" si="45"/>
        <v/>
      </c>
    </row>
    <row r="6390" spans="1:2">
      <c r="A6390" s="136" t="str">
        <f t="shared" si="44"/>
        <v/>
      </c>
      <c r="B6390" s="136" t="str">
        <f t="shared" si="45"/>
        <v/>
      </c>
    </row>
    <row r="6391" spans="1:2">
      <c r="A6391" s="136" t="str">
        <f t="shared" si="44"/>
        <v/>
      </c>
      <c r="B6391" s="136" t="str">
        <f t="shared" si="45"/>
        <v/>
      </c>
    </row>
    <row r="6392" spans="1:2">
      <c r="A6392" s="136" t="str">
        <f t="shared" si="44"/>
        <v/>
      </c>
      <c r="B6392" s="136" t="str">
        <f t="shared" si="45"/>
        <v/>
      </c>
    </row>
    <row r="6393" spans="1:2">
      <c r="A6393" s="136" t="str">
        <f t="shared" si="44"/>
        <v/>
      </c>
      <c r="B6393" s="136" t="str">
        <f t="shared" si="45"/>
        <v/>
      </c>
    </row>
    <row r="6394" spans="1:2">
      <c r="A6394" s="136" t="str">
        <f t="shared" si="44"/>
        <v/>
      </c>
      <c r="B6394" s="136" t="str">
        <f t="shared" si="45"/>
        <v/>
      </c>
    </row>
    <row r="6395" spans="1:2">
      <c r="A6395" s="136" t="str">
        <f t="shared" si="44"/>
        <v/>
      </c>
      <c r="B6395" s="136" t="str">
        <f t="shared" si="45"/>
        <v/>
      </c>
    </row>
    <row r="6396" spans="1:2">
      <c r="A6396" s="136" t="str">
        <f t="shared" si="44"/>
        <v/>
      </c>
      <c r="B6396" s="136" t="str">
        <f t="shared" si="45"/>
        <v/>
      </c>
    </row>
    <row r="6397" spans="1:2">
      <c r="A6397" s="136" t="str">
        <f t="shared" si="44"/>
        <v/>
      </c>
      <c r="B6397" s="136" t="str">
        <f t="shared" si="45"/>
        <v/>
      </c>
    </row>
    <row r="6398" spans="1:2">
      <c r="A6398" s="136" t="str">
        <f t="shared" si="44"/>
        <v/>
      </c>
      <c r="B6398" s="136" t="str">
        <f t="shared" si="45"/>
        <v/>
      </c>
    </row>
    <row r="6399" spans="1:2">
      <c r="A6399" s="136" t="str">
        <f t="shared" si="44"/>
        <v/>
      </c>
      <c r="B6399" s="136" t="str">
        <f t="shared" si="45"/>
        <v/>
      </c>
    </row>
    <row r="6400" spans="1:2">
      <c r="A6400" s="136" t="str">
        <f t="shared" si="44"/>
        <v/>
      </c>
      <c r="B6400" s="136" t="str">
        <f t="shared" si="45"/>
        <v/>
      </c>
    </row>
    <row r="6401" spans="1:2">
      <c r="A6401" s="136" t="str">
        <f t="shared" si="44"/>
        <v/>
      </c>
      <c r="B6401" s="136" t="str">
        <f t="shared" si="45"/>
        <v/>
      </c>
    </row>
    <row r="6402" spans="1:2">
      <c r="A6402" s="136" t="str">
        <f t="shared" si="44"/>
        <v/>
      </c>
      <c r="B6402" s="136" t="str">
        <f t="shared" si="45"/>
        <v/>
      </c>
    </row>
    <row r="6403" spans="1:2">
      <c r="A6403" s="136" t="str">
        <f t="shared" si="44"/>
        <v/>
      </c>
      <c r="B6403" s="136" t="str">
        <f t="shared" si="45"/>
        <v/>
      </c>
    </row>
    <row r="6404" spans="1:2">
      <c r="A6404" s="136" t="str">
        <f t="shared" si="44"/>
        <v/>
      </c>
      <c r="B6404" s="136" t="str">
        <f t="shared" si="45"/>
        <v/>
      </c>
    </row>
    <row r="6405" spans="1:2">
      <c r="A6405" s="136" t="str">
        <f t="shared" si="44"/>
        <v/>
      </c>
      <c r="B6405" s="136" t="str">
        <f t="shared" si="45"/>
        <v/>
      </c>
    </row>
    <row r="6406" spans="1:2">
      <c r="A6406" s="136" t="str">
        <f t="shared" si="44"/>
        <v/>
      </c>
      <c r="B6406" s="136" t="str">
        <f t="shared" si="45"/>
        <v/>
      </c>
    </row>
    <row r="6407" spans="1:2">
      <c r="A6407" s="136" t="str">
        <f t="shared" si="44"/>
        <v/>
      </c>
      <c r="B6407" s="136" t="str">
        <f t="shared" si="45"/>
        <v/>
      </c>
    </row>
    <row r="6408" spans="1:2">
      <c r="A6408" s="136" t="str">
        <f t="shared" si="44"/>
        <v/>
      </c>
      <c r="B6408" s="136" t="str">
        <f t="shared" si="45"/>
        <v/>
      </c>
    </row>
    <row r="6409" spans="1:2">
      <c r="A6409" s="136" t="str">
        <f t="shared" si="44"/>
        <v/>
      </c>
      <c r="B6409" s="136" t="str">
        <f t="shared" si="45"/>
        <v/>
      </c>
    </row>
    <row r="6410" spans="1:2">
      <c r="A6410" s="136" t="str">
        <f t="shared" si="44"/>
        <v/>
      </c>
      <c r="B6410" s="136" t="str">
        <f t="shared" si="45"/>
        <v/>
      </c>
    </row>
    <row r="6411" spans="1:2">
      <c r="A6411" s="136" t="str">
        <f t="shared" si="44"/>
        <v/>
      </c>
      <c r="B6411" s="136" t="str">
        <f t="shared" si="45"/>
        <v/>
      </c>
    </row>
    <row r="6412" spans="1:2">
      <c r="A6412" s="136" t="str">
        <f t="shared" si="44"/>
        <v/>
      </c>
      <c r="B6412" s="136" t="str">
        <f t="shared" si="45"/>
        <v/>
      </c>
    </row>
    <row r="6413" spans="1:2">
      <c r="A6413" s="136" t="str">
        <f t="shared" si="44"/>
        <v/>
      </c>
      <c r="B6413" s="136" t="str">
        <f t="shared" si="45"/>
        <v/>
      </c>
    </row>
    <row r="6414" spans="1:2">
      <c r="A6414" s="136" t="str">
        <f t="shared" si="44"/>
        <v/>
      </c>
      <c r="B6414" s="136" t="str">
        <f t="shared" si="45"/>
        <v/>
      </c>
    </row>
    <row r="6415" spans="1:2">
      <c r="A6415" s="136" t="str">
        <f t="shared" si="44"/>
        <v/>
      </c>
      <c r="B6415" s="136" t="str">
        <f t="shared" si="45"/>
        <v/>
      </c>
    </row>
    <row r="6416" spans="1:2">
      <c r="A6416" s="136" t="str">
        <f t="shared" si="44"/>
        <v/>
      </c>
      <c r="B6416" s="136" t="str">
        <f t="shared" si="45"/>
        <v/>
      </c>
    </row>
    <row r="6417" spans="1:2">
      <c r="A6417" s="136" t="str">
        <f t="shared" si="44"/>
        <v/>
      </c>
      <c r="B6417" s="136" t="str">
        <f t="shared" si="45"/>
        <v/>
      </c>
    </row>
    <row r="6418" spans="1:2">
      <c r="A6418" s="136" t="str">
        <f t="shared" si="44"/>
        <v/>
      </c>
      <c r="B6418" s="136" t="str">
        <f t="shared" si="45"/>
        <v/>
      </c>
    </row>
    <row r="6419" spans="1:2">
      <c r="A6419" s="136" t="str">
        <f t="shared" si="44"/>
        <v/>
      </c>
      <c r="B6419" s="136" t="str">
        <f t="shared" si="45"/>
        <v/>
      </c>
    </row>
    <row r="6420" spans="1:2">
      <c r="A6420" s="136" t="str">
        <f t="shared" si="44"/>
        <v/>
      </c>
      <c r="B6420" s="136" t="str">
        <f t="shared" si="45"/>
        <v/>
      </c>
    </row>
    <row r="6421" spans="1:2">
      <c r="A6421" s="136" t="str">
        <f t="shared" ref="A6421:A6484" si="46">HYPERLINK("http://tw.stock.yahoo.com/q/ta?s=","")</f>
        <v/>
      </c>
      <c r="B6421" s="136" t="str">
        <f t="shared" ref="B6421:B6484" si="47">HYPERLINK("http://tw.stock.yahoo.com/d/s/earning_.html","")</f>
        <v/>
      </c>
    </row>
    <row r="6422" spans="1:2">
      <c r="A6422" s="136" t="str">
        <f t="shared" si="46"/>
        <v/>
      </c>
      <c r="B6422" s="136" t="str">
        <f t="shared" si="47"/>
        <v/>
      </c>
    </row>
    <row r="6423" spans="1:2">
      <c r="A6423" s="136" t="str">
        <f t="shared" si="46"/>
        <v/>
      </c>
      <c r="B6423" s="136" t="str">
        <f t="shared" si="47"/>
        <v/>
      </c>
    </row>
    <row r="6424" spans="1:2">
      <c r="A6424" s="136" t="str">
        <f t="shared" si="46"/>
        <v/>
      </c>
      <c r="B6424" s="136" t="str">
        <f t="shared" si="47"/>
        <v/>
      </c>
    </row>
    <row r="6425" spans="1:2">
      <c r="A6425" s="136" t="str">
        <f t="shared" si="46"/>
        <v/>
      </c>
      <c r="B6425" s="136" t="str">
        <f t="shared" si="47"/>
        <v/>
      </c>
    </row>
    <row r="6426" spans="1:2">
      <c r="A6426" s="136" t="str">
        <f t="shared" si="46"/>
        <v/>
      </c>
      <c r="B6426" s="136" t="str">
        <f t="shared" si="47"/>
        <v/>
      </c>
    </row>
    <row r="6427" spans="1:2">
      <c r="A6427" s="136" t="str">
        <f t="shared" si="46"/>
        <v/>
      </c>
      <c r="B6427" s="136" t="str">
        <f t="shared" si="47"/>
        <v/>
      </c>
    </row>
    <row r="6428" spans="1:2">
      <c r="A6428" s="136" t="str">
        <f t="shared" si="46"/>
        <v/>
      </c>
      <c r="B6428" s="136" t="str">
        <f t="shared" si="47"/>
        <v/>
      </c>
    </row>
    <row r="6429" spans="1:2">
      <c r="A6429" s="136" t="str">
        <f t="shared" si="46"/>
        <v/>
      </c>
      <c r="B6429" s="136" t="str">
        <f t="shared" si="47"/>
        <v/>
      </c>
    </row>
    <row r="6430" spans="1:2">
      <c r="A6430" s="136" t="str">
        <f t="shared" si="46"/>
        <v/>
      </c>
      <c r="B6430" s="136" t="str">
        <f t="shared" si="47"/>
        <v/>
      </c>
    </row>
    <row r="6431" spans="1:2">
      <c r="A6431" s="136" t="str">
        <f t="shared" si="46"/>
        <v/>
      </c>
      <c r="B6431" s="136" t="str">
        <f t="shared" si="47"/>
        <v/>
      </c>
    </row>
    <row r="6432" spans="1:2">
      <c r="A6432" s="136" t="str">
        <f t="shared" si="46"/>
        <v/>
      </c>
      <c r="B6432" s="136" t="str">
        <f t="shared" si="47"/>
        <v/>
      </c>
    </row>
    <row r="6433" spans="1:2">
      <c r="A6433" s="136" t="str">
        <f t="shared" si="46"/>
        <v/>
      </c>
      <c r="B6433" s="136" t="str">
        <f t="shared" si="47"/>
        <v/>
      </c>
    </row>
    <row r="6434" spans="1:2">
      <c r="A6434" s="136" t="str">
        <f t="shared" si="46"/>
        <v/>
      </c>
      <c r="B6434" s="136" t="str">
        <f t="shared" si="47"/>
        <v/>
      </c>
    </row>
    <row r="6435" spans="1:2">
      <c r="A6435" s="136" t="str">
        <f t="shared" si="46"/>
        <v/>
      </c>
      <c r="B6435" s="136" t="str">
        <f t="shared" si="47"/>
        <v/>
      </c>
    </row>
    <row r="6436" spans="1:2">
      <c r="A6436" s="136" t="str">
        <f t="shared" si="46"/>
        <v/>
      </c>
      <c r="B6436" s="136" t="str">
        <f t="shared" si="47"/>
        <v/>
      </c>
    </row>
    <row r="6437" spans="1:2">
      <c r="A6437" s="136" t="str">
        <f t="shared" si="46"/>
        <v/>
      </c>
      <c r="B6437" s="136" t="str">
        <f t="shared" si="47"/>
        <v/>
      </c>
    </row>
    <row r="6438" spans="1:2">
      <c r="A6438" s="136" t="str">
        <f t="shared" si="46"/>
        <v/>
      </c>
      <c r="B6438" s="136" t="str">
        <f t="shared" si="47"/>
        <v/>
      </c>
    </row>
    <row r="6439" spans="1:2">
      <c r="A6439" s="136" t="str">
        <f t="shared" si="46"/>
        <v/>
      </c>
      <c r="B6439" s="136" t="str">
        <f t="shared" si="47"/>
        <v/>
      </c>
    </row>
    <row r="6440" spans="1:2">
      <c r="A6440" s="136" t="str">
        <f t="shared" si="46"/>
        <v/>
      </c>
      <c r="B6440" s="136" t="str">
        <f t="shared" si="47"/>
        <v/>
      </c>
    </row>
    <row r="6441" spans="1:2">
      <c r="A6441" s="136" t="str">
        <f t="shared" si="46"/>
        <v/>
      </c>
      <c r="B6441" s="136" t="str">
        <f t="shared" si="47"/>
        <v/>
      </c>
    </row>
    <row r="6442" spans="1:2">
      <c r="A6442" s="136" t="str">
        <f t="shared" si="46"/>
        <v/>
      </c>
      <c r="B6442" s="136" t="str">
        <f t="shared" si="47"/>
        <v/>
      </c>
    </row>
    <row r="6443" spans="1:2">
      <c r="A6443" s="136" t="str">
        <f t="shared" si="46"/>
        <v/>
      </c>
      <c r="B6443" s="136" t="str">
        <f t="shared" si="47"/>
        <v/>
      </c>
    </row>
    <row r="6444" spans="1:2">
      <c r="A6444" s="136" t="str">
        <f t="shared" si="46"/>
        <v/>
      </c>
      <c r="B6444" s="136" t="str">
        <f t="shared" si="47"/>
        <v/>
      </c>
    </row>
    <row r="6445" spans="1:2">
      <c r="A6445" s="136" t="str">
        <f t="shared" si="46"/>
        <v/>
      </c>
      <c r="B6445" s="136" t="str">
        <f t="shared" si="47"/>
        <v/>
      </c>
    </row>
    <row r="6446" spans="1:2">
      <c r="A6446" s="136" t="str">
        <f t="shared" si="46"/>
        <v/>
      </c>
      <c r="B6446" s="136" t="str">
        <f t="shared" si="47"/>
        <v/>
      </c>
    </row>
    <row r="6447" spans="1:2">
      <c r="A6447" s="136" t="str">
        <f t="shared" si="46"/>
        <v/>
      </c>
      <c r="B6447" s="136" t="str">
        <f t="shared" si="47"/>
        <v/>
      </c>
    </row>
    <row r="6448" spans="1:2">
      <c r="A6448" s="136" t="str">
        <f t="shared" si="46"/>
        <v/>
      </c>
      <c r="B6448" s="136" t="str">
        <f t="shared" si="47"/>
        <v/>
      </c>
    </row>
    <row r="6449" spans="1:2">
      <c r="A6449" s="136" t="str">
        <f t="shared" si="46"/>
        <v/>
      </c>
      <c r="B6449" s="136" t="str">
        <f t="shared" si="47"/>
        <v/>
      </c>
    </row>
    <row r="6450" spans="1:2">
      <c r="A6450" s="136" t="str">
        <f t="shared" si="46"/>
        <v/>
      </c>
      <c r="B6450" s="136" t="str">
        <f t="shared" si="47"/>
        <v/>
      </c>
    </row>
    <row r="6451" spans="1:2">
      <c r="A6451" s="136" t="str">
        <f t="shared" si="46"/>
        <v/>
      </c>
      <c r="B6451" s="136" t="str">
        <f t="shared" si="47"/>
        <v/>
      </c>
    </row>
    <row r="6452" spans="1:2">
      <c r="A6452" s="136" t="str">
        <f t="shared" si="46"/>
        <v/>
      </c>
      <c r="B6452" s="136" t="str">
        <f t="shared" si="47"/>
        <v/>
      </c>
    </row>
    <row r="6453" spans="1:2">
      <c r="A6453" s="136" t="str">
        <f t="shared" si="46"/>
        <v/>
      </c>
      <c r="B6453" s="136" t="str">
        <f t="shared" si="47"/>
        <v/>
      </c>
    </row>
    <row r="6454" spans="1:2">
      <c r="A6454" s="136" t="str">
        <f t="shared" si="46"/>
        <v/>
      </c>
      <c r="B6454" s="136" t="str">
        <f t="shared" si="47"/>
        <v/>
      </c>
    </row>
    <row r="6455" spans="1:2">
      <c r="A6455" s="136" t="str">
        <f t="shared" si="46"/>
        <v/>
      </c>
      <c r="B6455" s="136" t="str">
        <f t="shared" si="47"/>
        <v/>
      </c>
    </row>
    <row r="6456" spans="1:2">
      <c r="A6456" s="136" t="str">
        <f t="shared" si="46"/>
        <v/>
      </c>
      <c r="B6456" s="136" t="str">
        <f t="shared" si="47"/>
        <v/>
      </c>
    </row>
    <row r="6457" spans="1:2">
      <c r="A6457" s="136" t="str">
        <f t="shared" si="46"/>
        <v/>
      </c>
      <c r="B6457" s="136" t="str">
        <f t="shared" si="47"/>
        <v/>
      </c>
    </row>
    <row r="6458" spans="1:2">
      <c r="A6458" s="136" t="str">
        <f t="shared" si="46"/>
        <v/>
      </c>
      <c r="B6458" s="136" t="str">
        <f t="shared" si="47"/>
        <v/>
      </c>
    </row>
    <row r="6459" spans="1:2">
      <c r="A6459" s="136" t="str">
        <f t="shared" si="46"/>
        <v/>
      </c>
      <c r="B6459" s="136" t="str">
        <f t="shared" si="47"/>
        <v/>
      </c>
    </row>
    <row r="6460" spans="1:2">
      <c r="A6460" s="136" t="str">
        <f t="shared" si="46"/>
        <v/>
      </c>
      <c r="B6460" s="136" t="str">
        <f t="shared" si="47"/>
        <v/>
      </c>
    </row>
    <row r="6461" spans="1:2">
      <c r="A6461" s="136" t="str">
        <f t="shared" si="46"/>
        <v/>
      </c>
      <c r="B6461" s="136" t="str">
        <f t="shared" si="47"/>
        <v/>
      </c>
    </row>
    <row r="6462" spans="1:2">
      <c r="A6462" s="136" t="str">
        <f t="shared" si="46"/>
        <v/>
      </c>
      <c r="B6462" s="136" t="str">
        <f t="shared" si="47"/>
        <v/>
      </c>
    </row>
    <row r="6463" spans="1:2">
      <c r="A6463" s="136" t="str">
        <f t="shared" si="46"/>
        <v/>
      </c>
      <c r="B6463" s="136" t="str">
        <f t="shared" si="47"/>
        <v/>
      </c>
    </row>
    <row r="6464" spans="1:2">
      <c r="A6464" s="136" t="str">
        <f t="shared" si="46"/>
        <v/>
      </c>
      <c r="B6464" s="136" t="str">
        <f t="shared" si="47"/>
        <v/>
      </c>
    </row>
    <row r="6465" spans="1:2">
      <c r="A6465" s="136" t="str">
        <f t="shared" si="46"/>
        <v/>
      </c>
      <c r="B6465" s="136" t="str">
        <f t="shared" si="47"/>
        <v/>
      </c>
    </row>
    <row r="6466" spans="1:2">
      <c r="A6466" s="136" t="str">
        <f t="shared" si="46"/>
        <v/>
      </c>
      <c r="B6466" s="136" t="str">
        <f t="shared" si="47"/>
        <v/>
      </c>
    </row>
    <row r="6467" spans="1:2">
      <c r="A6467" s="136" t="str">
        <f t="shared" si="46"/>
        <v/>
      </c>
      <c r="B6467" s="136" t="str">
        <f t="shared" si="47"/>
        <v/>
      </c>
    </row>
    <row r="6468" spans="1:2">
      <c r="A6468" s="136" t="str">
        <f t="shared" si="46"/>
        <v/>
      </c>
      <c r="B6468" s="136" t="str">
        <f t="shared" si="47"/>
        <v/>
      </c>
    </row>
    <row r="6469" spans="1:2">
      <c r="A6469" s="136" t="str">
        <f t="shared" si="46"/>
        <v/>
      </c>
      <c r="B6469" s="136" t="str">
        <f t="shared" si="47"/>
        <v/>
      </c>
    </row>
    <row r="6470" spans="1:2">
      <c r="A6470" s="136" t="str">
        <f t="shared" si="46"/>
        <v/>
      </c>
      <c r="B6470" s="136" t="str">
        <f t="shared" si="47"/>
        <v/>
      </c>
    </row>
    <row r="6471" spans="1:2">
      <c r="A6471" s="136" t="str">
        <f t="shared" si="46"/>
        <v/>
      </c>
      <c r="B6471" s="136" t="str">
        <f t="shared" si="47"/>
        <v/>
      </c>
    </row>
    <row r="6472" spans="1:2">
      <c r="A6472" s="136" t="str">
        <f t="shared" si="46"/>
        <v/>
      </c>
      <c r="B6472" s="136" t="str">
        <f t="shared" si="47"/>
        <v/>
      </c>
    </row>
    <row r="6473" spans="1:2">
      <c r="A6473" s="136" t="str">
        <f t="shared" si="46"/>
        <v/>
      </c>
      <c r="B6473" s="136" t="str">
        <f t="shared" si="47"/>
        <v/>
      </c>
    </row>
    <row r="6474" spans="1:2">
      <c r="A6474" s="136" t="str">
        <f t="shared" si="46"/>
        <v/>
      </c>
      <c r="B6474" s="136" t="str">
        <f t="shared" si="47"/>
        <v/>
      </c>
    </row>
    <row r="6475" spans="1:2">
      <c r="A6475" s="136" t="str">
        <f t="shared" si="46"/>
        <v/>
      </c>
      <c r="B6475" s="136" t="str">
        <f t="shared" si="47"/>
        <v/>
      </c>
    </row>
    <row r="6476" spans="1:2">
      <c r="A6476" s="136" t="str">
        <f t="shared" si="46"/>
        <v/>
      </c>
      <c r="B6476" s="136" t="str">
        <f t="shared" si="47"/>
        <v/>
      </c>
    </row>
    <row r="6477" spans="1:2">
      <c r="A6477" s="136" t="str">
        <f t="shared" si="46"/>
        <v/>
      </c>
      <c r="B6477" s="136" t="str">
        <f t="shared" si="47"/>
        <v/>
      </c>
    </row>
    <row r="6478" spans="1:2">
      <c r="A6478" s="136" t="str">
        <f t="shared" si="46"/>
        <v/>
      </c>
      <c r="B6478" s="136" t="str">
        <f t="shared" si="47"/>
        <v/>
      </c>
    </row>
    <row r="6479" spans="1:2">
      <c r="A6479" s="136" t="str">
        <f t="shared" si="46"/>
        <v/>
      </c>
      <c r="B6479" s="136" t="str">
        <f t="shared" si="47"/>
        <v/>
      </c>
    </row>
    <row r="6480" spans="1:2">
      <c r="A6480" s="136" t="str">
        <f t="shared" si="46"/>
        <v/>
      </c>
      <c r="B6480" s="136" t="str">
        <f t="shared" si="47"/>
        <v/>
      </c>
    </row>
    <row r="6481" spans="1:2">
      <c r="A6481" s="136" t="str">
        <f t="shared" si="46"/>
        <v/>
      </c>
      <c r="B6481" s="136" t="str">
        <f t="shared" si="47"/>
        <v/>
      </c>
    </row>
    <row r="6482" spans="1:2">
      <c r="A6482" s="136" t="str">
        <f t="shared" si="46"/>
        <v/>
      </c>
      <c r="B6482" s="136" t="str">
        <f t="shared" si="47"/>
        <v/>
      </c>
    </row>
    <row r="6483" spans="1:2">
      <c r="A6483" s="136" t="str">
        <f t="shared" si="46"/>
        <v/>
      </c>
      <c r="B6483" s="136" t="str">
        <f t="shared" si="47"/>
        <v/>
      </c>
    </row>
    <row r="6484" spans="1:2">
      <c r="A6484" s="136" t="str">
        <f t="shared" si="46"/>
        <v/>
      </c>
      <c r="B6484" s="136" t="str">
        <f t="shared" si="47"/>
        <v/>
      </c>
    </row>
    <row r="6485" spans="1:2">
      <c r="A6485" s="136" t="str">
        <f t="shared" ref="A6485:A6548" si="48">HYPERLINK("http://tw.stock.yahoo.com/q/ta?s=","")</f>
        <v/>
      </c>
      <c r="B6485" s="136" t="str">
        <f t="shared" ref="B6485:B6548" si="49">HYPERLINK("http://tw.stock.yahoo.com/d/s/earning_.html","")</f>
        <v/>
      </c>
    </row>
    <row r="6486" spans="1:2">
      <c r="A6486" s="136" t="str">
        <f t="shared" si="48"/>
        <v/>
      </c>
      <c r="B6486" s="136" t="str">
        <f t="shared" si="49"/>
        <v/>
      </c>
    </row>
    <row r="6487" spans="1:2">
      <c r="A6487" s="136" t="str">
        <f t="shared" si="48"/>
        <v/>
      </c>
      <c r="B6487" s="136" t="str">
        <f t="shared" si="49"/>
        <v/>
      </c>
    </row>
    <row r="6488" spans="1:2">
      <c r="A6488" s="136" t="str">
        <f t="shared" si="48"/>
        <v/>
      </c>
      <c r="B6488" s="136" t="str">
        <f t="shared" si="49"/>
        <v/>
      </c>
    </row>
    <row r="6489" spans="1:2">
      <c r="A6489" s="136" t="str">
        <f t="shared" si="48"/>
        <v/>
      </c>
      <c r="B6489" s="136" t="str">
        <f t="shared" si="49"/>
        <v/>
      </c>
    </row>
    <row r="6490" spans="1:2">
      <c r="A6490" s="136" t="str">
        <f t="shared" si="48"/>
        <v/>
      </c>
      <c r="B6490" s="136" t="str">
        <f t="shared" si="49"/>
        <v/>
      </c>
    </row>
    <row r="6491" spans="1:2">
      <c r="A6491" s="136" t="str">
        <f t="shared" si="48"/>
        <v/>
      </c>
      <c r="B6491" s="136" t="str">
        <f t="shared" si="49"/>
        <v/>
      </c>
    </row>
    <row r="6492" spans="1:2">
      <c r="A6492" s="136" t="str">
        <f t="shared" si="48"/>
        <v/>
      </c>
      <c r="B6492" s="136" t="str">
        <f t="shared" si="49"/>
        <v/>
      </c>
    </row>
    <row r="6493" spans="1:2">
      <c r="A6493" s="136" t="str">
        <f t="shared" si="48"/>
        <v/>
      </c>
      <c r="B6493" s="136" t="str">
        <f t="shared" si="49"/>
        <v/>
      </c>
    </row>
    <row r="6494" spans="1:2">
      <c r="A6494" s="136" t="str">
        <f t="shared" si="48"/>
        <v/>
      </c>
      <c r="B6494" s="136" t="str">
        <f t="shared" si="49"/>
        <v/>
      </c>
    </row>
    <row r="6495" spans="1:2">
      <c r="A6495" s="136" t="str">
        <f t="shared" si="48"/>
        <v/>
      </c>
      <c r="B6495" s="136" t="str">
        <f t="shared" si="49"/>
        <v/>
      </c>
    </row>
    <row r="6496" spans="1:2">
      <c r="A6496" s="136" t="str">
        <f t="shared" si="48"/>
        <v/>
      </c>
      <c r="B6496" s="136" t="str">
        <f t="shared" si="49"/>
        <v/>
      </c>
    </row>
    <row r="6497" spans="1:2">
      <c r="A6497" s="136" t="str">
        <f t="shared" si="48"/>
        <v/>
      </c>
      <c r="B6497" s="136" t="str">
        <f t="shared" si="49"/>
        <v/>
      </c>
    </row>
    <row r="6498" spans="1:2">
      <c r="A6498" s="136" t="str">
        <f t="shared" si="48"/>
        <v/>
      </c>
      <c r="B6498" s="136" t="str">
        <f t="shared" si="49"/>
        <v/>
      </c>
    </row>
    <row r="6499" spans="1:2">
      <c r="A6499" s="136" t="str">
        <f t="shared" si="48"/>
        <v/>
      </c>
      <c r="B6499" s="136" t="str">
        <f t="shared" si="49"/>
        <v/>
      </c>
    </row>
    <row r="6500" spans="1:2">
      <c r="A6500" s="136" t="str">
        <f t="shared" si="48"/>
        <v/>
      </c>
      <c r="B6500" s="136" t="str">
        <f t="shared" si="49"/>
        <v/>
      </c>
    </row>
    <row r="6501" spans="1:2">
      <c r="A6501" s="136" t="str">
        <f t="shared" si="48"/>
        <v/>
      </c>
      <c r="B6501" s="136" t="str">
        <f t="shared" si="49"/>
        <v/>
      </c>
    </row>
    <row r="6502" spans="1:2">
      <c r="A6502" s="136" t="str">
        <f t="shared" si="48"/>
        <v/>
      </c>
      <c r="B6502" s="136" t="str">
        <f t="shared" si="49"/>
        <v/>
      </c>
    </row>
    <row r="6503" spans="1:2">
      <c r="A6503" s="136" t="str">
        <f t="shared" si="48"/>
        <v/>
      </c>
      <c r="B6503" s="136" t="str">
        <f t="shared" si="49"/>
        <v/>
      </c>
    </row>
    <row r="6504" spans="1:2">
      <c r="A6504" s="136" t="str">
        <f t="shared" si="48"/>
        <v/>
      </c>
      <c r="B6504" s="136" t="str">
        <f t="shared" si="49"/>
        <v/>
      </c>
    </row>
    <row r="6505" spans="1:2">
      <c r="A6505" s="136" t="str">
        <f t="shared" si="48"/>
        <v/>
      </c>
      <c r="B6505" s="136" t="str">
        <f t="shared" si="49"/>
        <v/>
      </c>
    </row>
    <row r="6506" spans="1:2">
      <c r="A6506" s="136" t="str">
        <f t="shared" si="48"/>
        <v/>
      </c>
      <c r="B6506" s="136" t="str">
        <f t="shared" si="49"/>
        <v/>
      </c>
    </row>
    <row r="6507" spans="1:2">
      <c r="A6507" s="136" t="str">
        <f t="shared" si="48"/>
        <v/>
      </c>
      <c r="B6507" s="136" t="str">
        <f t="shared" si="49"/>
        <v/>
      </c>
    </row>
    <row r="6508" spans="1:2">
      <c r="A6508" s="136" t="str">
        <f t="shared" si="48"/>
        <v/>
      </c>
      <c r="B6508" s="136" t="str">
        <f t="shared" si="49"/>
        <v/>
      </c>
    </row>
    <row r="6509" spans="1:2">
      <c r="A6509" s="136" t="str">
        <f t="shared" si="48"/>
        <v/>
      </c>
      <c r="B6509" s="136" t="str">
        <f t="shared" si="49"/>
        <v/>
      </c>
    </row>
    <row r="6510" spans="1:2">
      <c r="A6510" s="136" t="str">
        <f t="shared" si="48"/>
        <v/>
      </c>
      <c r="B6510" s="136" t="str">
        <f t="shared" si="49"/>
        <v/>
      </c>
    </row>
    <row r="6511" spans="1:2">
      <c r="A6511" s="136" t="str">
        <f t="shared" si="48"/>
        <v/>
      </c>
      <c r="B6511" s="136" t="str">
        <f t="shared" si="49"/>
        <v/>
      </c>
    </row>
    <row r="6512" spans="1:2">
      <c r="A6512" s="136" t="str">
        <f t="shared" si="48"/>
        <v/>
      </c>
      <c r="B6512" s="136" t="str">
        <f t="shared" si="49"/>
        <v/>
      </c>
    </row>
    <row r="6513" spans="1:2">
      <c r="A6513" s="136" t="str">
        <f t="shared" si="48"/>
        <v/>
      </c>
      <c r="B6513" s="136" t="str">
        <f t="shared" si="49"/>
        <v/>
      </c>
    </row>
    <row r="6514" spans="1:2">
      <c r="A6514" s="136" t="str">
        <f t="shared" si="48"/>
        <v/>
      </c>
      <c r="B6514" s="136" t="str">
        <f t="shared" si="49"/>
        <v/>
      </c>
    </row>
    <row r="6515" spans="1:2">
      <c r="A6515" s="136" t="str">
        <f t="shared" si="48"/>
        <v/>
      </c>
      <c r="B6515" s="136" t="str">
        <f t="shared" si="49"/>
        <v/>
      </c>
    </row>
    <row r="6516" spans="1:2">
      <c r="A6516" s="136" t="str">
        <f t="shared" si="48"/>
        <v/>
      </c>
      <c r="B6516" s="136" t="str">
        <f t="shared" si="49"/>
        <v/>
      </c>
    </row>
    <row r="6517" spans="1:2">
      <c r="A6517" s="136" t="str">
        <f t="shared" si="48"/>
        <v/>
      </c>
      <c r="B6517" s="136" t="str">
        <f t="shared" si="49"/>
        <v/>
      </c>
    </row>
    <row r="6518" spans="1:2">
      <c r="A6518" s="136" t="str">
        <f t="shared" si="48"/>
        <v/>
      </c>
      <c r="B6518" s="136" t="str">
        <f t="shared" si="49"/>
        <v/>
      </c>
    </row>
    <row r="6519" spans="1:2">
      <c r="A6519" s="136" t="str">
        <f t="shared" si="48"/>
        <v/>
      </c>
      <c r="B6519" s="136" t="str">
        <f t="shared" si="49"/>
        <v/>
      </c>
    </row>
    <row r="6520" spans="1:2">
      <c r="A6520" s="136" t="str">
        <f t="shared" si="48"/>
        <v/>
      </c>
      <c r="B6520" s="136" t="str">
        <f t="shared" si="49"/>
        <v/>
      </c>
    </row>
    <row r="6521" spans="1:2">
      <c r="A6521" s="136" t="str">
        <f t="shared" si="48"/>
        <v/>
      </c>
      <c r="B6521" s="136" t="str">
        <f t="shared" si="49"/>
        <v/>
      </c>
    </row>
    <row r="6522" spans="1:2">
      <c r="A6522" s="136" t="str">
        <f t="shared" si="48"/>
        <v/>
      </c>
      <c r="B6522" s="136" t="str">
        <f t="shared" si="49"/>
        <v/>
      </c>
    </row>
    <row r="6523" spans="1:2">
      <c r="A6523" s="136" t="str">
        <f t="shared" si="48"/>
        <v/>
      </c>
      <c r="B6523" s="136" t="str">
        <f t="shared" si="49"/>
        <v/>
      </c>
    </row>
    <row r="6524" spans="1:2">
      <c r="A6524" s="136" t="str">
        <f t="shared" si="48"/>
        <v/>
      </c>
      <c r="B6524" s="136" t="str">
        <f t="shared" si="49"/>
        <v/>
      </c>
    </row>
    <row r="6525" spans="1:2">
      <c r="A6525" s="136" t="str">
        <f t="shared" si="48"/>
        <v/>
      </c>
      <c r="B6525" s="136" t="str">
        <f t="shared" si="49"/>
        <v/>
      </c>
    </row>
    <row r="6526" spans="1:2">
      <c r="A6526" s="136" t="str">
        <f t="shared" si="48"/>
        <v/>
      </c>
      <c r="B6526" s="136" t="str">
        <f t="shared" si="49"/>
        <v/>
      </c>
    </row>
    <row r="6527" spans="1:2">
      <c r="A6527" s="136" t="str">
        <f t="shared" si="48"/>
        <v/>
      </c>
      <c r="B6527" s="136" t="str">
        <f t="shared" si="49"/>
        <v/>
      </c>
    </row>
    <row r="6528" spans="1:2">
      <c r="A6528" s="136" t="str">
        <f t="shared" si="48"/>
        <v/>
      </c>
      <c r="B6528" s="136" t="str">
        <f t="shared" si="49"/>
        <v/>
      </c>
    </row>
    <row r="6529" spans="1:2">
      <c r="A6529" s="136" t="str">
        <f t="shared" si="48"/>
        <v/>
      </c>
      <c r="B6529" s="136" t="str">
        <f t="shared" si="49"/>
        <v/>
      </c>
    </row>
    <row r="6530" spans="1:2">
      <c r="A6530" s="136" t="str">
        <f t="shared" si="48"/>
        <v/>
      </c>
      <c r="B6530" s="136" t="str">
        <f t="shared" si="49"/>
        <v/>
      </c>
    </row>
    <row r="6531" spans="1:2">
      <c r="A6531" s="136" t="str">
        <f t="shared" si="48"/>
        <v/>
      </c>
      <c r="B6531" s="136" t="str">
        <f t="shared" si="49"/>
        <v/>
      </c>
    </row>
    <row r="6532" spans="1:2">
      <c r="A6532" s="136" t="str">
        <f t="shared" si="48"/>
        <v/>
      </c>
      <c r="B6532" s="136" t="str">
        <f t="shared" si="49"/>
        <v/>
      </c>
    </row>
    <row r="6533" spans="1:2">
      <c r="A6533" s="136" t="str">
        <f t="shared" si="48"/>
        <v/>
      </c>
      <c r="B6533" s="136" t="str">
        <f t="shared" si="49"/>
        <v/>
      </c>
    </row>
    <row r="6534" spans="1:2">
      <c r="A6534" s="136" t="str">
        <f t="shared" si="48"/>
        <v/>
      </c>
      <c r="B6534" s="136" t="str">
        <f t="shared" si="49"/>
        <v/>
      </c>
    </row>
    <row r="6535" spans="1:2">
      <c r="A6535" s="136" t="str">
        <f t="shared" si="48"/>
        <v/>
      </c>
      <c r="B6535" s="136" t="str">
        <f t="shared" si="49"/>
        <v/>
      </c>
    </row>
    <row r="6536" spans="1:2">
      <c r="A6536" s="136" t="str">
        <f t="shared" si="48"/>
        <v/>
      </c>
      <c r="B6536" s="136" t="str">
        <f t="shared" si="49"/>
        <v/>
      </c>
    </row>
    <row r="6537" spans="1:2">
      <c r="A6537" s="136" t="str">
        <f t="shared" si="48"/>
        <v/>
      </c>
      <c r="B6537" s="136" t="str">
        <f t="shared" si="49"/>
        <v/>
      </c>
    </row>
    <row r="6538" spans="1:2">
      <c r="A6538" s="136" t="str">
        <f t="shared" si="48"/>
        <v/>
      </c>
      <c r="B6538" s="136" t="str">
        <f t="shared" si="49"/>
        <v/>
      </c>
    </row>
    <row r="6539" spans="1:2">
      <c r="A6539" s="136" t="str">
        <f t="shared" si="48"/>
        <v/>
      </c>
      <c r="B6539" s="136" t="str">
        <f t="shared" si="49"/>
        <v/>
      </c>
    </row>
    <row r="6540" spans="1:2">
      <c r="A6540" s="136" t="str">
        <f t="shared" si="48"/>
        <v/>
      </c>
      <c r="B6540" s="136" t="str">
        <f t="shared" si="49"/>
        <v/>
      </c>
    </row>
    <row r="6541" spans="1:2">
      <c r="A6541" s="136" t="str">
        <f t="shared" si="48"/>
        <v/>
      </c>
      <c r="B6541" s="136" t="str">
        <f t="shared" si="49"/>
        <v/>
      </c>
    </row>
    <row r="6542" spans="1:2">
      <c r="A6542" s="136" t="str">
        <f t="shared" si="48"/>
        <v/>
      </c>
      <c r="B6542" s="136" t="str">
        <f t="shared" si="49"/>
        <v/>
      </c>
    </row>
    <row r="6543" spans="1:2">
      <c r="A6543" s="136" t="str">
        <f t="shared" si="48"/>
        <v/>
      </c>
      <c r="B6543" s="136" t="str">
        <f t="shared" si="49"/>
        <v/>
      </c>
    </row>
    <row r="6544" spans="1:2">
      <c r="A6544" s="136" t="str">
        <f t="shared" si="48"/>
        <v/>
      </c>
      <c r="B6544" s="136" t="str">
        <f t="shared" si="49"/>
        <v/>
      </c>
    </row>
    <row r="6545" spans="1:2">
      <c r="A6545" s="136" t="str">
        <f t="shared" si="48"/>
        <v/>
      </c>
      <c r="B6545" s="136" t="str">
        <f t="shared" si="49"/>
        <v/>
      </c>
    </row>
    <row r="6546" spans="1:2">
      <c r="A6546" s="136" t="str">
        <f t="shared" si="48"/>
        <v/>
      </c>
      <c r="B6546" s="136" t="str">
        <f t="shared" si="49"/>
        <v/>
      </c>
    </row>
    <row r="6547" spans="1:2">
      <c r="A6547" s="136" t="str">
        <f t="shared" si="48"/>
        <v/>
      </c>
      <c r="B6547" s="136" t="str">
        <f t="shared" si="49"/>
        <v/>
      </c>
    </row>
    <row r="6548" spans="1:2">
      <c r="A6548" s="136" t="str">
        <f t="shared" si="48"/>
        <v/>
      </c>
      <c r="B6548" s="136" t="str">
        <f t="shared" si="49"/>
        <v/>
      </c>
    </row>
    <row r="6549" spans="1:2">
      <c r="A6549" s="136" t="str">
        <f t="shared" ref="A6549:A6612" si="50">HYPERLINK("http://tw.stock.yahoo.com/q/ta?s=","")</f>
        <v/>
      </c>
      <c r="B6549" s="136" t="str">
        <f t="shared" ref="B6549:B6612" si="51">HYPERLINK("http://tw.stock.yahoo.com/d/s/earning_.html","")</f>
        <v/>
      </c>
    </row>
    <row r="6550" spans="1:2">
      <c r="A6550" s="136" t="str">
        <f t="shared" si="50"/>
        <v/>
      </c>
      <c r="B6550" s="136" t="str">
        <f t="shared" si="51"/>
        <v/>
      </c>
    </row>
    <row r="6551" spans="1:2">
      <c r="A6551" s="136" t="str">
        <f t="shared" si="50"/>
        <v/>
      </c>
      <c r="B6551" s="136" t="str">
        <f t="shared" si="51"/>
        <v/>
      </c>
    </row>
    <row r="6552" spans="1:2">
      <c r="A6552" s="136" t="str">
        <f t="shared" si="50"/>
        <v/>
      </c>
      <c r="B6552" s="136" t="str">
        <f t="shared" si="51"/>
        <v/>
      </c>
    </row>
    <row r="6553" spans="1:2">
      <c r="A6553" s="136" t="str">
        <f t="shared" si="50"/>
        <v/>
      </c>
      <c r="B6553" s="136" t="str">
        <f t="shared" si="51"/>
        <v/>
      </c>
    </row>
    <row r="6554" spans="1:2">
      <c r="A6554" s="136" t="str">
        <f t="shared" si="50"/>
        <v/>
      </c>
      <c r="B6554" s="136" t="str">
        <f t="shared" si="51"/>
        <v/>
      </c>
    </row>
    <row r="6555" spans="1:2">
      <c r="A6555" s="136" t="str">
        <f t="shared" si="50"/>
        <v/>
      </c>
      <c r="B6555" s="136" t="str">
        <f t="shared" si="51"/>
        <v/>
      </c>
    </row>
    <row r="6556" spans="1:2">
      <c r="A6556" s="136" t="str">
        <f t="shared" si="50"/>
        <v/>
      </c>
      <c r="B6556" s="136" t="str">
        <f t="shared" si="51"/>
        <v/>
      </c>
    </row>
    <row r="6557" spans="1:2">
      <c r="A6557" s="136" t="str">
        <f t="shared" si="50"/>
        <v/>
      </c>
      <c r="B6557" s="136" t="str">
        <f t="shared" si="51"/>
        <v/>
      </c>
    </row>
    <row r="6558" spans="1:2">
      <c r="A6558" s="136" t="str">
        <f t="shared" si="50"/>
        <v/>
      </c>
      <c r="B6558" s="136" t="str">
        <f t="shared" si="51"/>
        <v/>
      </c>
    </row>
    <row r="6559" spans="1:2">
      <c r="A6559" s="136" t="str">
        <f t="shared" si="50"/>
        <v/>
      </c>
      <c r="B6559" s="136" t="str">
        <f t="shared" si="51"/>
        <v/>
      </c>
    </row>
    <row r="6560" spans="1:2">
      <c r="A6560" s="136" t="str">
        <f t="shared" si="50"/>
        <v/>
      </c>
      <c r="B6560" s="136" t="str">
        <f t="shared" si="51"/>
        <v/>
      </c>
    </row>
    <row r="6561" spans="1:2">
      <c r="A6561" s="136" t="str">
        <f t="shared" si="50"/>
        <v/>
      </c>
      <c r="B6561" s="136" t="str">
        <f t="shared" si="51"/>
        <v/>
      </c>
    </row>
    <row r="6562" spans="1:2">
      <c r="A6562" s="136" t="str">
        <f t="shared" si="50"/>
        <v/>
      </c>
      <c r="B6562" s="136" t="str">
        <f t="shared" si="51"/>
        <v/>
      </c>
    </row>
    <row r="6563" spans="1:2">
      <c r="A6563" s="136" t="str">
        <f t="shared" si="50"/>
        <v/>
      </c>
      <c r="B6563" s="136" t="str">
        <f t="shared" si="51"/>
        <v/>
      </c>
    </row>
    <row r="6564" spans="1:2">
      <c r="A6564" s="136" t="str">
        <f t="shared" si="50"/>
        <v/>
      </c>
      <c r="B6564" s="136" t="str">
        <f t="shared" si="51"/>
        <v/>
      </c>
    </row>
    <row r="6565" spans="1:2">
      <c r="A6565" s="136" t="str">
        <f t="shared" si="50"/>
        <v/>
      </c>
      <c r="B6565" s="136" t="str">
        <f t="shared" si="51"/>
        <v/>
      </c>
    </row>
    <row r="6566" spans="1:2">
      <c r="A6566" s="136" t="str">
        <f t="shared" si="50"/>
        <v/>
      </c>
      <c r="B6566" s="136" t="str">
        <f t="shared" si="51"/>
        <v/>
      </c>
    </row>
    <row r="6567" spans="1:2">
      <c r="A6567" s="136" t="str">
        <f t="shared" si="50"/>
        <v/>
      </c>
      <c r="B6567" s="136" t="str">
        <f t="shared" si="51"/>
        <v/>
      </c>
    </row>
    <row r="6568" spans="1:2">
      <c r="A6568" s="136" t="str">
        <f t="shared" si="50"/>
        <v/>
      </c>
      <c r="B6568" s="136" t="str">
        <f t="shared" si="51"/>
        <v/>
      </c>
    </row>
    <row r="6569" spans="1:2">
      <c r="A6569" s="136" t="str">
        <f t="shared" si="50"/>
        <v/>
      </c>
      <c r="B6569" s="136" t="str">
        <f t="shared" si="51"/>
        <v/>
      </c>
    </row>
    <row r="6570" spans="1:2">
      <c r="A6570" s="136" t="str">
        <f t="shared" si="50"/>
        <v/>
      </c>
      <c r="B6570" s="136" t="str">
        <f t="shared" si="51"/>
        <v/>
      </c>
    </row>
    <row r="6571" spans="1:2">
      <c r="A6571" s="136" t="str">
        <f t="shared" si="50"/>
        <v/>
      </c>
      <c r="B6571" s="136" t="str">
        <f t="shared" si="51"/>
        <v/>
      </c>
    </row>
    <row r="6572" spans="1:2">
      <c r="A6572" s="136" t="str">
        <f t="shared" si="50"/>
        <v/>
      </c>
      <c r="B6572" s="136" t="str">
        <f t="shared" si="51"/>
        <v/>
      </c>
    </row>
    <row r="6573" spans="1:2">
      <c r="A6573" s="136" t="str">
        <f t="shared" si="50"/>
        <v/>
      </c>
      <c r="B6573" s="136" t="str">
        <f t="shared" si="51"/>
        <v/>
      </c>
    </row>
    <row r="6574" spans="1:2">
      <c r="A6574" s="136" t="str">
        <f t="shared" si="50"/>
        <v/>
      </c>
      <c r="B6574" s="136" t="str">
        <f t="shared" si="51"/>
        <v/>
      </c>
    </row>
    <row r="6575" spans="1:2">
      <c r="A6575" s="136" t="str">
        <f t="shared" si="50"/>
        <v/>
      </c>
      <c r="B6575" s="136" t="str">
        <f t="shared" si="51"/>
        <v/>
      </c>
    </row>
    <row r="6576" spans="1:2">
      <c r="A6576" s="136" t="str">
        <f t="shared" si="50"/>
        <v/>
      </c>
      <c r="B6576" s="136" t="str">
        <f t="shared" si="51"/>
        <v/>
      </c>
    </row>
    <row r="6577" spans="1:2">
      <c r="A6577" s="136" t="str">
        <f t="shared" si="50"/>
        <v/>
      </c>
      <c r="B6577" s="136" t="str">
        <f t="shared" si="51"/>
        <v/>
      </c>
    </row>
    <row r="6578" spans="1:2">
      <c r="A6578" s="136" t="str">
        <f t="shared" si="50"/>
        <v/>
      </c>
      <c r="B6578" s="136" t="str">
        <f t="shared" si="51"/>
        <v/>
      </c>
    </row>
    <row r="6579" spans="1:2">
      <c r="A6579" s="136" t="str">
        <f t="shared" si="50"/>
        <v/>
      </c>
      <c r="B6579" s="136" t="str">
        <f t="shared" si="51"/>
        <v/>
      </c>
    </row>
    <row r="6580" spans="1:2">
      <c r="A6580" s="136" t="str">
        <f t="shared" si="50"/>
        <v/>
      </c>
      <c r="B6580" s="136" t="str">
        <f t="shared" si="51"/>
        <v/>
      </c>
    </row>
    <row r="6581" spans="1:2">
      <c r="A6581" s="136" t="str">
        <f t="shared" si="50"/>
        <v/>
      </c>
      <c r="B6581" s="136" t="str">
        <f t="shared" si="51"/>
        <v/>
      </c>
    </row>
    <row r="6582" spans="1:2">
      <c r="A6582" s="136" t="str">
        <f t="shared" si="50"/>
        <v/>
      </c>
      <c r="B6582" s="136" t="str">
        <f t="shared" si="51"/>
        <v/>
      </c>
    </row>
    <row r="6583" spans="1:2">
      <c r="A6583" s="136" t="str">
        <f t="shared" si="50"/>
        <v/>
      </c>
      <c r="B6583" s="136" t="str">
        <f t="shared" si="51"/>
        <v/>
      </c>
    </row>
    <row r="6584" spans="1:2">
      <c r="A6584" s="136" t="str">
        <f t="shared" si="50"/>
        <v/>
      </c>
      <c r="B6584" s="136" t="str">
        <f t="shared" si="51"/>
        <v/>
      </c>
    </row>
    <row r="6585" spans="1:2">
      <c r="A6585" s="136" t="str">
        <f t="shared" si="50"/>
        <v/>
      </c>
      <c r="B6585" s="136" t="str">
        <f t="shared" si="51"/>
        <v/>
      </c>
    </row>
    <row r="6586" spans="1:2">
      <c r="A6586" s="136" t="str">
        <f t="shared" si="50"/>
        <v/>
      </c>
      <c r="B6586" s="136" t="str">
        <f t="shared" si="51"/>
        <v/>
      </c>
    </row>
    <row r="6587" spans="1:2">
      <c r="A6587" s="136" t="str">
        <f t="shared" si="50"/>
        <v/>
      </c>
      <c r="B6587" s="136" t="str">
        <f t="shared" si="51"/>
        <v/>
      </c>
    </row>
    <row r="6588" spans="1:2">
      <c r="A6588" s="136" t="str">
        <f t="shared" si="50"/>
        <v/>
      </c>
      <c r="B6588" s="136" t="str">
        <f t="shared" si="51"/>
        <v/>
      </c>
    </row>
    <row r="6589" spans="1:2">
      <c r="A6589" s="136" t="str">
        <f t="shared" si="50"/>
        <v/>
      </c>
      <c r="B6589" s="136" t="str">
        <f t="shared" si="51"/>
        <v/>
      </c>
    </row>
    <row r="6590" spans="1:2">
      <c r="A6590" s="136" t="str">
        <f t="shared" si="50"/>
        <v/>
      </c>
      <c r="B6590" s="136" t="str">
        <f t="shared" si="51"/>
        <v/>
      </c>
    </row>
    <row r="6591" spans="1:2">
      <c r="A6591" s="136" t="str">
        <f t="shared" si="50"/>
        <v/>
      </c>
      <c r="B6591" s="136" t="str">
        <f t="shared" si="51"/>
        <v/>
      </c>
    </row>
    <row r="6592" spans="1:2">
      <c r="A6592" s="136" t="str">
        <f t="shared" si="50"/>
        <v/>
      </c>
      <c r="B6592" s="136" t="str">
        <f t="shared" si="51"/>
        <v/>
      </c>
    </row>
    <row r="6593" spans="1:2">
      <c r="A6593" s="136" t="str">
        <f t="shared" si="50"/>
        <v/>
      </c>
      <c r="B6593" s="136" t="str">
        <f t="shared" si="51"/>
        <v/>
      </c>
    </row>
    <row r="6594" spans="1:2">
      <c r="A6594" s="136" t="str">
        <f t="shared" si="50"/>
        <v/>
      </c>
      <c r="B6594" s="136" t="str">
        <f t="shared" si="51"/>
        <v/>
      </c>
    </row>
    <row r="6595" spans="1:2">
      <c r="A6595" s="136" t="str">
        <f t="shared" si="50"/>
        <v/>
      </c>
      <c r="B6595" s="136" t="str">
        <f t="shared" si="51"/>
        <v/>
      </c>
    </row>
    <row r="6596" spans="1:2">
      <c r="A6596" s="136" t="str">
        <f t="shared" si="50"/>
        <v/>
      </c>
      <c r="B6596" s="136" t="str">
        <f t="shared" si="51"/>
        <v/>
      </c>
    </row>
    <row r="6597" spans="1:2">
      <c r="A6597" s="136" t="str">
        <f t="shared" si="50"/>
        <v/>
      </c>
      <c r="B6597" s="136" t="str">
        <f t="shared" si="51"/>
        <v/>
      </c>
    </row>
    <row r="6598" spans="1:2">
      <c r="A6598" s="136" t="str">
        <f t="shared" si="50"/>
        <v/>
      </c>
      <c r="B6598" s="136" t="str">
        <f t="shared" si="51"/>
        <v/>
      </c>
    </row>
    <row r="6599" spans="1:2">
      <c r="A6599" s="136" t="str">
        <f t="shared" si="50"/>
        <v/>
      </c>
      <c r="B6599" s="136" t="str">
        <f t="shared" si="51"/>
        <v/>
      </c>
    </row>
    <row r="6600" spans="1:2">
      <c r="A6600" s="136" t="str">
        <f t="shared" si="50"/>
        <v/>
      </c>
      <c r="B6600" s="136" t="str">
        <f t="shared" si="51"/>
        <v/>
      </c>
    </row>
    <row r="6601" spans="1:2">
      <c r="A6601" s="136" t="str">
        <f t="shared" si="50"/>
        <v/>
      </c>
      <c r="B6601" s="136" t="str">
        <f t="shared" si="51"/>
        <v/>
      </c>
    </row>
    <row r="6602" spans="1:2">
      <c r="A6602" s="136" t="str">
        <f t="shared" si="50"/>
        <v/>
      </c>
      <c r="B6602" s="136" t="str">
        <f t="shared" si="51"/>
        <v/>
      </c>
    </row>
    <row r="6603" spans="1:2">
      <c r="A6603" s="136" t="str">
        <f t="shared" si="50"/>
        <v/>
      </c>
      <c r="B6603" s="136" t="str">
        <f t="shared" si="51"/>
        <v/>
      </c>
    </row>
    <row r="6604" spans="1:2">
      <c r="A6604" s="136" t="str">
        <f t="shared" si="50"/>
        <v/>
      </c>
      <c r="B6604" s="136" t="str">
        <f t="shared" si="51"/>
        <v/>
      </c>
    </row>
    <row r="6605" spans="1:2">
      <c r="A6605" s="136" t="str">
        <f t="shared" si="50"/>
        <v/>
      </c>
      <c r="B6605" s="136" t="str">
        <f t="shared" si="51"/>
        <v/>
      </c>
    </row>
    <row r="6606" spans="1:2">
      <c r="A6606" s="136" t="str">
        <f t="shared" si="50"/>
        <v/>
      </c>
      <c r="B6606" s="136" t="str">
        <f t="shared" si="51"/>
        <v/>
      </c>
    </row>
    <row r="6607" spans="1:2">
      <c r="A6607" s="136" t="str">
        <f t="shared" si="50"/>
        <v/>
      </c>
      <c r="B6607" s="136" t="str">
        <f t="shared" si="51"/>
        <v/>
      </c>
    </row>
    <row r="6608" spans="1:2">
      <c r="A6608" s="136" t="str">
        <f t="shared" si="50"/>
        <v/>
      </c>
      <c r="B6608" s="136" t="str">
        <f t="shared" si="51"/>
        <v/>
      </c>
    </row>
    <row r="6609" spans="1:2">
      <c r="A6609" s="136" t="str">
        <f t="shared" si="50"/>
        <v/>
      </c>
      <c r="B6609" s="136" t="str">
        <f t="shared" si="51"/>
        <v/>
      </c>
    </row>
    <row r="6610" spans="1:2">
      <c r="A6610" s="136" t="str">
        <f t="shared" si="50"/>
        <v/>
      </c>
      <c r="B6610" s="136" t="str">
        <f t="shared" si="51"/>
        <v/>
      </c>
    </row>
    <row r="6611" spans="1:2">
      <c r="A6611" s="136" t="str">
        <f t="shared" si="50"/>
        <v/>
      </c>
      <c r="B6611" s="136" t="str">
        <f t="shared" si="51"/>
        <v/>
      </c>
    </row>
    <row r="6612" spans="1:2">
      <c r="A6612" s="136" t="str">
        <f t="shared" si="50"/>
        <v/>
      </c>
      <c r="B6612" s="136" t="str">
        <f t="shared" si="51"/>
        <v/>
      </c>
    </row>
    <row r="6613" spans="1:2">
      <c r="A6613" s="136" t="str">
        <f t="shared" ref="A6613:A6676" si="52">HYPERLINK("http://tw.stock.yahoo.com/q/ta?s=","")</f>
        <v/>
      </c>
      <c r="B6613" s="136" t="str">
        <f t="shared" ref="B6613:B6676" si="53">HYPERLINK("http://tw.stock.yahoo.com/d/s/earning_.html","")</f>
        <v/>
      </c>
    </row>
    <row r="6614" spans="1:2">
      <c r="A6614" s="136" t="str">
        <f t="shared" si="52"/>
        <v/>
      </c>
      <c r="B6614" s="136" t="str">
        <f t="shared" si="53"/>
        <v/>
      </c>
    </row>
    <row r="6615" spans="1:2">
      <c r="A6615" s="136" t="str">
        <f t="shared" si="52"/>
        <v/>
      </c>
      <c r="B6615" s="136" t="str">
        <f t="shared" si="53"/>
        <v/>
      </c>
    </row>
    <row r="6616" spans="1:2">
      <c r="A6616" s="136" t="str">
        <f t="shared" si="52"/>
        <v/>
      </c>
      <c r="B6616" s="136" t="str">
        <f t="shared" si="53"/>
        <v/>
      </c>
    </row>
    <row r="6617" spans="1:2">
      <c r="A6617" s="136" t="str">
        <f t="shared" si="52"/>
        <v/>
      </c>
      <c r="B6617" s="136" t="str">
        <f t="shared" si="53"/>
        <v/>
      </c>
    </row>
    <row r="6618" spans="1:2">
      <c r="A6618" s="136" t="str">
        <f t="shared" si="52"/>
        <v/>
      </c>
      <c r="B6618" s="136" t="str">
        <f t="shared" si="53"/>
        <v/>
      </c>
    </row>
    <row r="6619" spans="1:2">
      <c r="A6619" s="136" t="str">
        <f t="shared" si="52"/>
        <v/>
      </c>
      <c r="B6619" s="136" t="str">
        <f t="shared" si="53"/>
        <v/>
      </c>
    </row>
    <row r="6620" spans="1:2">
      <c r="A6620" s="136" t="str">
        <f t="shared" si="52"/>
        <v/>
      </c>
      <c r="B6620" s="136" t="str">
        <f t="shared" si="53"/>
        <v/>
      </c>
    </row>
    <row r="6621" spans="1:2">
      <c r="A6621" s="136" t="str">
        <f t="shared" si="52"/>
        <v/>
      </c>
      <c r="B6621" s="136" t="str">
        <f t="shared" si="53"/>
        <v/>
      </c>
    </row>
    <row r="6622" spans="1:2">
      <c r="A6622" s="136" t="str">
        <f t="shared" si="52"/>
        <v/>
      </c>
      <c r="B6622" s="136" t="str">
        <f t="shared" si="53"/>
        <v/>
      </c>
    </row>
    <row r="6623" spans="1:2">
      <c r="A6623" s="136" t="str">
        <f t="shared" si="52"/>
        <v/>
      </c>
      <c r="B6623" s="136" t="str">
        <f t="shared" si="53"/>
        <v/>
      </c>
    </row>
    <row r="6624" spans="1:2">
      <c r="A6624" s="136" t="str">
        <f t="shared" si="52"/>
        <v/>
      </c>
      <c r="B6624" s="136" t="str">
        <f t="shared" si="53"/>
        <v/>
      </c>
    </row>
    <row r="6625" spans="1:2">
      <c r="A6625" s="136" t="str">
        <f t="shared" si="52"/>
        <v/>
      </c>
      <c r="B6625" s="136" t="str">
        <f t="shared" si="53"/>
        <v/>
      </c>
    </row>
    <row r="6626" spans="1:2">
      <c r="A6626" s="136" t="str">
        <f t="shared" si="52"/>
        <v/>
      </c>
      <c r="B6626" s="136" t="str">
        <f t="shared" si="53"/>
        <v/>
      </c>
    </row>
    <row r="6627" spans="1:2">
      <c r="A6627" s="136" t="str">
        <f t="shared" si="52"/>
        <v/>
      </c>
      <c r="B6627" s="136" t="str">
        <f t="shared" si="53"/>
        <v/>
      </c>
    </row>
    <row r="6628" spans="1:2">
      <c r="A6628" s="136" t="str">
        <f t="shared" si="52"/>
        <v/>
      </c>
      <c r="B6628" s="136" t="str">
        <f t="shared" si="53"/>
        <v/>
      </c>
    </row>
    <row r="6629" spans="1:2">
      <c r="A6629" s="136" t="str">
        <f t="shared" si="52"/>
        <v/>
      </c>
      <c r="B6629" s="136" t="str">
        <f t="shared" si="53"/>
        <v/>
      </c>
    </row>
    <row r="6630" spans="1:2">
      <c r="A6630" s="136" t="str">
        <f t="shared" si="52"/>
        <v/>
      </c>
      <c r="B6630" s="136" t="str">
        <f t="shared" si="53"/>
        <v/>
      </c>
    </row>
    <row r="6631" spans="1:2">
      <c r="A6631" s="136" t="str">
        <f t="shared" si="52"/>
        <v/>
      </c>
      <c r="B6631" s="136" t="str">
        <f t="shared" si="53"/>
        <v/>
      </c>
    </row>
    <row r="6632" spans="1:2">
      <c r="A6632" s="136" t="str">
        <f t="shared" si="52"/>
        <v/>
      </c>
      <c r="B6632" s="136" t="str">
        <f t="shared" si="53"/>
        <v/>
      </c>
    </row>
    <row r="6633" spans="1:2">
      <c r="A6633" s="136" t="str">
        <f t="shared" si="52"/>
        <v/>
      </c>
      <c r="B6633" s="136" t="str">
        <f t="shared" si="53"/>
        <v/>
      </c>
    </row>
    <row r="6634" spans="1:2">
      <c r="A6634" s="136" t="str">
        <f t="shared" si="52"/>
        <v/>
      </c>
      <c r="B6634" s="136" t="str">
        <f t="shared" si="53"/>
        <v/>
      </c>
    </row>
    <row r="6635" spans="1:2">
      <c r="A6635" s="136" t="str">
        <f t="shared" si="52"/>
        <v/>
      </c>
      <c r="B6635" s="136" t="str">
        <f t="shared" si="53"/>
        <v/>
      </c>
    </row>
    <row r="6636" spans="1:2">
      <c r="A6636" s="136" t="str">
        <f t="shared" si="52"/>
        <v/>
      </c>
      <c r="B6636" s="136" t="str">
        <f t="shared" si="53"/>
        <v/>
      </c>
    </row>
    <row r="6637" spans="1:2">
      <c r="A6637" s="136" t="str">
        <f t="shared" si="52"/>
        <v/>
      </c>
      <c r="B6637" s="136" t="str">
        <f t="shared" si="53"/>
        <v/>
      </c>
    </row>
    <row r="6638" spans="1:2">
      <c r="A6638" s="136" t="str">
        <f t="shared" si="52"/>
        <v/>
      </c>
      <c r="B6638" s="136" t="str">
        <f t="shared" si="53"/>
        <v/>
      </c>
    </row>
    <row r="6639" spans="1:2">
      <c r="A6639" s="136" t="str">
        <f t="shared" si="52"/>
        <v/>
      </c>
      <c r="B6639" s="136" t="str">
        <f t="shared" si="53"/>
        <v/>
      </c>
    </row>
    <row r="6640" spans="1:2">
      <c r="A6640" s="136" t="str">
        <f t="shared" si="52"/>
        <v/>
      </c>
      <c r="B6640" s="136" t="str">
        <f t="shared" si="53"/>
        <v/>
      </c>
    </row>
    <row r="6641" spans="1:2">
      <c r="A6641" s="136" t="str">
        <f t="shared" si="52"/>
        <v/>
      </c>
      <c r="B6641" s="136" t="str">
        <f t="shared" si="53"/>
        <v/>
      </c>
    </row>
    <row r="6642" spans="1:2">
      <c r="A6642" s="136" t="str">
        <f t="shared" si="52"/>
        <v/>
      </c>
      <c r="B6642" s="136" t="str">
        <f t="shared" si="53"/>
        <v/>
      </c>
    </row>
    <row r="6643" spans="1:2">
      <c r="A6643" s="136" t="str">
        <f t="shared" si="52"/>
        <v/>
      </c>
      <c r="B6643" s="136" t="str">
        <f t="shared" si="53"/>
        <v/>
      </c>
    </row>
    <row r="6644" spans="1:2">
      <c r="A6644" s="136" t="str">
        <f t="shared" si="52"/>
        <v/>
      </c>
      <c r="B6644" s="136" t="str">
        <f t="shared" si="53"/>
        <v/>
      </c>
    </row>
    <row r="6645" spans="1:2">
      <c r="A6645" s="136" t="str">
        <f t="shared" si="52"/>
        <v/>
      </c>
      <c r="B6645" s="136" t="str">
        <f t="shared" si="53"/>
        <v/>
      </c>
    </row>
    <row r="6646" spans="1:2">
      <c r="A6646" s="136" t="str">
        <f t="shared" si="52"/>
        <v/>
      </c>
      <c r="B6646" s="136" t="str">
        <f t="shared" si="53"/>
        <v/>
      </c>
    </row>
    <row r="6647" spans="1:2">
      <c r="A6647" s="136" t="str">
        <f t="shared" si="52"/>
        <v/>
      </c>
      <c r="B6647" s="136" t="str">
        <f t="shared" si="53"/>
        <v/>
      </c>
    </row>
    <row r="6648" spans="1:2">
      <c r="A6648" s="136" t="str">
        <f t="shared" si="52"/>
        <v/>
      </c>
      <c r="B6648" s="136" t="str">
        <f t="shared" si="53"/>
        <v/>
      </c>
    </row>
    <row r="6649" spans="1:2">
      <c r="A6649" s="136" t="str">
        <f t="shared" si="52"/>
        <v/>
      </c>
      <c r="B6649" s="136" t="str">
        <f t="shared" si="53"/>
        <v/>
      </c>
    </row>
    <row r="6650" spans="1:2">
      <c r="A6650" s="136" t="str">
        <f t="shared" si="52"/>
        <v/>
      </c>
      <c r="B6650" s="136" t="str">
        <f t="shared" si="53"/>
        <v/>
      </c>
    </row>
    <row r="6651" spans="1:2">
      <c r="A6651" s="136" t="str">
        <f t="shared" si="52"/>
        <v/>
      </c>
      <c r="B6651" s="136" t="str">
        <f t="shared" si="53"/>
        <v/>
      </c>
    </row>
    <row r="6652" spans="1:2">
      <c r="A6652" s="136" t="str">
        <f t="shared" si="52"/>
        <v/>
      </c>
      <c r="B6652" s="136" t="str">
        <f t="shared" si="53"/>
        <v/>
      </c>
    </row>
    <row r="6653" spans="1:2">
      <c r="A6653" s="136" t="str">
        <f t="shared" si="52"/>
        <v/>
      </c>
      <c r="B6653" s="136" t="str">
        <f t="shared" si="53"/>
        <v/>
      </c>
    </row>
    <row r="6654" spans="1:2">
      <c r="A6654" s="136" t="str">
        <f t="shared" si="52"/>
        <v/>
      </c>
      <c r="B6654" s="136" t="str">
        <f t="shared" si="53"/>
        <v/>
      </c>
    </row>
    <row r="6655" spans="1:2">
      <c r="A6655" s="136" t="str">
        <f t="shared" si="52"/>
        <v/>
      </c>
      <c r="B6655" s="136" t="str">
        <f t="shared" si="53"/>
        <v/>
      </c>
    </row>
    <row r="6656" spans="1:2">
      <c r="A6656" s="136" t="str">
        <f t="shared" si="52"/>
        <v/>
      </c>
      <c r="B6656" s="136" t="str">
        <f t="shared" si="53"/>
        <v/>
      </c>
    </row>
    <row r="6657" spans="1:2">
      <c r="A6657" s="136" t="str">
        <f t="shared" si="52"/>
        <v/>
      </c>
      <c r="B6657" s="136" t="str">
        <f t="shared" si="53"/>
        <v/>
      </c>
    </row>
    <row r="6658" spans="1:2">
      <c r="A6658" s="136" t="str">
        <f t="shared" si="52"/>
        <v/>
      </c>
      <c r="B6658" s="136" t="str">
        <f t="shared" si="53"/>
        <v/>
      </c>
    </row>
    <row r="6659" spans="1:2">
      <c r="A6659" s="136" t="str">
        <f t="shared" si="52"/>
        <v/>
      </c>
      <c r="B6659" s="136" t="str">
        <f t="shared" si="53"/>
        <v/>
      </c>
    </row>
    <row r="6660" spans="1:2">
      <c r="A6660" s="136" t="str">
        <f t="shared" si="52"/>
        <v/>
      </c>
      <c r="B6660" s="136" t="str">
        <f t="shared" si="53"/>
        <v/>
      </c>
    </row>
    <row r="6661" spans="1:2">
      <c r="A6661" s="136" t="str">
        <f t="shared" si="52"/>
        <v/>
      </c>
      <c r="B6661" s="136" t="str">
        <f t="shared" si="53"/>
        <v/>
      </c>
    </row>
    <row r="6662" spans="1:2">
      <c r="A6662" s="136" t="str">
        <f t="shared" si="52"/>
        <v/>
      </c>
      <c r="B6662" s="136" t="str">
        <f t="shared" si="53"/>
        <v/>
      </c>
    </row>
    <row r="6663" spans="1:2">
      <c r="A6663" s="136" t="str">
        <f t="shared" si="52"/>
        <v/>
      </c>
      <c r="B6663" s="136" t="str">
        <f t="shared" si="53"/>
        <v/>
      </c>
    </row>
    <row r="6664" spans="1:2">
      <c r="A6664" s="136" t="str">
        <f t="shared" si="52"/>
        <v/>
      </c>
      <c r="B6664" s="136" t="str">
        <f t="shared" si="53"/>
        <v/>
      </c>
    </row>
    <row r="6665" spans="1:2">
      <c r="A6665" s="136" t="str">
        <f t="shared" si="52"/>
        <v/>
      </c>
      <c r="B6665" s="136" t="str">
        <f t="shared" si="53"/>
        <v/>
      </c>
    </row>
    <row r="6666" spans="1:2">
      <c r="A6666" s="136" t="str">
        <f t="shared" si="52"/>
        <v/>
      </c>
      <c r="B6666" s="136" t="str">
        <f t="shared" si="53"/>
        <v/>
      </c>
    </row>
    <row r="6667" spans="1:2">
      <c r="A6667" s="136" t="str">
        <f t="shared" si="52"/>
        <v/>
      </c>
      <c r="B6667" s="136" t="str">
        <f t="shared" si="53"/>
        <v/>
      </c>
    </row>
    <row r="6668" spans="1:2">
      <c r="A6668" s="136" t="str">
        <f t="shared" si="52"/>
        <v/>
      </c>
      <c r="B6668" s="136" t="str">
        <f t="shared" si="53"/>
        <v/>
      </c>
    </row>
    <row r="6669" spans="1:2">
      <c r="A6669" s="136" t="str">
        <f t="shared" si="52"/>
        <v/>
      </c>
      <c r="B6669" s="136" t="str">
        <f t="shared" si="53"/>
        <v/>
      </c>
    </row>
    <row r="6670" spans="1:2">
      <c r="A6670" s="136" t="str">
        <f t="shared" si="52"/>
        <v/>
      </c>
      <c r="B6670" s="136" t="str">
        <f t="shared" si="53"/>
        <v/>
      </c>
    </row>
    <row r="6671" spans="1:2">
      <c r="A6671" s="136" t="str">
        <f t="shared" si="52"/>
        <v/>
      </c>
      <c r="B6671" s="136" t="str">
        <f t="shared" si="53"/>
        <v/>
      </c>
    </row>
    <row r="6672" spans="1:2">
      <c r="A6672" s="136" t="str">
        <f t="shared" si="52"/>
        <v/>
      </c>
      <c r="B6672" s="136" t="str">
        <f t="shared" si="53"/>
        <v/>
      </c>
    </row>
    <row r="6673" spans="1:2">
      <c r="A6673" s="136" t="str">
        <f t="shared" si="52"/>
        <v/>
      </c>
      <c r="B6673" s="136" t="str">
        <f t="shared" si="53"/>
        <v/>
      </c>
    </row>
    <row r="6674" spans="1:2">
      <c r="A6674" s="136" t="str">
        <f t="shared" si="52"/>
        <v/>
      </c>
      <c r="B6674" s="136" t="str">
        <f t="shared" si="53"/>
        <v/>
      </c>
    </row>
    <row r="6675" spans="1:2">
      <c r="A6675" s="136" t="str">
        <f t="shared" si="52"/>
        <v/>
      </c>
      <c r="B6675" s="136" t="str">
        <f t="shared" si="53"/>
        <v/>
      </c>
    </row>
    <row r="6676" spans="1:2">
      <c r="A6676" s="136" t="str">
        <f t="shared" si="52"/>
        <v/>
      </c>
      <c r="B6676" s="136" t="str">
        <f t="shared" si="53"/>
        <v/>
      </c>
    </row>
    <row r="6677" spans="1:2">
      <c r="A6677" s="136" t="str">
        <f t="shared" ref="A6677:A6740" si="54">HYPERLINK("http://tw.stock.yahoo.com/q/ta?s=","")</f>
        <v/>
      </c>
      <c r="B6677" s="136" t="str">
        <f t="shared" ref="B6677:B6740" si="55">HYPERLINK("http://tw.stock.yahoo.com/d/s/earning_.html","")</f>
        <v/>
      </c>
    </row>
    <row r="6678" spans="1:2">
      <c r="A6678" s="136" t="str">
        <f t="shared" si="54"/>
        <v/>
      </c>
      <c r="B6678" s="136" t="str">
        <f t="shared" si="55"/>
        <v/>
      </c>
    </row>
    <row r="6679" spans="1:2">
      <c r="A6679" s="136" t="str">
        <f t="shared" si="54"/>
        <v/>
      </c>
      <c r="B6679" s="136" t="str">
        <f t="shared" si="55"/>
        <v/>
      </c>
    </row>
    <row r="6680" spans="1:2">
      <c r="A6680" s="136" t="str">
        <f t="shared" si="54"/>
        <v/>
      </c>
      <c r="B6680" s="136" t="str">
        <f t="shared" si="55"/>
        <v/>
      </c>
    </row>
    <row r="6681" spans="1:2">
      <c r="A6681" s="136" t="str">
        <f t="shared" si="54"/>
        <v/>
      </c>
      <c r="B6681" s="136" t="str">
        <f t="shared" si="55"/>
        <v/>
      </c>
    </row>
    <row r="6682" spans="1:2">
      <c r="A6682" s="136" t="str">
        <f t="shared" si="54"/>
        <v/>
      </c>
      <c r="B6682" s="136" t="str">
        <f t="shared" si="55"/>
        <v/>
      </c>
    </row>
    <row r="6683" spans="1:2">
      <c r="A6683" s="136" t="str">
        <f t="shared" si="54"/>
        <v/>
      </c>
      <c r="B6683" s="136" t="str">
        <f t="shared" si="55"/>
        <v/>
      </c>
    </row>
    <row r="6684" spans="1:2">
      <c r="A6684" s="136" t="str">
        <f t="shared" si="54"/>
        <v/>
      </c>
      <c r="B6684" s="136" t="str">
        <f t="shared" si="55"/>
        <v/>
      </c>
    </row>
    <row r="6685" spans="1:2">
      <c r="A6685" s="136" t="str">
        <f t="shared" si="54"/>
        <v/>
      </c>
      <c r="B6685" s="136" t="str">
        <f t="shared" si="55"/>
        <v/>
      </c>
    </row>
    <row r="6686" spans="1:2">
      <c r="A6686" s="136" t="str">
        <f t="shared" si="54"/>
        <v/>
      </c>
      <c r="B6686" s="136" t="str">
        <f t="shared" si="55"/>
        <v/>
      </c>
    </row>
    <row r="6687" spans="1:2">
      <c r="A6687" s="136" t="str">
        <f t="shared" si="54"/>
        <v/>
      </c>
      <c r="B6687" s="136" t="str">
        <f t="shared" si="55"/>
        <v/>
      </c>
    </row>
    <row r="6688" spans="1:2">
      <c r="A6688" s="136" t="str">
        <f t="shared" si="54"/>
        <v/>
      </c>
      <c r="B6688" s="136" t="str">
        <f t="shared" si="55"/>
        <v/>
      </c>
    </row>
    <row r="6689" spans="1:2">
      <c r="A6689" s="136" t="str">
        <f t="shared" si="54"/>
        <v/>
      </c>
      <c r="B6689" s="136" t="str">
        <f t="shared" si="55"/>
        <v/>
      </c>
    </row>
    <row r="6690" spans="1:2">
      <c r="A6690" s="136" t="str">
        <f t="shared" si="54"/>
        <v/>
      </c>
      <c r="B6690" s="136" t="str">
        <f t="shared" si="55"/>
        <v/>
      </c>
    </row>
    <row r="6691" spans="1:2">
      <c r="A6691" s="136" t="str">
        <f t="shared" si="54"/>
        <v/>
      </c>
      <c r="B6691" s="136" t="str">
        <f t="shared" si="55"/>
        <v/>
      </c>
    </row>
    <row r="6692" spans="1:2">
      <c r="A6692" s="136" t="str">
        <f t="shared" si="54"/>
        <v/>
      </c>
      <c r="B6692" s="136" t="str">
        <f t="shared" si="55"/>
        <v/>
      </c>
    </row>
    <row r="6693" spans="1:2">
      <c r="A6693" s="136" t="str">
        <f t="shared" si="54"/>
        <v/>
      </c>
      <c r="B6693" s="136" t="str">
        <f t="shared" si="55"/>
        <v/>
      </c>
    </row>
    <row r="6694" spans="1:2">
      <c r="A6694" s="136" t="str">
        <f t="shared" si="54"/>
        <v/>
      </c>
      <c r="B6694" s="136" t="str">
        <f t="shared" si="55"/>
        <v/>
      </c>
    </row>
    <row r="6695" spans="1:2">
      <c r="A6695" s="136" t="str">
        <f t="shared" si="54"/>
        <v/>
      </c>
      <c r="B6695" s="136" t="str">
        <f t="shared" si="55"/>
        <v/>
      </c>
    </row>
    <row r="6696" spans="1:2">
      <c r="A6696" s="136" t="str">
        <f t="shared" si="54"/>
        <v/>
      </c>
      <c r="B6696" s="136" t="str">
        <f t="shared" si="55"/>
        <v/>
      </c>
    </row>
    <row r="6697" spans="1:2">
      <c r="A6697" s="136" t="str">
        <f t="shared" si="54"/>
        <v/>
      </c>
      <c r="B6697" s="136" t="str">
        <f t="shared" si="55"/>
        <v/>
      </c>
    </row>
    <row r="6698" spans="1:2">
      <c r="A6698" s="136" t="str">
        <f t="shared" si="54"/>
        <v/>
      </c>
      <c r="B6698" s="136" t="str">
        <f t="shared" si="55"/>
        <v/>
      </c>
    </row>
    <row r="6699" spans="1:2">
      <c r="A6699" s="136" t="str">
        <f t="shared" si="54"/>
        <v/>
      </c>
      <c r="B6699" s="136" t="str">
        <f t="shared" si="55"/>
        <v/>
      </c>
    </row>
    <row r="6700" spans="1:2">
      <c r="A6700" s="136" t="str">
        <f t="shared" si="54"/>
        <v/>
      </c>
      <c r="B6700" s="136" t="str">
        <f t="shared" si="55"/>
        <v/>
      </c>
    </row>
    <row r="6701" spans="1:2">
      <c r="A6701" s="136" t="str">
        <f t="shared" si="54"/>
        <v/>
      </c>
      <c r="B6701" s="136" t="str">
        <f t="shared" si="55"/>
        <v/>
      </c>
    </row>
    <row r="6702" spans="1:2">
      <c r="A6702" s="136" t="str">
        <f t="shared" si="54"/>
        <v/>
      </c>
      <c r="B6702" s="136" t="str">
        <f t="shared" si="55"/>
        <v/>
      </c>
    </row>
    <row r="6703" spans="1:2">
      <c r="A6703" s="136" t="str">
        <f t="shared" si="54"/>
        <v/>
      </c>
      <c r="B6703" s="136" t="str">
        <f t="shared" si="55"/>
        <v/>
      </c>
    </row>
    <row r="6704" spans="1:2">
      <c r="A6704" s="136" t="str">
        <f t="shared" si="54"/>
        <v/>
      </c>
      <c r="B6704" s="136" t="str">
        <f t="shared" si="55"/>
        <v/>
      </c>
    </row>
    <row r="6705" spans="1:2">
      <c r="A6705" s="136" t="str">
        <f t="shared" si="54"/>
        <v/>
      </c>
      <c r="B6705" s="136" t="str">
        <f t="shared" si="55"/>
        <v/>
      </c>
    </row>
    <row r="6706" spans="1:2">
      <c r="A6706" s="136" t="str">
        <f t="shared" si="54"/>
        <v/>
      </c>
      <c r="B6706" s="136" t="str">
        <f t="shared" si="55"/>
        <v/>
      </c>
    </row>
    <row r="6707" spans="1:2">
      <c r="A6707" s="136" t="str">
        <f t="shared" si="54"/>
        <v/>
      </c>
      <c r="B6707" s="136" t="str">
        <f t="shared" si="55"/>
        <v/>
      </c>
    </row>
    <row r="6708" spans="1:2">
      <c r="A6708" s="136" t="str">
        <f t="shared" si="54"/>
        <v/>
      </c>
      <c r="B6708" s="136" t="str">
        <f t="shared" si="55"/>
        <v/>
      </c>
    </row>
    <row r="6709" spans="1:2">
      <c r="A6709" s="136" t="str">
        <f t="shared" si="54"/>
        <v/>
      </c>
      <c r="B6709" s="136" t="str">
        <f t="shared" si="55"/>
        <v/>
      </c>
    </row>
    <row r="6710" spans="1:2">
      <c r="A6710" s="136" t="str">
        <f t="shared" si="54"/>
        <v/>
      </c>
      <c r="B6710" s="136" t="str">
        <f t="shared" si="55"/>
        <v/>
      </c>
    </row>
    <row r="6711" spans="1:2">
      <c r="A6711" s="136" t="str">
        <f t="shared" si="54"/>
        <v/>
      </c>
      <c r="B6711" s="136" t="str">
        <f t="shared" si="55"/>
        <v/>
      </c>
    </row>
    <row r="6712" spans="1:2">
      <c r="A6712" s="136" t="str">
        <f t="shared" si="54"/>
        <v/>
      </c>
      <c r="B6712" s="136" t="str">
        <f t="shared" si="55"/>
        <v/>
      </c>
    </row>
    <row r="6713" spans="1:2">
      <c r="A6713" s="136" t="str">
        <f t="shared" si="54"/>
        <v/>
      </c>
      <c r="B6713" s="136" t="str">
        <f t="shared" si="55"/>
        <v/>
      </c>
    </row>
    <row r="6714" spans="1:2">
      <c r="A6714" s="136" t="str">
        <f t="shared" si="54"/>
        <v/>
      </c>
      <c r="B6714" s="136" t="str">
        <f t="shared" si="55"/>
        <v/>
      </c>
    </row>
    <row r="6715" spans="1:2">
      <c r="A6715" s="136" t="str">
        <f t="shared" si="54"/>
        <v/>
      </c>
      <c r="B6715" s="136" t="str">
        <f t="shared" si="55"/>
        <v/>
      </c>
    </row>
    <row r="6716" spans="1:2">
      <c r="A6716" s="136" t="str">
        <f t="shared" si="54"/>
        <v/>
      </c>
      <c r="B6716" s="136" t="str">
        <f t="shared" si="55"/>
        <v/>
      </c>
    </row>
    <row r="6717" spans="1:2">
      <c r="A6717" s="136" t="str">
        <f t="shared" si="54"/>
        <v/>
      </c>
      <c r="B6717" s="136" t="str">
        <f t="shared" si="55"/>
        <v/>
      </c>
    </row>
    <row r="6718" spans="1:2">
      <c r="A6718" s="136" t="str">
        <f t="shared" si="54"/>
        <v/>
      </c>
      <c r="B6718" s="136" t="str">
        <f t="shared" si="55"/>
        <v/>
      </c>
    </row>
    <row r="6719" spans="1:2">
      <c r="A6719" s="136" t="str">
        <f t="shared" si="54"/>
        <v/>
      </c>
      <c r="B6719" s="136" t="str">
        <f t="shared" si="55"/>
        <v/>
      </c>
    </row>
    <row r="6720" spans="1:2">
      <c r="A6720" s="136" t="str">
        <f t="shared" si="54"/>
        <v/>
      </c>
      <c r="B6720" s="136" t="str">
        <f t="shared" si="55"/>
        <v/>
      </c>
    </row>
    <row r="6721" spans="1:2">
      <c r="A6721" s="136" t="str">
        <f t="shared" si="54"/>
        <v/>
      </c>
      <c r="B6721" s="136" t="str">
        <f t="shared" si="55"/>
        <v/>
      </c>
    </row>
    <row r="6722" spans="1:2">
      <c r="A6722" s="136" t="str">
        <f t="shared" si="54"/>
        <v/>
      </c>
      <c r="B6722" s="136" t="str">
        <f t="shared" si="55"/>
        <v/>
      </c>
    </row>
    <row r="6723" spans="1:2">
      <c r="A6723" s="136" t="str">
        <f t="shared" si="54"/>
        <v/>
      </c>
      <c r="B6723" s="136" t="str">
        <f t="shared" si="55"/>
        <v/>
      </c>
    </row>
    <row r="6724" spans="1:2">
      <c r="A6724" s="136" t="str">
        <f t="shared" si="54"/>
        <v/>
      </c>
      <c r="B6724" s="136" t="str">
        <f t="shared" si="55"/>
        <v/>
      </c>
    </row>
    <row r="6725" spans="1:2">
      <c r="A6725" s="136" t="str">
        <f t="shared" si="54"/>
        <v/>
      </c>
      <c r="B6725" s="136" t="str">
        <f t="shared" si="55"/>
        <v/>
      </c>
    </row>
    <row r="6726" spans="1:2">
      <c r="A6726" s="136" t="str">
        <f t="shared" si="54"/>
        <v/>
      </c>
      <c r="B6726" s="136" t="str">
        <f t="shared" si="55"/>
        <v/>
      </c>
    </row>
    <row r="6727" spans="1:2">
      <c r="A6727" s="136" t="str">
        <f t="shared" si="54"/>
        <v/>
      </c>
      <c r="B6727" s="136" t="str">
        <f t="shared" si="55"/>
        <v/>
      </c>
    </row>
    <row r="6728" spans="1:2">
      <c r="A6728" s="136" t="str">
        <f t="shared" si="54"/>
        <v/>
      </c>
      <c r="B6728" s="136" t="str">
        <f t="shared" si="55"/>
        <v/>
      </c>
    </row>
    <row r="6729" spans="1:2">
      <c r="A6729" s="136" t="str">
        <f t="shared" si="54"/>
        <v/>
      </c>
      <c r="B6729" s="136" t="str">
        <f t="shared" si="55"/>
        <v/>
      </c>
    </row>
    <row r="6730" spans="1:2">
      <c r="A6730" s="136" t="str">
        <f t="shared" si="54"/>
        <v/>
      </c>
      <c r="B6730" s="136" t="str">
        <f t="shared" si="55"/>
        <v/>
      </c>
    </row>
    <row r="6731" spans="1:2">
      <c r="A6731" s="136" t="str">
        <f t="shared" si="54"/>
        <v/>
      </c>
      <c r="B6731" s="136" t="str">
        <f t="shared" si="55"/>
        <v/>
      </c>
    </row>
    <row r="6732" spans="1:2">
      <c r="A6732" s="136" t="str">
        <f t="shared" si="54"/>
        <v/>
      </c>
      <c r="B6732" s="136" t="str">
        <f t="shared" si="55"/>
        <v/>
      </c>
    </row>
    <row r="6733" spans="1:2">
      <c r="A6733" s="136" t="str">
        <f t="shared" si="54"/>
        <v/>
      </c>
      <c r="B6733" s="136" t="str">
        <f t="shared" si="55"/>
        <v/>
      </c>
    </row>
    <row r="6734" spans="1:2">
      <c r="A6734" s="136" t="str">
        <f t="shared" si="54"/>
        <v/>
      </c>
      <c r="B6734" s="136" t="str">
        <f t="shared" si="55"/>
        <v/>
      </c>
    </row>
    <row r="6735" spans="1:2">
      <c r="A6735" s="136" t="str">
        <f t="shared" si="54"/>
        <v/>
      </c>
      <c r="B6735" s="136" t="str">
        <f t="shared" si="55"/>
        <v/>
      </c>
    </row>
    <row r="6736" spans="1:2">
      <c r="A6736" s="136" t="str">
        <f t="shared" si="54"/>
        <v/>
      </c>
      <c r="B6736" s="136" t="str">
        <f t="shared" si="55"/>
        <v/>
      </c>
    </row>
    <row r="6737" spans="1:2">
      <c r="A6737" s="136" t="str">
        <f t="shared" si="54"/>
        <v/>
      </c>
      <c r="B6737" s="136" t="str">
        <f t="shared" si="55"/>
        <v/>
      </c>
    </row>
    <row r="6738" spans="1:2">
      <c r="A6738" s="136" t="str">
        <f t="shared" si="54"/>
        <v/>
      </c>
      <c r="B6738" s="136" t="str">
        <f t="shared" si="55"/>
        <v/>
      </c>
    </row>
    <row r="6739" spans="1:2">
      <c r="A6739" s="136" t="str">
        <f t="shared" si="54"/>
        <v/>
      </c>
      <c r="B6739" s="136" t="str">
        <f t="shared" si="55"/>
        <v/>
      </c>
    </row>
    <row r="6740" spans="1:2">
      <c r="A6740" s="136" t="str">
        <f t="shared" si="54"/>
        <v/>
      </c>
      <c r="B6740" s="136" t="str">
        <f t="shared" si="55"/>
        <v/>
      </c>
    </row>
    <row r="6741" spans="1:2">
      <c r="A6741" s="136" t="str">
        <f t="shared" ref="A6741:A6804" si="56">HYPERLINK("http://tw.stock.yahoo.com/q/ta?s=","")</f>
        <v/>
      </c>
      <c r="B6741" s="136" t="str">
        <f t="shared" ref="B6741:B6804" si="57">HYPERLINK("http://tw.stock.yahoo.com/d/s/earning_.html","")</f>
        <v/>
      </c>
    </row>
    <row r="6742" spans="1:2">
      <c r="A6742" s="136" t="str">
        <f t="shared" si="56"/>
        <v/>
      </c>
      <c r="B6742" s="136" t="str">
        <f t="shared" si="57"/>
        <v/>
      </c>
    </row>
    <row r="6743" spans="1:2">
      <c r="A6743" s="136" t="str">
        <f t="shared" si="56"/>
        <v/>
      </c>
      <c r="B6743" s="136" t="str">
        <f t="shared" si="57"/>
        <v/>
      </c>
    </row>
    <row r="6744" spans="1:2">
      <c r="A6744" s="136" t="str">
        <f t="shared" si="56"/>
        <v/>
      </c>
      <c r="B6744" s="136" t="str">
        <f t="shared" si="57"/>
        <v/>
      </c>
    </row>
    <row r="6745" spans="1:2">
      <c r="A6745" s="136" t="str">
        <f t="shared" si="56"/>
        <v/>
      </c>
      <c r="B6745" s="136" t="str">
        <f t="shared" si="57"/>
        <v/>
      </c>
    </row>
    <row r="6746" spans="1:2">
      <c r="A6746" s="136" t="str">
        <f t="shared" si="56"/>
        <v/>
      </c>
      <c r="B6746" s="136" t="str">
        <f t="shared" si="57"/>
        <v/>
      </c>
    </row>
    <row r="6747" spans="1:2">
      <c r="A6747" s="136" t="str">
        <f t="shared" si="56"/>
        <v/>
      </c>
      <c r="B6747" s="136" t="str">
        <f t="shared" si="57"/>
        <v/>
      </c>
    </row>
    <row r="6748" spans="1:2">
      <c r="A6748" s="136" t="str">
        <f t="shared" si="56"/>
        <v/>
      </c>
      <c r="B6748" s="136" t="str">
        <f t="shared" si="57"/>
        <v/>
      </c>
    </row>
    <row r="6749" spans="1:2">
      <c r="A6749" s="136" t="str">
        <f t="shared" si="56"/>
        <v/>
      </c>
      <c r="B6749" s="136" t="str">
        <f t="shared" si="57"/>
        <v/>
      </c>
    </row>
    <row r="6750" spans="1:2">
      <c r="A6750" s="136" t="str">
        <f t="shared" si="56"/>
        <v/>
      </c>
      <c r="B6750" s="136" t="str">
        <f t="shared" si="57"/>
        <v/>
      </c>
    </row>
    <row r="6751" spans="1:2">
      <c r="A6751" s="136" t="str">
        <f t="shared" si="56"/>
        <v/>
      </c>
      <c r="B6751" s="136" t="str">
        <f t="shared" si="57"/>
        <v/>
      </c>
    </row>
    <row r="6752" spans="1:2">
      <c r="A6752" s="136" t="str">
        <f t="shared" si="56"/>
        <v/>
      </c>
      <c r="B6752" s="136" t="str">
        <f t="shared" si="57"/>
        <v/>
      </c>
    </row>
    <row r="6753" spans="1:2">
      <c r="A6753" s="136" t="str">
        <f t="shared" si="56"/>
        <v/>
      </c>
      <c r="B6753" s="136" t="str">
        <f t="shared" si="57"/>
        <v/>
      </c>
    </row>
    <row r="6754" spans="1:2">
      <c r="A6754" s="136" t="str">
        <f t="shared" si="56"/>
        <v/>
      </c>
      <c r="B6754" s="136" t="str">
        <f t="shared" si="57"/>
        <v/>
      </c>
    </row>
    <row r="6755" spans="1:2">
      <c r="A6755" s="136" t="str">
        <f t="shared" si="56"/>
        <v/>
      </c>
      <c r="B6755" s="136" t="str">
        <f t="shared" si="57"/>
        <v/>
      </c>
    </row>
    <row r="6756" spans="1:2">
      <c r="A6756" s="136" t="str">
        <f t="shared" si="56"/>
        <v/>
      </c>
      <c r="B6756" s="136" t="str">
        <f t="shared" si="57"/>
        <v/>
      </c>
    </row>
    <row r="6757" spans="1:2">
      <c r="A6757" s="136" t="str">
        <f t="shared" si="56"/>
        <v/>
      </c>
      <c r="B6757" s="136" t="str">
        <f t="shared" si="57"/>
        <v/>
      </c>
    </row>
    <row r="6758" spans="1:2">
      <c r="A6758" s="136" t="str">
        <f t="shared" si="56"/>
        <v/>
      </c>
      <c r="B6758" s="136" t="str">
        <f t="shared" si="57"/>
        <v/>
      </c>
    </row>
    <row r="6759" spans="1:2">
      <c r="A6759" s="136" t="str">
        <f t="shared" si="56"/>
        <v/>
      </c>
      <c r="B6759" s="136" t="str">
        <f t="shared" si="57"/>
        <v/>
      </c>
    </row>
    <row r="6760" spans="1:2">
      <c r="A6760" s="136" t="str">
        <f t="shared" si="56"/>
        <v/>
      </c>
      <c r="B6760" s="136" t="str">
        <f t="shared" si="57"/>
        <v/>
      </c>
    </row>
    <row r="6761" spans="1:2">
      <c r="A6761" s="136" t="str">
        <f t="shared" si="56"/>
        <v/>
      </c>
      <c r="B6761" s="136" t="str">
        <f t="shared" si="57"/>
        <v/>
      </c>
    </row>
    <row r="6762" spans="1:2">
      <c r="A6762" s="136" t="str">
        <f t="shared" si="56"/>
        <v/>
      </c>
      <c r="B6762" s="136" t="str">
        <f t="shared" si="57"/>
        <v/>
      </c>
    </row>
    <row r="6763" spans="1:2">
      <c r="A6763" s="136" t="str">
        <f t="shared" si="56"/>
        <v/>
      </c>
      <c r="B6763" s="136" t="str">
        <f t="shared" si="57"/>
        <v/>
      </c>
    </row>
    <row r="6764" spans="1:2">
      <c r="A6764" s="136" t="str">
        <f t="shared" si="56"/>
        <v/>
      </c>
      <c r="B6764" s="136" t="str">
        <f t="shared" si="57"/>
        <v/>
      </c>
    </row>
    <row r="6765" spans="1:2">
      <c r="A6765" s="136" t="str">
        <f t="shared" si="56"/>
        <v/>
      </c>
      <c r="B6765" s="136" t="str">
        <f t="shared" si="57"/>
        <v/>
      </c>
    </row>
    <row r="6766" spans="1:2">
      <c r="A6766" s="136" t="str">
        <f t="shared" si="56"/>
        <v/>
      </c>
      <c r="B6766" s="136" t="str">
        <f t="shared" si="57"/>
        <v/>
      </c>
    </row>
    <row r="6767" spans="1:2">
      <c r="A6767" s="136" t="str">
        <f t="shared" si="56"/>
        <v/>
      </c>
      <c r="B6767" s="136" t="str">
        <f t="shared" si="57"/>
        <v/>
      </c>
    </row>
    <row r="6768" spans="1:2">
      <c r="A6768" s="136" t="str">
        <f t="shared" si="56"/>
        <v/>
      </c>
      <c r="B6768" s="136" t="str">
        <f t="shared" si="57"/>
        <v/>
      </c>
    </row>
    <row r="6769" spans="1:2">
      <c r="A6769" s="136" t="str">
        <f t="shared" si="56"/>
        <v/>
      </c>
      <c r="B6769" s="136" t="str">
        <f t="shared" si="57"/>
        <v/>
      </c>
    </row>
    <row r="6770" spans="1:2">
      <c r="A6770" s="136" t="str">
        <f t="shared" si="56"/>
        <v/>
      </c>
      <c r="B6770" s="136" t="str">
        <f t="shared" si="57"/>
        <v/>
      </c>
    </row>
    <row r="6771" spans="1:2">
      <c r="A6771" s="136" t="str">
        <f t="shared" si="56"/>
        <v/>
      </c>
      <c r="B6771" s="136" t="str">
        <f t="shared" si="57"/>
        <v/>
      </c>
    </row>
    <row r="6772" spans="1:2">
      <c r="A6772" s="136" t="str">
        <f t="shared" si="56"/>
        <v/>
      </c>
      <c r="B6772" s="136" t="str">
        <f t="shared" si="57"/>
        <v/>
      </c>
    </row>
    <row r="6773" spans="1:2">
      <c r="A6773" s="136" t="str">
        <f t="shared" si="56"/>
        <v/>
      </c>
      <c r="B6773" s="136" t="str">
        <f t="shared" si="57"/>
        <v/>
      </c>
    </row>
    <row r="6774" spans="1:2">
      <c r="A6774" s="136" t="str">
        <f t="shared" si="56"/>
        <v/>
      </c>
      <c r="B6774" s="136" t="str">
        <f t="shared" si="57"/>
        <v/>
      </c>
    </row>
    <row r="6775" spans="1:2">
      <c r="A6775" s="136" t="str">
        <f t="shared" si="56"/>
        <v/>
      </c>
      <c r="B6775" s="136" t="str">
        <f t="shared" si="57"/>
        <v/>
      </c>
    </row>
    <row r="6776" spans="1:2">
      <c r="A6776" s="136" t="str">
        <f t="shared" si="56"/>
        <v/>
      </c>
      <c r="B6776" s="136" t="str">
        <f t="shared" si="57"/>
        <v/>
      </c>
    </row>
    <row r="6777" spans="1:2">
      <c r="A6777" s="136" t="str">
        <f t="shared" si="56"/>
        <v/>
      </c>
      <c r="B6777" s="136" t="str">
        <f t="shared" si="57"/>
        <v/>
      </c>
    </row>
    <row r="6778" spans="1:2">
      <c r="A6778" s="136" t="str">
        <f t="shared" si="56"/>
        <v/>
      </c>
      <c r="B6778" s="136" t="str">
        <f t="shared" si="57"/>
        <v/>
      </c>
    </row>
    <row r="6779" spans="1:2">
      <c r="A6779" s="136" t="str">
        <f t="shared" si="56"/>
        <v/>
      </c>
      <c r="B6779" s="136" t="str">
        <f t="shared" si="57"/>
        <v/>
      </c>
    </row>
    <row r="6780" spans="1:2">
      <c r="A6780" s="136" t="str">
        <f t="shared" si="56"/>
        <v/>
      </c>
      <c r="B6780" s="136" t="str">
        <f t="shared" si="57"/>
        <v/>
      </c>
    </row>
    <row r="6781" spans="1:2">
      <c r="A6781" s="136" t="str">
        <f t="shared" si="56"/>
        <v/>
      </c>
      <c r="B6781" s="136" t="str">
        <f t="shared" si="57"/>
        <v/>
      </c>
    </row>
    <row r="6782" spans="1:2">
      <c r="A6782" s="136" t="str">
        <f t="shared" si="56"/>
        <v/>
      </c>
      <c r="B6782" s="136" t="str">
        <f t="shared" si="57"/>
        <v/>
      </c>
    </row>
    <row r="6783" spans="1:2">
      <c r="A6783" s="136" t="str">
        <f t="shared" si="56"/>
        <v/>
      </c>
      <c r="B6783" s="136" t="str">
        <f t="shared" si="57"/>
        <v/>
      </c>
    </row>
    <row r="6784" spans="1:2">
      <c r="A6784" s="136" t="str">
        <f t="shared" si="56"/>
        <v/>
      </c>
      <c r="B6784" s="136" t="str">
        <f t="shared" si="57"/>
        <v/>
      </c>
    </row>
    <row r="6785" spans="1:2">
      <c r="A6785" s="136" t="str">
        <f t="shared" si="56"/>
        <v/>
      </c>
      <c r="B6785" s="136" t="str">
        <f t="shared" si="57"/>
        <v/>
      </c>
    </row>
    <row r="6786" spans="1:2">
      <c r="A6786" s="136" t="str">
        <f t="shared" si="56"/>
        <v/>
      </c>
      <c r="B6786" s="136" t="str">
        <f t="shared" si="57"/>
        <v/>
      </c>
    </row>
    <row r="6787" spans="1:2">
      <c r="A6787" s="136" t="str">
        <f t="shared" si="56"/>
        <v/>
      </c>
      <c r="B6787" s="136" t="str">
        <f t="shared" si="57"/>
        <v/>
      </c>
    </row>
    <row r="6788" spans="1:2">
      <c r="A6788" s="136" t="str">
        <f t="shared" si="56"/>
        <v/>
      </c>
      <c r="B6788" s="136" t="str">
        <f t="shared" si="57"/>
        <v/>
      </c>
    </row>
    <row r="6789" spans="1:2">
      <c r="A6789" s="136" t="str">
        <f t="shared" si="56"/>
        <v/>
      </c>
      <c r="B6789" s="136" t="str">
        <f t="shared" si="57"/>
        <v/>
      </c>
    </row>
    <row r="6790" spans="1:2">
      <c r="A6790" s="136" t="str">
        <f t="shared" si="56"/>
        <v/>
      </c>
      <c r="B6790" s="136" t="str">
        <f t="shared" si="57"/>
        <v/>
      </c>
    </row>
    <row r="6791" spans="1:2">
      <c r="A6791" s="136" t="str">
        <f t="shared" si="56"/>
        <v/>
      </c>
      <c r="B6791" s="136" t="str">
        <f t="shared" si="57"/>
        <v/>
      </c>
    </row>
    <row r="6792" spans="1:2">
      <c r="A6792" s="136" t="str">
        <f t="shared" si="56"/>
        <v/>
      </c>
      <c r="B6792" s="136" t="str">
        <f t="shared" si="57"/>
        <v/>
      </c>
    </row>
    <row r="6793" spans="1:2">
      <c r="A6793" s="136" t="str">
        <f t="shared" si="56"/>
        <v/>
      </c>
      <c r="B6793" s="136" t="str">
        <f t="shared" si="57"/>
        <v/>
      </c>
    </row>
    <row r="6794" spans="1:2">
      <c r="A6794" s="136" t="str">
        <f t="shared" si="56"/>
        <v/>
      </c>
      <c r="B6794" s="136" t="str">
        <f t="shared" si="57"/>
        <v/>
      </c>
    </row>
    <row r="6795" spans="1:2">
      <c r="A6795" s="136" t="str">
        <f t="shared" si="56"/>
        <v/>
      </c>
      <c r="B6795" s="136" t="str">
        <f t="shared" si="57"/>
        <v/>
      </c>
    </row>
    <row r="6796" spans="1:2">
      <c r="A6796" s="136" t="str">
        <f t="shared" si="56"/>
        <v/>
      </c>
      <c r="B6796" s="136" t="str">
        <f t="shared" si="57"/>
        <v/>
      </c>
    </row>
    <row r="6797" spans="1:2">
      <c r="A6797" s="136" t="str">
        <f t="shared" si="56"/>
        <v/>
      </c>
      <c r="B6797" s="136" t="str">
        <f t="shared" si="57"/>
        <v/>
      </c>
    </row>
    <row r="6798" spans="1:2">
      <c r="A6798" s="136" t="str">
        <f t="shared" si="56"/>
        <v/>
      </c>
      <c r="B6798" s="136" t="str">
        <f t="shared" si="57"/>
        <v/>
      </c>
    </row>
    <row r="6799" spans="1:2">
      <c r="A6799" s="136" t="str">
        <f t="shared" si="56"/>
        <v/>
      </c>
      <c r="B6799" s="136" t="str">
        <f t="shared" si="57"/>
        <v/>
      </c>
    </row>
    <row r="6800" spans="1:2">
      <c r="A6800" s="136" t="str">
        <f t="shared" si="56"/>
        <v/>
      </c>
      <c r="B6800" s="136" t="str">
        <f t="shared" si="57"/>
        <v/>
      </c>
    </row>
    <row r="6801" spans="1:2">
      <c r="A6801" s="136" t="str">
        <f t="shared" si="56"/>
        <v/>
      </c>
      <c r="B6801" s="136" t="str">
        <f t="shared" si="57"/>
        <v/>
      </c>
    </row>
    <row r="6802" spans="1:2">
      <c r="A6802" s="136" t="str">
        <f t="shared" si="56"/>
        <v/>
      </c>
      <c r="B6802" s="136" t="str">
        <f t="shared" si="57"/>
        <v/>
      </c>
    </row>
    <row r="6803" spans="1:2">
      <c r="A6803" s="136" t="str">
        <f t="shared" si="56"/>
        <v/>
      </c>
      <c r="B6803" s="136" t="str">
        <f t="shared" si="57"/>
        <v/>
      </c>
    </row>
    <row r="6804" spans="1:2">
      <c r="A6804" s="136" t="str">
        <f t="shared" si="56"/>
        <v/>
      </c>
      <c r="B6804" s="136" t="str">
        <f t="shared" si="57"/>
        <v/>
      </c>
    </row>
    <row r="6805" spans="1:2">
      <c r="A6805" s="136" t="str">
        <f t="shared" ref="A6805:A6868" si="58">HYPERLINK("http://tw.stock.yahoo.com/q/ta?s=","")</f>
        <v/>
      </c>
      <c r="B6805" s="136" t="str">
        <f t="shared" ref="B6805:B6868" si="59">HYPERLINK("http://tw.stock.yahoo.com/d/s/earning_.html","")</f>
        <v/>
      </c>
    </row>
    <row r="6806" spans="1:2">
      <c r="A6806" s="136" t="str">
        <f t="shared" si="58"/>
        <v/>
      </c>
      <c r="B6806" s="136" t="str">
        <f t="shared" si="59"/>
        <v/>
      </c>
    </row>
    <row r="6807" spans="1:2">
      <c r="A6807" s="136" t="str">
        <f t="shared" si="58"/>
        <v/>
      </c>
      <c r="B6807" s="136" t="str">
        <f t="shared" si="59"/>
        <v/>
      </c>
    </row>
    <row r="6808" spans="1:2">
      <c r="A6808" s="136" t="str">
        <f t="shared" si="58"/>
        <v/>
      </c>
      <c r="B6808" s="136" t="str">
        <f t="shared" si="59"/>
        <v/>
      </c>
    </row>
    <row r="6809" spans="1:2">
      <c r="A6809" s="136" t="str">
        <f t="shared" si="58"/>
        <v/>
      </c>
      <c r="B6809" s="136" t="str">
        <f t="shared" si="59"/>
        <v/>
      </c>
    </row>
    <row r="6810" spans="1:2">
      <c r="A6810" s="136" t="str">
        <f t="shared" si="58"/>
        <v/>
      </c>
      <c r="B6810" s="136" t="str">
        <f t="shared" si="59"/>
        <v/>
      </c>
    </row>
    <row r="6811" spans="1:2">
      <c r="A6811" s="136" t="str">
        <f t="shared" si="58"/>
        <v/>
      </c>
      <c r="B6811" s="136" t="str">
        <f t="shared" si="59"/>
        <v/>
      </c>
    </row>
    <row r="6812" spans="1:2">
      <c r="A6812" s="136" t="str">
        <f t="shared" si="58"/>
        <v/>
      </c>
      <c r="B6812" s="136" t="str">
        <f t="shared" si="59"/>
        <v/>
      </c>
    </row>
    <row r="6813" spans="1:2">
      <c r="A6813" s="136" t="str">
        <f t="shared" si="58"/>
        <v/>
      </c>
      <c r="B6813" s="136" t="str">
        <f t="shared" si="59"/>
        <v/>
      </c>
    </row>
    <row r="6814" spans="1:2">
      <c r="A6814" s="136" t="str">
        <f t="shared" si="58"/>
        <v/>
      </c>
      <c r="B6814" s="136" t="str">
        <f t="shared" si="59"/>
        <v/>
      </c>
    </row>
    <row r="6815" spans="1:2">
      <c r="A6815" s="136" t="str">
        <f t="shared" si="58"/>
        <v/>
      </c>
      <c r="B6815" s="136" t="str">
        <f t="shared" si="59"/>
        <v/>
      </c>
    </row>
    <row r="6816" spans="1:2">
      <c r="A6816" s="136" t="str">
        <f t="shared" si="58"/>
        <v/>
      </c>
      <c r="B6816" s="136" t="str">
        <f t="shared" si="59"/>
        <v/>
      </c>
    </row>
    <row r="6817" spans="1:2">
      <c r="A6817" s="136" t="str">
        <f t="shared" si="58"/>
        <v/>
      </c>
      <c r="B6817" s="136" t="str">
        <f t="shared" si="59"/>
        <v/>
      </c>
    </row>
    <row r="6818" spans="1:2">
      <c r="A6818" s="136" t="str">
        <f t="shared" si="58"/>
        <v/>
      </c>
      <c r="B6818" s="136" t="str">
        <f t="shared" si="59"/>
        <v/>
      </c>
    </row>
    <row r="6819" spans="1:2">
      <c r="A6819" s="136" t="str">
        <f t="shared" si="58"/>
        <v/>
      </c>
      <c r="B6819" s="136" t="str">
        <f t="shared" si="59"/>
        <v/>
      </c>
    </row>
    <row r="6820" spans="1:2">
      <c r="A6820" s="136" t="str">
        <f t="shared" si="58"/>
        <v/>
      </c>
      <c r="B6820" s="136" t="str">
        <f t="shared" si="59"/>
        <v/>
      </c>
    </row>
    <row r="6821" spans="1:2">
      <c r="A6821" s="136" t="str">
        <f t="shared" si="58"/>
        <v/>
      </c>
      <c r="B6821" s="136" t="str">
        <f t="shared" si="59"/>
        <v/>
      </c>
    </row>
    <row r="6822" spans="1:2">
      <c r="A6822" s="136" t="str">
        <f t="shared" si="58"/>
        <v/>
      </c>
      <c r="B6822" s="136" t="str">
        <f t="shared" si="59"/>
        <v/>
      </c>
    </row>
    <row r="6823" spans="1:2">
      <c r="A6823" s="136" t="str">
        <f t="shared" si="58"/>
        <v/>
      </c>
      <c r="B6823" s="136" t="str">
        <f t="shared" si="59"/>
        <v/>
      </c>
    </row>
    <row r="6824" spans="1:2">
      <c r="A6824" s="136" t="str">
        <f t="shared" si="58"/>
        <v/>
      </c>
      <c r="B6824" s="136" t="str">
        <f t="shared" si="59"/>
        <v/>
      </c>
    </row>
    <row r="6825" spans="1:2">
      <c r="A6825" s="136" t="str">
        <f t="shared" si="58"/>
        <v/>
      </c>
      <c r="B6825" s="136" t="str">
        <f t="shared" si="59"/>
        <v/>
      </c>
    </row>
    <row r="6826" spans="1:2">
      <c r="A6826" s="136" t="str">
        <f t="shared" si="58"/>
        <v/>
      </c>
      <c r="B6826" s="136" t="str">
        <f t="shared" si="59"/>
        <v/>
      </c>
    </row>
    <row r="6827" spans="1:2">
      <c r="A6827" s="136" t="str">
        <f t="shared" si="58"/>
        <v/>
      </c>
      <c r="B6827" s="136" t="str">
        <f t="shared" si="59"/>
        <v/>
      </c>
    </row>
    <row r="6828" spans="1:2">
      <c r="A6828" s="136" t="str">
        <f t="shared" si="58"/>
        <v/>
      </c>
      <c r="B6828" s="136" t="str">
        <f t="shared" si="59"/>
        <v/>
      </c>
    </row>
    <row r="6829" spans="1:2">
      <c r="A6829" s="136" t="str">
        <f t="shared" si="58"/>
        <v/>
      </c>
      <c r="B6829" s="136" t="str">
        <f t="shared" si="59"/>
        <v/>
      </c>
    </row>
    <row r="6830" spans="1:2">
      <c r="A6830" s="136" t="str">
        <f t="shared" si="58"/>
        <v/>
      </c>
      <c r="B6830" s="136" t="str">
        <f t="shared" si="59"/>
        <v/>
      </c>
    </row>
    <row r="6831" spans="1:2">
      <c r="A6831" s="136" t="str">
        <f t="shared" si="58"/>
        <v/>
      </c>
      <c r="B6831" s="136" t="str">
        <f t="shared" si="59"/>
        <v/>
      </c>
    </row>
    <row r="6832" spans="1:2">
      <c r="A6832" s="136" t="str">
        <f t="shared" si="58"/>
        <v/>
      </c>
      <c r="B6832" s="136" t="str">
        <f t="shared" si="59"/>
        <v/>
      </c>
    </row>
    <row r="6833" spans="1:2">
      <c r="A6833" s="136" t="str">
        <f t="shared" si="58"/>
        <v/>
      </c>
      <c r="B6833" s="136" t="str">
        <f t="shared" si="59"/>
        <v/>
      </c>
    </row>
    <row r="6834" spans="1:2">
      <c r="A6834" s="136" t="str">
        <f t="shared" si="58"/>
        <v/>
      </c>
      <c r="B6834" s="136" t="str">
        <f t="shared" si="59"/>
        <v/>
      </c>
    </row>
    <row r="6835" spans="1:2">
      <c r="A6835" s="136" t="str">
        <f t="shared" si="58"/>
        <v/>
      </c>
      <c r="B6835" s="136" t="str">
        <f t="shared" si="59"/>
        <v/>
      </c>
    </row>
    <row r="6836" spans="1:2">
      <c r="A6836" s="136" t="str">
        <f t="shared" si="58"/>
        <v/>
      </c>
      <c r="B6836" s="136" t="str">
        <f t="shared" si="59"/>
        <v/>
      </c>
    </row>
    <row r="6837" spans="1:2">
      <c r="A6837" s="136" t="str">
        <f t="shared" si="58"/>
        <v/>
      </c>
      <c r="B6837" s="136" t="str">
        <f t="shared" si="59"/>
        <v/>
      </c>
    </row>
    <row r="6838" spans="1:2">
      <c r="A6838" s="136" t="str">
        <f t="shared" si="58"/>
        <v/>
      </c>
      <c r="B6838" s="136" t="str">
        <f t="shared" si="59"/>
        <v/>
      </c>
    </row>
    <row r="6839" spans="1:2">
      <c r="A6839" s="136" t="str">
        <f t="shared" si="58"/>
        <v/>
      </c>
      <c r="B6839" s="136" t="str">
        <f t="shared" si="59"/>
        <v/>
      </c>
    </row>
    <row r="6840" spans="1:2">
      <c r="A6840" s="136" t="str">
        <f t="shared" si="58"/>
        <v/>
      </c>
      <c r="B6840" s="136" t="str">
        <f t="shared" si="59"/>
        <v/>
      </c>
    </row>
    <row r="6841" spans="1:2">
      <c r="A6841" s="136" t="str">
        <f t="shared" si="58"/>
        <v/>
      </c>
      <c r="B6841" s="136" t="str">
        <f t="shared" si="59"/>
        <v/>
      </c>
    </row>
    <row r="6842" spans="1:2">
      <c r="A6842" s="136" t="str">
        <f t="shared" si="58"/>
        <v/>
      </c>
      <c r="B6842" s="136" t="str">
        <f t="shared" si="59"/>
        <v/>
      </c>
    </row>
    <row r="6843" spans="1:2">
      <c r="A6843" s="136" t="str">
        <f t="shared" si="58"/>
        <v/>
      </c>
      <c r="B6843" s="136" t="str">
        <f t="shared" si="59"/>
        <v/>
      </c>
    </row>
    <row r="6844" spans="1:2">
      <c r="A6844" s="136" t="str">
        <f t="shared" si="58"/>
        <v/>
      </c>
      <c r="B6844" s="136" t="str">
        <f t="shared" si="59"/>
        <v/>
      </c>
    </row>
    <row r="6845" spans="1:2">
      <c r="A6845" s="136" t="str">
        <f t="shared" si="58"/>
        <v/>
      </c>
      <c r="B6845" s="136" t="str">
        <f t="shared" si="59"/>
        <v/>
      </c>
    </row>
    <row r="6846" spans="1:2">
      <c r="A6846" s="136" t="str">
        <f t="shared" si="58"/>
        <v/>
      </c>
      <c r="B6846" s="136" t="str">
        <f t="shared" si="59"/>
        <v/>
      </c>
    </row>
    <row r="6847" spans="1:2">
      <c r="A6847" s="136" t="str">
        <f t="shared" si="58"/>
        <v/>
      </c>
      <c r="B6847" s="136" t="str">
        <f t="shared" si="59"/>
        <v/>
      </c>
    </row>
    <row r="6848" spans="1:2">
      <c r="A6848" s="136" t="str">
        <f t="shared" si="58"/>
        <v/>
      </c>
      <c r="B6848" s="136" t="str">
        <f t="shared" si="59"/>
        <v/>
      </c>
    </row>
    <row r="6849" spans="1:2">
      <c r="A6849" s="136" t="str">
        <f t="shared" si="58"/>
        <v/>
      </c>
      <c r="B6849" s="136" t="str">
        <f t="shared" si="59"/>
        <v/>
      </c>
    </row>
    <row r="6850" spans="1:2">
      <c r="A6850" s="136" t="str">
        <f t="shared" si="58"/>
        <v/>
      </c>
      <c r="B6850" s="136" t="str">
        <f t="shared" si="59"/>
        <v/>
      </c>
    </row>
    <row r="6851" spans="1:2">
      <c r="A6851" s="136" t="str">
        <f t="shared" si="58"/>
        <v/>
      </c>
      <c r="B6851" s="136" t="str">
        <f t="shared" si="59"/>
        <v/>
      </c>
    </row>
    <row r="6852" spans="1:2">
      <c r="A6852" s="136" t="str">
        <f t="shared" si="58"/>
        <v/>
      </c>
      <c r="B6852" s="136" t="str">
        <f t="shared" si="59"/>
        <v/>
      </c>
    </row>
    <row r="6853" spans="1:2">
      <c r="A6853" s="136" t="str">
        <f t="shared" si="58"/>
        <v/>
      </c>
      <c r="B6853" s="136" t="str">
        <f t="shared" si="59"/>
        <v/>
      </c>
    </row>
    <row r="6854" spans="1:2">
      <c r="A6854" s="136" t="str">
        <f t="shared" si="58"/>
        <v/>
      </c>
      <c r="B6854" s="136" t="str">
        <f t="shared" si="59"/>
        <v/>
      </c>
    </row>
    <row r="6855" spans="1:2">
      <c r="A6855" s="136" t="str">
        <f t="shared" si="58"/>
        <v/>
      </c>
      <c r="B6855" s="136" t="str">
        <f t="shared" si="59"/>
        <v/>
      </c>
    </row>
    <row r="6856" spans="1:2">
      <c r="A6856" s="136" t="str">
        <f t="shared" si="58"/>
        <v/>
      </c>
      <c r="B6856" s="136" t="str">
        <f t="shared" si="59"/>
        <v/>
      </c>
    </row>
    <row r="6857" spans="1:2">
      <c r="A6857" s="136" t="str">
        <f t="shared" si="58"/>
        <v/>
      </c>
      <c r="B6857" s="136" t="str">
        <f t="shared" si="59"/>
        <v/>
      </c>
    </row>
    <row r="6858" spans="1:2">
      <c r="A6858" s="136" t="str">
        <f t="shared" si="58"/>
        <v/>
      </c>
      <c r="B6858" s="136" t="str">
        <f t="shared" si="59"/>
        <v/>
      </c>
    </row>
    <row r="6859" spans="1:2">
      <c r="A6859" s="136" t="str">
        <f t="shared" si="58"/>
        <v/>
      </c>
      <c r="B6859" s="136" t="str">
        <f t="shared" si="59"/>
        <v/>
      </c>
    </row>
    <row r="6860" spans="1:2">
      <c r="A6860" s="136" t="str">
        <f t="shared" si="58"/>
        <v/>
      </c>
      <c r="B6860" s="136" t="str">
        <f t="shared" si="59"/>
        <v/>
      </c>
    </row>
    <row r="6861" spans="1:2">
      <c r="A6861" s="136" t="str">
        <f t="shared" si="58"/>
        <v/>
      </c>
      <c r="B6861" s="136" t="str">
        <f t="shared" si="59"/>
        <v/>
      </c>
    </row>
    <row r="6862" spans="1:2">
      <c r="A6862" s="136" t="str">
        <f t="shared" si="58"/>
        <v/>
      </c>
      <c r="B6862" s="136" t="str">
        <f t="shared" si="59"/>
        <v/>
      </c>
    </row>
    <row r="6863" spans="1:2">
      <c r="A6863" s="136" t="str">
        <f t="shared" si="58"/>
        <v/>
      </c>
      <c r="B6863" s="136" t="str">
        <f t="shared" si="59"/>
        <v/>
      </c>
    </row>
    <row r="6864" spans="1:2">
      <c r="A6864" s="136" t="str">
        <f t="shared" si="58"/>
        <v/>
      </c>
      <c r="B6864" s="136" t="str">
        <f t="shared" si="59"/>
        <v/>
      </c>
    </row>
    <row r="6865" spans="1:2">
      <c r="A6865" s="136" t="str">
        <f t="shared" si="58"/>
        <v/>
      </c>
      <c r="B6865" s="136" t="str">
        <f t="shared" si="59"/>
        <v/>
      </c>
    </row>
    <row r="6866" spans="1:2">
      <c r="A6866" s="136" t="str">
        <f t="shared" si="58"/>
        <v/>
      </c>
      <c r="B6866" s="136" t="str">
        <f t="shared" si="59"/>
        <v/>
      </c>
    </row>
    <row r="6867" spans="1:2">
      <c r="A6867" s="136" t="str">
        <f t="shared" si="58"/>
        <v/>
      </c>
      <c r="B6867" s="136" t="str">
        <f t="shared" si="59"/>
        <v/>
      </c>
    </row>
    <row r="6868" spans="1:2">
      <c r="A6868" s="136" t="str">
        <f t="shared" si="58"/>
        <v/>
      </c>
      <c r="B6868" s="136" t="str">
        <f t="shared" si="59"/>
        <v/>
      </c>
    </row>
    <row r="6869" spans="1:2">
      <c r="A6869" s="136" t="str">
        <f t="shared" ref="A6869:A6932" si="60">HYPERLINK("http://tw.stock.yahoo.com/q/ta?s=","")</f>
        <v/>
      </c>
      <c r="B6869" s="136" t="str">
        <f t="shared" ref="B6869:B6932" si="61">HYPERLINK("http://tw.stock.yahoo.com/d/s/earning_.html","")</f>
        <v/>
      </c>
    </row>
    <row r="6870" spans="1:2">
      <c r="A6870" s="136" t="str">
        <f t="shared" si="60"/>
        <v/>
      </c>
      <c r="B6870" s="136" t="str">
        <f t="shared" si="61"/>
        <v/>
      </c>
    </row>
    <row r="6871" spans="1:2">
      <c r="A6871" s="136" t="str">
        <f t="shared" si="60"/>
        <v/>
      </c>
      <c r="B6871" s="136" t="str">
        <f t="shared" si="61"/>
        <v/>
      </c>
    </row>
    <row r="6872" spans="1:2">
      <c r="A6872" s="136" t="str">
        <f t="shared" si="60"/>
        <v/>
      </c>
      <c r="B6872" s="136" t="str">
        <f t="shared" si="61"/>
        <v/>
      </c>
    </row>
    <row r="6873" spans="1:2">
      <c r="A6873" s="136" t="str">
        <f t="shared" si="60"/>
        <v/>
      </c>
      <c r="B6873" s="136" t="str">
        <f t="shared" si="61"/>
        <v/>
      </c>
    </row>
    <row r="6874" spans="1:2">
      <c r="A6874" s="136" t="str">
        <f t="shared" si="60"/>
        <v/>
      </c>
      <c r="B6874" s="136" t="str">
        <f t="shared" si="61"/>
        <v/>
      </c>
    </row>
    <row r="6875" spans="1:2">
      <c r="A6875" s="136" t="str">
        <f t="shared" si="60"/>
        <v/>
      </c>
      <c r="B6875" s="136" t="str">
        <f t="shared" si="61"/>
        <v/>
      </c>
    </row>
    <row r="6876" spans="1:2">
      <c r="A6876" s="136" t="str">
        <f t="shared" si="60"/>
        <v/>
      </c>
      <c r="B6876" s="136" t="str">
        <f t="shared" si="61"/>
        <v/>
      </c>
    </row>
    <row r="6877" spans="1:2">
      <c r="A6877" s="136" t="str">
        <f t="shared" si="60"/>
        <v/>
      </c>
      <c r="B6877" s="136" t="str">
        <f t="shared" si="61"/>
        <v/>
      </c>
    </row>
    <row r="6878" spans="1:2">
      <c r="A6878" s="136" t="str">
        <f t="shared" si="60"/>
        <v/>
      </c>
      <c r="B6878" s="136" t="str">
        <f t="shared" si="61"/>
        <v/>
      </c>
    </row>
    <row r="6879" spans="1:2">
      <c r="A6879" s="136" t="str">
        <f t="shared" si="60"/>
        <v/>
      </c>
      <c r="B6879" s="136" t="str">
        <f t="shared" si="61"/>
        <v/>
      </c>
    </row>
    <row r="6880" spans="1:2">
      <c r="A6880" s="136" t="str">
        <f t="shared" si="60"/>
        <v/>
      </c>
      <c r="B6880" s="136" t="str">
        <f t="shared" si="61"/>
        <v/>
      </c>
    </row>
    <row r="6881" spans="1:2">
      <c r="A6881" s="136" t="str">
        <f t="shared" si="60"/>
        <v/>
      </c>
      <c r="B6881" s="136" t="str">
        <f t="shared" si="61"/>
        <v/>
      </c>
    </row>
    <row r="6882" spans="1:2">
      <c r="A6882" s="136" t="str">
        <f t="shared" si="60"/>
        <v/>
      </c>
      <c r="B6882" s="136" t="str">
        <f t="shared" si="61"/>
        <v/>
      </c>
    </row>
    <row r="6883" spans="1:2">
      <c r="A6883" s="136" t="str">
        <f t="shared" si="60"/>
        <v/>
      </c>
      <c r="B6883" s="136" t="str">
        <f t="shared" si="61"/>
        <v/>
      </c>
    </row>
    <row r="6884" spans="1:2">
      <c r="A6884" s="136" t="str">
        <f t="shared" si="60"/>
        <v/>
      </c>
      <c r="B6884" s="136" t="str">
        <f t="shared" si="61"/>
        <v/>
      </c>
    </row>
    <row r="6885" spans="1:2">
      <c r="A6885" s="136" t="str">
        <f t="shared" si="60"/>
        <v/>
      </c>
      <c r="B6885" s="136" t="str">
        <f t="shared" si="61"/>
        <v/>
      </c>
    </row>
    <row r="6886" spans="1:2">
      <c r="A6886" s="136" t="str">
        <f t="shared" si="60"/>
        <v/>
      </c>
      <c r="B6886" s="136" t="str">
        <f t="shared" si="61"/>
        <v/>
      </c>
    </row>
    <row r="6887" spans="1:2">
      <c r="A6887" s="136" t="str">
        <f t="shared" si="60"/>
        <v/>
      </c>
      <c r="B6887" s="136" t="str">
        <f t="shared" si="61"/>
        <v/>
      </c>
    </row>
    <row r="6888" spans="1:2">
      <c r="A6888" s="136" t="str">
        <f t="shared" si="60"/>
        <v/>
      </c>
      <c r="B6888" s="136" t="str">
        <f t="shared" si="61"/>
        <v/>
      </c>
    </row>
    <row r="6889" spans="1:2">
      <c r="A6889" s="136" t="str">
        <f t="shared" si="60"/>
        <v/>
      </c>
      <c r="B6889" s="136" t="str">
        <f t="shared" si="61"/>
        <v/>
      </c>
    </row>
    <row r="6890" spans="1:2">
      <c r="A6890" s="136" t="str">
        <f t="shared" si="60"/>
        <v/>
      </c>
      <c r="B6890" s="136" t="str">
        <f t="shared" si="61"/>
        <v/>
      </c>
    </row>
    <row r="6891" spans="1:2">
      <c r="A6891" s="136" t="str">
        <f t="shared" si="60"/>
        <v/>
      </c>
      <c r="B6891" s="136" t="str">
        <f t="shared" si="61"/>
        <v/>
      </c>
    </row>
    <row r="6892" spans="1:2">
      <c r="A6892" s="136" t="str">
        <f t="shared" si="60"/>
        <v/>
      </c>
      <c r="B6892" s="136" t="str">
        <f t="shared" si="61"/>
        <v/>
      </c>
    </row>
    <row r="6893" spans="1:2">
      <c r="A6893" s="136" t="str">
        <f t="shared" si="60"/>
        <v/>
      </c>
      <c r="B6893" s="136" t="str">
        <f t="shared" si="61"/>
        <v/>
      </c>
    </row>
    <row r="6894" spans="1:2">
      <c r="A6894" s="136" t="str">
        <f t="shared" si="60"/>
        <v/>
      </c>
      <c r="B6894" s="136" t="str">
        <f t="shared" si="61"/>
        <v/>
      </c>
    </row>
    <row r="6895" spans="1:2">
      <c r="A6895" s="136" t="str">
        <f t="shared" si="60"/>
        <v/>
      </c>
      <c r="B6895" s="136" t="str">
        <f t="shared" si="61"/>
        <v/>
      </c>
    </row>
    <row r="6896" spans="1:2">
      <c r="A6896" s="136" t="str">
        <f t="shared" si="60"/>
        <v/>
      </c>
      <c r="B6896" s="136" t="str">
        <f t="shared" si="61"/>
        <v/>
      </c>
    </row>
    <row r="6897" spans="1:2">
      <c r="A6897" s="136" t="str">
        <f t="shared" si="60"/>
        <v/>
      </c>
      <c r="B6897" s="136" t="str">
        <f t="shared" si="61"/>
        <v/>
      </c>
    </row>
    <row r="6898" spans="1:2">
      <c r="A6898" s="136" t="str">
        <f t="shared" si="60"/>
        <v/>
      </c>
      <c r="B6898" s="136" t="str">
        <f t="shared" si="61"/>
        <v/>
      </c>
    </row>
    <row r="6899" spans="1:2">
      <c r="A6899" s="136" t="str">
        <f t="shared" si="60"/>
        <v/>
      </c>
      <c r="B6899" s="136" t="str">
        <f t="shared" si="61"/>
        <v/>
      </c>
    </row>
    <row r="6900" spans="1:2">
      <c r="A6900" s="136" t="str">
        <f t="shared" si="60"/>
        <v/>
      </c>
      <c r="B6900" s="136" t="str">
        <f t="shared" si="61"/>
        <v/>
      </c>
    </row>
    <row r="6901" spans="1:2">
      <c r="A6901" s="136" t="str">
        <f t="shared" si="60"/>
        <v/>
      </c>
      <c r="B6901" s="136" t="str">
        <f t="shared" si="61"/>
        <v/>
      </c>
    </row>
    <row r="6902" spans="1:2">
      <c r="A6902" s="136" t="str">
        <f t="shared" si="60"/>
        <v/>
      </c>
      <c r="B6902" s="136" t="str">
        <f t="shared" si="61"/>
        <v/>
      </c>
    </row>
    <row r="6903" spans="1:2">
      <c r="A6903" s="136" t="str">
        <f t="shared" si="60"/>
        <v/>
      </c>
      <c r="B6903" s="136" t="str">
        <f t="shared" si="61"/>
        <v/>
      </c>
    </row>
    <row r="6904" spans="1:2">
      <c r="A6904" s="136" t="str">
        <f t="shared" si="60"/>
        <v/>
      </c>
      <c r="B6904" s="136" t="str">
        <f t="shared" si="61"/>
        <v/>
      </c>
    </row>
    <row r="6905" spans="1:2">
      <c r="A6905" s="136" t="str">
        <f t="shared" si="60"/>
        <v/>
      </c>
      <c r="B6905" s="136" t="str">
        <f t="shared" si="61"/>
        <v/>
      </c>
    </row>
    <row r="6906" spans="1:2">
      <c r="A6906" s="136" t="str">
        <f t="shared" si="60"/>
        <v/>
      </c>
      <c r="B6906" s="136" t="str">
        <f t="shared" si="61"/>
        <v/>
      </c>
    </row>
    <row r="6907" spans="1:2">
      <c r="A6907" s="136" t="str">
        <f t="shared" si="60"/>
        <v/>
      </c>
      <c r="B6907" s="136" t="str">
        <f t="shared" si="61"/>
        <v/>
      </c>
    </row>
    <row r="6908" spans="1:2">
      <c r="A6908" s="136" t="str">
        <f t="shared" si="60"/>
        <v/>
      </c>
      <c r="B6908" s="136" t="str">
        <f t="shared" si="61"/>
        <v/>
      </c>
    </row>
    <row r="6909" spans="1:2">
      <c r="A6909" s="136" t="str">
        <f t="shared" si="60"/>
        <v/>
      </c>
      <c r="B6909" s="136" t="str">
        <f t="shared" si="61"/>
        <v/>
      </c>
    </row>
    <row r="6910" spans="1:2">
      <c r="A6910" s="136" t="str">
        <f t="shared" si="60"/>
        <v/>
      </c>
      <c r="B6910" s="136" t="str">
        <f t="shared" si="61"/>
        <v/>
      </c>
    </row>
    <row r="6911" spans="1:2">
      <c r="A6911" s="136" t="str">
        <f t="shared" si="60"/>
        <v/>
      </c>
      <c r="B6911" s="136" t="str">
        <f t="shared" si="61"/>
        <v/>
      </c>
    </row>
    <row r="6912" spans="1:2">
      <c r="A6912" s="136" t="str">
        <f t="shared" si="60"/>
        <v/>
      </c>
      <c r="B6912" s="136" t="str">
        <f t="shared" si="61"/>
        <v/>
      </c>
    </row>
    <row r="6913" spans="1:2">
      <c r="A6913" s="136" t="str">
        <f t="shared" si="60"/>
        <v/>
      </c>
      <c r="B6913" s="136" t="str">
        <f t="shared" si="61"/>
        <v/>
      </c>
    </row>
    <row r="6914" spans="1:2">
      <c r="A6914" s="136" t="str">
        <f t="shared" si="60"/>
        <v/>
      </c>
      <c r="B6914" s="136" t="str">
        <f t="shared" si="61"/>
        <v/>
      </c>
    </row>
    <row r="6915" spans="1:2">
      <c r="A6915" s="136" t="str">
        <f t="shared" si="60"/>
        <v/>
      </c>
      <c r="B6915" s="136" t="str">
        <f t="shared" si="61"/>
        <v/>
      </c>
    </row>
    <row r="6916" spans="1:2">
      <c r="A6916" s="136" t="str">
        <f t="shared" si="60"/>
        <v/>
      </c>
      <c r="B6916" s="136" t="str">
        <f t="shared" si="61"/>
        <v/>
      </c>
    </row>
    <row r="6917" spans="1:2">
      <c r="A6917" s="136" t="str">
        <f t="shared" si="60"/>
        <v/>
      </c>
      <c r="B6917" s="136" t="str">
        <f t="shared" si="61"/>
        <v/>
      </c>
    </row>
    <row r="6918" spans="1:2">
      <c r="A6918" s="136" t="str">
        <f t="shared" si="60"/>
        <v/>
      </c>
      <c r="B6918" s="136" t="str">
        <f t="shared" si="61"/>
        <v/>
      </c>
    </row>
    <row r="6919" spans="1:2">
      <c r="A6919" s="136" t="str">
        <f t="shared" si="60"/>
        <v/>
      </c>
      <c r="B6919" s="136" t="str">
        <f t="shared" si="61"/>
        <v/>
      </c>
    </row>
    <row r="6920" spans="1:2">
      <c r="A6920" s="136" t="str">
        <f t="shared" si="60"/>
        <v/>
      </c>
      <c r="B6920" s="136" t="str">
        <f t="shared" si="61"/>
        <v/>
      </c>
    </row>
    <row r="6921" spans="1:2">
      <c r="A6921" s="136" t="str">
        <f t="shared" si="60"/>
        <v/>
      </c>
      <c r="B6921" s="136" t="str">
        <f t="shared" si="61"/>
        <v/>
      </c>
    </row>
    <row r="6922" spans="1:2">
      <c r="A6922" s="136" t="str">
        <f t="shared" si="60"/>
        <v/>
      </c>
      <c r="B6922" s="136" t="str">
        <f t="shared" si="61"/>
        <v/>
      </c>
    </row>
    <row r="6923" spans="1:2">
      <c r="A6923" s="136" t="str">
        <f t="shared" si="60"/>
        <v/>
      </c>
      <c r="B6923" s="136" t="str">
        <f t="shared" si="61"/>
        <v/>
      </c>
    </row>
    <row r="6924" spans="1:2">
      <c r="A6924" s="136" t="str">
        <f t="shared" si="60"/>
        <v/>
      </c>
      <c r="B6924" s="136" t="str">
        <f t="shared" si="61"/>
        <v/>
      </c>
    </row>
    <row r="6925" spans="1:2">
      <c r="A6925" s="136" t="str">
        <f t="shared" si="60"/>
        <v/>
      </c>
      <c r="B6925" s="136" t="str">
        <f t="shared" si="61"/>
        <v/>
      </c>
    </row>
    <row r="6926" spans="1:2">
      <c r="A6926" s="136" t="str">
        <f t="shared" si="60"/>
        <v/>
      </c>
      <c r="B6926" s="136" t="str">
        <f t="shared" si="61"/>
        <v/>
      </c>
    </row>
    <row r="6927" spans="1:2">
      <c r="A6927" s="136" t="str">
        <f t="shared" si="60"/>
        <v/>
      </c>
      <c r="B6927" s="136" t="str">
        <f t="shared" si="61"/>
        <v/>
      </c>
    </row>
    <row r="6928" spans="1:2">
      <c r="A6928" s="136" t="str">
        <f t="shared" si="60"/>
        <v/>
      </c>
      <c r="B6928" s="136" t="str">
        <f t="shared" si="61"/>
        <v/>
      </c>
    </row>
    <row r="6929" spans="1:2">
      <c r="A6929" s="136" t="str">
        <f t="shared" si="60"/>
        <v/>
      </c>
      <c r="B6929" s="136" t="str">
        <f t="shared" si="61"/>
        <v/>
      </c>
    </row>
    <row r="6930" spans="1:2">
      <c r="A6930" s="136" t="str">
        <f t="shared" si="60"/>
        <v/>
      </c>
      <c r="B6930" s="136" t="str">
        <f t="shared" si="61"/>
        <v/>
      </c>
    </row>
    <row r="6931" spans="1:2">
      <c r="A6931" s="136" t="str">
        <f t="shared" si="60"/>
        <v/>
      </c>
      <c r="B6931" s="136" t="str">
        <f t="shared" si="61"/>
        <v/>
      </c>
    </row>
    <row r="6932" spans="1:2">
      <c r="A6932" s="136" t="str">
        <f t="shared" si="60"/>
        <v/>
      </c>
      <c r="B6932" s="136" t="str">
        <f t="shared" si="61"/>
        <v/>
      </c>
    </row>
    <row r="6933" spans="1:2">
      <c r="A6933" s="136" t="str">
        <f t="shared" ref="A6933:A6996" si="62">HYPERLINK("http://tw.stock.yahoo.com/q/ta?s=","")</f>
        <v/>
      </c>
      <c r="B6933" s="136" t="str">
        <f t="shared" ref="B6933:B6996" si="63">HYPERLINK("http://tw.stock.yahoo.com/d/s/earning_.html","")</f>
        <v/>
      </c>
    </row>
    <row r="6934" spans="1:2">
      <c r="A6934" s="136" t="str">
        <f t="shared" si="62"/>
        <v/>
      </c>
      <c r="B6934" s="136" t="str">
        <f t="shared" si="63"/>
        <v/>
      </c>
    </row>
    <row r="6935" spans="1:2">
      <c r="A6935" s="136" t="str">
        <f t="shared" si="62"/>
        <v/>
      </c>
      <c r="B6935" s="136" t="str">
        <f t="shared" si="63"/>
        <v/>
      </c>
    </row>
    <row r="6936" spans="1:2">
      <c r="A6936" s="136" t="str">
        <f t="shared" si="62"/>
        <v/>
      </c>
      <c r="B6936" s="136" t="str">
        <f t="shared" si="63"/>
        <v/>
      </c>
    </row>
    <row r="6937" spans="1:2">
      <c r="A6937" s="136" t="str">
        <f t="shared" si="62"/>
        <v/>
      </c>
      <c r="B6937" s="136" t="str">
        <f t="shared" si="63"/>
        <v/>
      </c>
    </row>
    <row r="6938" spans="1:2">
      <c r="A6938" s="136" t="str">
        <f t="shared" si="62"/>
        <v/>
      </c>
      <c r="B6938" s="136" t="str">
        <f t="shared" si="63"/>
        <v/>
      </c>
    </row>
    <row r="6939" spans="1:2">
      <c r="A6939" s="136" t="str">
        <f t="shared" si="62"/>
        <v/>
      </c>
      <c r="B6939" s="136" t="str">
        <f t="shared" si="63"/>
        <v/>
      </c>
    </row>
    <row r="6940" spans="1:2">
      <c r="A6940" s="136" t="str">
        <f t="shared" si="62"/>
        <v/>
      </c>
      <c r="B6940" s="136" t="str">
        <f t="shared" si="63"/>
        <v/>
      </c>
    </row>
    <row r="6941" spans="1:2">
      <c r="A6941" s="136" t="str">
        <f t="shared" si="62"/>
        <v/>
      </c>
      <c r="B6941" s="136" t="str">
        <f t="shared" si="63"/>
        <v/>
      </c>
    </row>
    <row r="6942" spans="1:2">
      <c r="A6942" s="136" t="str">
        <f t="shared" si="62"/>
        <v/>
      </c>
      <c r="B6942" s="136" t="str">
        <f t="shared" si="63"/>
        <v/>
      </c>
    </row>
    <row r="6943" spans="1:2">
      <c r="A6943" s="136" t="str">
        <f t="shared" si="62"/>
        <v/>
      </c>
      <c r="B6943" s="136" t="str">
        <f t="shared" si="63"/>
        <v/>
      </c>
    </row>
    <row r="6944" spans="1:2">
      <c r="A6944" s="136" t="str">
        <f t="shared" si="62"/>
        <v/>
      </c>
      <c r="B6944" s="136" t="str">
        <f t="shared" si="63"/>
        <v/>
      </c>
    </row>
    <row r="6945" spans="1:2">
      <c r="A6945" s="136" t="str">
        <f t="shared" si="62"/>
        <v/>
      </c>
      <c r="B6945" s="136" t="str">
        <f t="shared" si="63"/>
        <v/>
      </c>
    </row>
    <row r="6946" spans="1:2">
      <c r="A6946" s="136" t="str">
        <f t="shared" si="62"/>
        <v/>
      </c>
      <c r="B6946" s="136" t="str">
        <f t="shared" si="63"/>
        <v/>
      </c>
    </row>
    <row r="6947" spans="1:2">
      <c r="A6947" s="136" t="str">
        <f t="shared" si="62"/>
        <v/>
      </c>
      <c r="B6947" s="136" t="str">
        <f t="shared" si="63"/>
        <v/>
      </c>
    </row>
    <row r="6948" spans="1:2">
      <c r="A6948" s="136" t="str">
        <f t="shared" si="62"/>
        <v/>
      </c>
      <c r="B6948" s="136" t="str">
        <f t="shared" si="63"/>
        <v/>
      </c>
    </row>
    <row r="6949" spans="1:2">
      <c r="A6949" s="136" t="str">
        <f t="shared" si="62"/>
        <v/>
      </c>
      <c r="B6949" s="136" t="str">
        <f t="shared" si="63"/>
        <v/>
      </c>
    </row>
    <row r="6950" spans="1:2">
      <c r="A6950" s="136" t="str">
        <f t="shared" si="62"/>
        <v/>
      </c>
      <c r="B6950" s="136" t="str">
        <f t="shared" si="63"/>
        <v/>
      </c>
    </row>
    <row r="6951" spans="1:2">
      <c r="A6951" s="136" t="str">
        <f t="shared" si="62"/>
        <v/>
      </c>
      <c r="B6951" s="136" t="str">
        <f t="shared" si="63"/>
        <v/>
      </c>
    </row>
    <row r="6952" spans="1:2">
      <c r="A6952" s="136" t="str">
        <f t="shared" si="62"/>
        <v/>
      </c>
      <c r="B6952" s="136" t="str">
        <f t="shared" si="63"/>
        <v/>
      </c>
    </row>
    <row r="6953" spans="1:2">
      <c r="A6953" s="136" t="str">
        <f t="shared" si="62"/>
        <v/>
      </c>
      <c r="B6953" s="136" t="str">
        <f t="shared" si="63"/>
        <v/>
      </c>
    </row>
    <row r="6954" spans="1:2">
      <c r="A6954" s="136" t="str">
        <f t="shared" si="62"/>
        <v/>
      </c>
      <c r="B6954" s="136" t="str">
        <f t="shared" si="63"/>
        <v/>
      </c>
    </row>
    <row r="6955" spans="1:2">
      <c r="A6955" s="136" t="str">
        <f t="shared" si="62"/>
        <v/>
      </c>
      <c r="B6955" s="136" t="str">
        <f t="shared" si="63"/>
        <v/>
      </c>
    </row>
    <row r="6956" spans="1:2">
      <c r="A6956" s="136" t="str">
        <f t="shared" si="62"/>
        <v/>
      </c>
      <c r="B6956" s="136" t="str">
        <f t="shared" si="63"/>
        <v/>
      </c>
    </row>
    <row r="6957" spans="1:2">
      <c r="A6957" s="136" t="str">
        <f t="shared" si="62"/>
        <v/>
      </c>
      <c r="B6957" s="136" t="str">
        <f t="shared" si="63"/>
        <v/>
      </c>
    </row>
    <row r="6958" spans="1:2">
      <c r="A6958" s="136" t="str">
        <f t="shared" si="62"/>
        <v/>
      </c>
      <c r="B6958" s="136" t="str">
        <f t="shared" si="63"/>
        <v/>
      </c>
    </row>
    <row r="6959" spans="1:2">
      <c r="A6959" s="136" t="str">
        <f t="shared" si="62"/>
        <v/>
      </c>
      <c r="B6959" s="136" t="str">
        <f t="shared" si="63"/>
        <v/>
      </c>
    </row>
    <row r="6960" spans="1:2">
      <c r="A6960" s="136" t="str">
        <f t="shared" si="62"/>
        <v/>
      </c>
      <c r="B6960" s="136" t="str">
        <f t="shared" si="63"/>
        <v/>
      </c>
    </row>
    <row r="6961" spans="1:2">
      <c r="A6961" s="136" t="str">
        <f t="shared" si="62"/>
        <v/>
      </c>
      <c r="B6961" s="136" t="str">
        <f t="shared" si="63"/>
        <v/>
      </c>
    </row>
    <row r="6962" spans="1:2">
      <c r="A6962" s="136" t="str">
        <f t="shared" si="62"/>
        <v/>
      </c>
      <c r="B6962" s="136" t="str">
        <f t="shared" si="63"/>
        <v/>
      </c>
    </row>
    <row r="6963" spans="1:2">
      <c r="A6963" s="136" t="str">
        <f t="shared" si="62"/>
        <v/>
      </c>
      <c r="B6963" s="136" t="str">
        <f t="shared" si="63"/>
        <v/>
      </c>
    </row>
    <row r="6964" spans="1:2">
      <c r="A6964" s="136" t="str">
        <f t="shared" si="62"/>
        <v/>
      </c>
      <c r="B6964" s="136" t="str">
        <f t="shared" si="63"/>
        <v/>
      </c>
    </row>
    <row r="6965" spans="1:2">
      <c r="A6965" s="136" t="str">
        <f t="shared" si="62"/>
        <v/>
      </c>
      <c r="B6965" s="136" t="str">
        <f t="shared" si="63"/>
        <v/>
      </c>
    </row>
    <row r="6966" spans="1:2">
      <c r="A6966" s="136" t="str">
        <f t="shared" si="62"/>
        <v/>
      </c>
      <c r="B6966" s="136" t="str">
        <f t="shared" si="63"/>
        <v/>
      </c>
    </row>
    <row r="6967" spans="1:2">
      <c r="A6967" s="136" t="str">
        <f t="shared" si="62"/>
        <v/>
      </c>
      <c r="B6967" s="136" t="str">
        <f t="shared" si="63"/>
        <v/>
      </c>
    </row>
    <row r="6968" spans="1:2">
      <c r="A6968" s="136" t="str">
        <f t="shared" si="62"/>
        <v/>
      </c>
      <c r="B6968" s="136" t="str">
        <f t="shared" si="63"/>
        <v/>
      </c>
    </row>
    <row r="6969" spans="1:2">
      <c r="A6969" s="136" t="str">
        <f t="shared" si="62"/>
        <v/>
      </c>
      <c r="B6969" s="136" t="str">
        <f t="shared" si="63"/>
        <v/>
      </c>
    </row>
    <row r="6970" spans="1:2">
      <c r="A6970" s="136" t="str">
        <f t="shared" si="62"/>
        <v/>
      </c>
      <c r="B6970" s="136" t="str">
        <f t="shared" si="63"/>
        <v/>
      </c>
    </row>
    <row r="6971" spans="1:2">
      <c r="A6971" s="136" t="str">
        <f t="shared" si="62"/>
        <v/>
      </c>
      <c r="B6971" s="136" t="str">
        <f t="shared" si="63"/>
        <v/>
      </c>
    </row>
    <row r="6972" spans="1:2">
      <c r="A6972" s="136" t="str">
        <f t="shared" si="62"/>
        <v/>
      </c>
      <c r="B6972" s="136" t="str">
        <f t="shared" si="63"/>
        <v/>
      </c>
    </row>
    <row r="6973" spans="1:2">
      <c r="A6973" s="136" t="str">
        <f t="shared" si="62"/>
        <v/>
      </c>
      <c r="B6973" s="136" t="str">
        <f t="shared" si="63"/>
        <v/>
      </c>
    </row>
    <row r="6974" spans="1:2">
      <c r="A6974" s="136" t="str">
        <f t="shared" si="62"/>
        <v/>
      </c>
      <c r="B6974" s="136" t="str">
        <f t="shared" si="63"/>
        <v/>
      </c>
    </row>
    <row r="6975" spans="1:2">
      <c r="A6975" s="136" t="str">
        <f t="shared" si="62"/>
        <v/>
      </c>
      <c r="B6975" s="136" t="str">
        <f t="shared" si="63"/>
        <v/>
      </c>
    </row>
    <row r="6976" spans="1:2">
      <c r="A6976" s="136" t="str">
        <f t="shared" si="62"/>
        <v/>
      </c>
      <c r="B6976" s="136" t="str">
        <f t="shared" si="63"/>
        <v/>
      </c>
    </row>
    <row r="6977" spans="1:2">
      <c r="A6977" s="136" t="str">
        <f t="shared" si="62"/>
        <v/>
      </c>
      <c r="B6977" s="136" t="str">
        <f t="shared" si="63"/>
        <v/>
      </c>
    </row>
    <row r="6978" spans="1:2">
      <c r="A6978" s="136" t="str">
        <f t="shared" si="62"/>
        <v/>
      </c>
      <c r="B6978" s="136" t="str">
        <f t="shared" si="63"/>
        <v/>
      </c>
    </row>
    <row r="6979" spans="1:2">
      <c r="A6979" s="136" t="str">
        <f t="shared" si="62"/>
        <v/>
      </c>
      <c r="B6979" s="136" t="str">
        <f t="shared" si="63"/>
        <v/>
      </c>
    </row>
    <row r="6980" spans="1:2">
      <c r="A6980" s="136" t="str">
        <f t="shared" si="62"/>
        <v/>
      </c>
      <c r="B6980" s="136" t="str">
        <f t="shared" si="63"/>
        <v/>
      </c>
    </row>
    <row r="6981" spans="1:2">
      <c r="A6981" s="136" t="str">
        <f t="shared" si="62"/>
        <v/>
      </c>
      <c r="B6981" s="136" t="str">
        <f t="shared" si="63"/>
        <v/>
      </c>
    </row>
    <row r="6982" spans="1:2">
      <c r="A6982" s="136" t="str">
        <f t="shared" si="62"/>
        <v/>
      </c>
      <c r="B6982" s="136" t="str">
        <f t="shared" si="63"/>
        <v/>
      </c>
    </row>
    <row r="6983" spans="1:2">
      <c r="A6983" s="136" t="str">
        <f t="shared" si="62"/>
        <v/>
      </c>
      <c r="B6983" s="136" t="str">
        <f t="shared" si="63"/>
        <v/>
      </c>
    </row>
    <row r="6984" spans="1:2">
      <c r="A6984" s="136" t="str">
        <f t="shared" si="62"/>
        <v/>
      </c>
      <c r="B6984" s="136" t="str">
        <f t="shared" si="63"/>
        <v/>
      </c>
    </row>
    <row r="6985" spans="1:2">
      <c r="A6985" s="136" t="str">
        <f t="shared" si="62"/>
        <v/>
      </c>
      <c r="B6985" s="136" t="str">
        <f t="shared" si="63"/>
        <v/>
      </c>
    </row>
    <row r="6986" spans="1:2">
      <c r="A6986" s="136" t="str">
        <f t="shared" si="62"/>
        <v/>
      </c>
      <c r="B6986" s="136" t="str">
        <f t="shared" si="63"/>
        <v/>
      </c>
    </row>
    <row r="6987" spans="1:2">
      <c r="A6987" s="136" t="str">
        <f t="shared" si="62"/>
        <v/>
      </c>
      <c r="B6987" s="136" t="str">
        <f t="shared" si="63"/>
        <v/>
      </c>
    </row>
    <row r="6988" spans="1:2">
      <c r="A6988" s="136" t="str">
        <f t="shared" si="62"/>
        <v/>
      </c>
      <c r="B6988" s="136" t="str">
        <f t="shared" si="63"/>
        <v/>
      </c>
    </row>
    <row r="6989" spans="1:2">
      <c r="A6989" s="136" t="str">
        <f t="shared" si="62"/>
        <v/>
      </c>
      <c r="B6989" s="136" t="str">
        <f t="shared" si="63"/>
        <v/>
      </c>
    </row>
    <row r="6990" spans="1:2">
      <c r="A6990" s="136" t="str">
        <f t="shared" si="62"/>
        <v/>
      </c>
      <c r="B6990" s="136" t="str">
        <f t="shared" si="63"/>
        <v/>
      </c>
    </row>
    <row r="6991" spans="1:2">
      <c r="A6991" s="136" t="str">
        <f t="shared" si="62"/>
        <v/>
      </c>
      <c r="B6991" s="136" t="str">
        <f t="shared" si="63"/>
        <v/>
      </c>
    </row>
    <row r="6992" spans="1:2">
      <c r="A6992" s="136" t="str">
        <f t="shared" si="62"/>
        <v/>
      </c>
      <c r="B6992" s="136" t="str">
        <f t="shared" si="63"/>
        <v/>
      </c>
    </row>
    <row r="6993" spans="1:2">
      <c r="A6993" s="136" t="str">
        <f t="shared" si="62"/>
        <v/>
      </c>
      <c r="B6993" s="136" t="str">
        <f t="shared" si="63"/>
        <v/>
      </c>
    </row>
    <row r="6994" spans="1:2">
      <c r="A6994" s="136" t="str">
        <f t="shared" si="62"/>
        <v/>
      </c>
      <c r="B6994" s="136" t="str">
        <f t="shared" si="63"/>
        <v/>
      </c>
    </row>
    <row r="6995" spans="1:2">
      <c r="A6995" s="136" t="str">
        <f t="shared" si="62"/>
        <v/>
      </c>
      <c r="B6995" s="136" t="str">
        <f t="shared" si="63"/>
        <v/>
      </c>
    </row>
    <row r="6996" spans="1:2">
      <c r="A6996" s="136" t="str">
        <f t="shared" si="62"/>
        <v/>
      </c>
      <c r="B6996" s="136" t="str">
        <f t="shared" si="63"/>
        <v/>
      </c>
    </row>
    <row r="6997" spans="1:2">
      <c r="A6997" s="136" t="str">
        <f t="shared" ref="A6997:A7060" si="64">HYPERLINK("http://tw.stock.yahoo.com/q/ta?s=","")</f>
        <v/>
      </c>
      <c r="B6997" s="136" t="str">
        <f t="shared" ref="B6997:B7060" si="65">HYPERLINK("http://tw.stock.yahoo.com/d/s/earning_.html","")</f>
        <v/>
      </c>
    </row>
    <row r="6998" spans="1:2">
      <c r="A6998" s="136" t="str">
        <f t="shared" si="64"/>
        <v/>
      </c>
      <c r="B6998" s="136" t="str">
        <f t="shared" si="65"/>
        <v/>
      </c>
    </row>
    <row r="6999" spans="1:2">
      <c r="A6999" s="136" t="str">
        <f t="shared" si="64"/>
        <v/>
      </c>
      <c r="B6999" s="136" t="str">
        <f t="shared" si="65"/>
        <v/>
      </c>
    </row>
    <row r="7000" spans="1:2">
      <c r="A7000" s="136" t="str">
        <f t="shared" si="64"/>
        <v/>
      </c>
      <c r="B7000" s="136" t="str">
        <f t="shared" si="65"/>
        <v/>
      </c>
    </row>
    <row r="7001" spans="1:2">
      <c r="A7001" s="136" t="str">
        <f t="shared" si="64"/>
        <v/>
      </c>
      <c r="B7001" s="136" t="str">
        <f t="shared" si="65"/>
        <v/>
      </c>
    </row>
    <row r="7002" spans="1:2">
      <c r="A7002" s="136" t="str">
        <f t="shared" si="64"/>
        <v/>
      </c>
      <c r="B7002" s="136" t="str">
        <f t="shared" si="65"/>
        <v/>
      </c>
    </row>
    <row r="7003" spans="1:2">
      <c r="A7003" s="136" t="str">
        <f t="shared" si="64"/>
        <v/>
      </c>
      <c r="B7003" s="136" t="str">
        <f t="shared" si="65"/>
        <v/>
      </c>
    </row>
    <row r="7004" spans="1:2">
      <c r="A7004" s="136" t="str">
        <f t="shared" si="64"/>
        <v/>
      </c>
      <c r="B7004" s="136" t="str">
        <f t="shared" si="65"/>
        <v/>
      </c>
    </row>
    <row r="7005" spans="1:2">
      <c r="A7005" s="136" t="str">
        <f t="shared" si="64"/>
        <v/>
      </c>
      <c r="B7005" s="136" t="str">
        <f t="shared" si="65"/>
        <v/>
      </c>
    </row>
    <row r="7006" spans="1:2">
      <c r="A7006" s="136" t="str">
        <f t="shared" si="64"/>
        <v/>
      </c>
      <c r="B7006" s="136" t="str">
        <f t="shared" si="65"/>
        <v/>
      </c>
    </row>
    <row r="7007" spans="1:2">
      <c r="A7007" s="136" t="str">
        <f t="shared" si="64"/>
        <v/>
      </c>
      <c r="B7007" s="136" t="str">
        <f t="shared" si="65"/>
        <v/>
      </c>
    </row>
    <row r="7008" spans="1:2">
      <c r="A7008" s="136" t="str">
        <f t="shared" si="64"/>
        <v/>
      </c>
      <c r="B7008" s="136" t="str">
        <f t="shared" si="65"/>
        <v/>
      </c>
    </row>
    <row r="7009" spans="1:2">
      <c r="A7009" s="136" t="str">
        <f t="shared" si="64"/>
        <v/>
      </c>
      <c r="B7009" s="136" t="str">
        <f t="shared" si="65"/>
        <v/>
      </c>
    </row>
    <row r="7010" spans="1:2">
      <c r="A7010" s="136" t="str">
        <f t="shared" si="64"/>
        <v/>
      </c>
      <c r="B7010" s="136" t="str">
        <f t="shared" si="65"/>
        <v/>
      </c>
    </row>
    <row r="7011" spans="1:2">
      <c r="A7011" s="136" t="str">
        <f t="shared" si="64"/>
        <v/>
      </c>
      <c r="B7011" s="136" t="str">
        <f t="shared" si="65"/>
        <v/>
      </c>
    </row>
    <row r="7012" spans="1:2">
      <c r="A7012" s="136" t="str">
        <f t="shared" si="64"/>
        <v/>
      </c>
      <c r="B7012" s="136" t="str">
        <f t="shared" si="65"/>
        <v/>
      </c>
    </row>
    <row r="7013" spans="1:2">
      <c r="A7013" s="136" t="str">
        <f t="shared" si="64"/>
        <v/>
      </c>
      <c r="B7013" s="136" t="str">
        <f t="shared" si="65"/>
        <v/>
      </c>
    </row>
    <row r="7014" spans="1:2">
      <c r="A7014" s="136" t="str">
        <f t="shared" si="64"/>
        <v/>
      </c>
      <c r="B7014" s="136" t="str">
        <f t="shared" si="65"/>
        <v/>
      </c>
    </row>
    <row r="7015" spans="1:2">
      <c r="A7015" s="136" t="str">
        <f t="shared" si="64"/>
        <v/>
      </c>
      <c r="B7015" s="136" t="str">
        <f t="shared" si="65"/>
        <v/>
      </c>
    </row>
    <row r="7016" spans="1:2">
      <c r="A7016" s="136" t="str">
        <f t="shared" si="64"/>
        <v/>
      </c>
      <c r="B7016" s="136" t="str">
        <f t="shared" si="65"/>
        <v/>
      </c>
    </row>
    <row r="7017" spans="1:2">
      <c r="A7017" s="136" t="str">
        <f t="shared" si="64"/>
        <v/>
      </c>
      <c r="B7017" s="136" t="str">
        <f t="shared" si="65"/>
        <v/>
      </c>
    </row>
    <row r="7018" spans="1:2">
      <c r="A7018" s="136" t="str">
        <f t="shared" si="64"/>
        <v/>
      </c>
      <c r="B7018" s="136" t="str">
        <f t="shared" si="65"/>
        <v/>
      </c>
    </row>
    <row r="7019" spans="1:2">
      <c r="A7019" s="136" t="str">
        <f t="shared" si="64"/>
        <v/>
      </c>
      <c r="B7019" s="136" t="str">
        <f t="shared" si="65"/>
        <v/>
      </c>
    </row>
    <row r="7020" spans="1:2">
      <c r="A7020" s="136" t="str">
        <f t="shared" si="64"/>
        <v/>
      </c>
      <c r="B7020" s="136" t="str">
        <f t="shared" si="65"/>
        <v/>
      </c>
    </row>
    <row r="7021" spans="1:2">
      <c r="A7021" s="136" t="str">
        <f t="shared" si="64"/>
        <v/>
      </c>
      <c r="B7021" s="136" t="str">
        <f t="shared" si="65"/>
        <v/>
      </c>
    </row>
    <row r="7022" spans="1:2">
      <c r="A7022" s="136" t="str">
        <f t="shared" si="64"/>
        <v/>
      </c>
      <c r="B7022" s="136" t="str">
        <f t="shared" si="65"/>
        <v/>
      </c>
    </row>
    <row r="7023" spans="1:2">
      <c r="A7023" s="136" t="str">
        <f t="shared" si="64"/>
        <v/>
      </c>
      <c r="B7023" s="136" t="str">
        <f t="shared" si="65"/>
        <v/>
      </c>
    </row>
    <row r="7024" spans="1:2">
      <c r="A7024" s="136" t="str">
        <f t="shared" si="64"/>
        <v/>
      </c>
      <c r="B7024" s="136" t="str">
        <f t="shared" si="65"/>
        <v/>
      </c>
    </row>
    <row r="7025" spans="1:2">
      <c r="A7025" s="136" t="str">
        <f t="shared" si="64"/>
        <v/>
      </c>
      <c r="B7025" s="136" t="str">
        <f t="shared" si="65"/>
        <v/>
      </c>
    </row>
    <row r="7026" spans="1:2">
      <c r="A7026" s="136" t="str">
        <f t="shared" si="64"/>
        <v/>
      </c>
      <c r="B7026" s="136" t="str">
        <f t="shared" si="65"/>
        <v/>
      </c>
    </row>
    <row r="7027" spans="1:2">
      <c r="A7027" s="136" t="str">
        <f t="shared" si="64"/>
        <v/>
      </c>
      <c r="B7027" s="136" t="str">
        <f t="shared" si="65"/>
        <v/>
      </c>
    </row>
    <row r="7028" spans="1:2">
      <c r="A7028" s="136" t="str">
        <f t="shared" si="64"/>
        <v/>
      </c>
      <c r="B7028" s="136" t="str">
        <f t="shared" si="65"/>
        <v/>
      </c>
    </row>
    <row r="7029" spans="1:2">
      <c r="A7029" s="136" t="str">
        <f t="shared" si="64"/>
        <v/>
      </c>
      <c r="B7029" s="136" t="str">
        <f t="shared" si="65"/>
        <v/>
      </c>
    </row>
    <row r="7030" spans="1:2">
      <c r="A7030" s="136" t="str">
        <f t="shared" si="64"/>
        <v/>
      </c>
      <c r="B7030" s="136" t="str">
        <f t="shared" si="65"/>
        <v/>
      </c>
    </row>
    <row r="7031" spans="1:2">
      <c r="A7031" s="136" t="str">
        <f t="shared" si="64"/>
        <v/>
      </c>
      <c r="B7031" s="136" t="str">
        <f t="shared" si="65"/>
        <v/>
      </c>
    </row>
    <row r="7032" spans="1:2">
      <c r="A7032" s="136" t="str">
        <f t="shared" si="64"/>
        <v/>
      </c>
      <c r="B7032" s="136" t="str">
        <f t="shared" si="65"/>
        <v/>
      </c>
    </row>
    <row r="7033" spans="1:2">
      <c r="A7033" s="136" t="str">
        <f t="shared" si="64"/>
        <v/>
      </c>
      <c r="B7033" s="136" t="str">
        <f t="shared" si="65"/>
        <v/>
      </c>
    </row>
    <row r="7034" spans="1:2">
      <c r="A7034" s="136" t="str">
        <f t="shared" si="64"/>
        <v/>
      </c>
      <c r="B7034" s="136" t="str">
        <f t="shared" si="65"/>
        <v/>
      </c>
    </row>
    <row r="7035" spans="1:2">
      <c r="A7035" s="136" t="str">
        <f t="shared" si="64"/>
        <v/>
      </c>
      <c r="B7035" s="136" t="str">
        <f t="shared" si="65"/>
        <v/>
      </c>
    </row>
    <row r="7036" spans="1:2">
      <c r="A7036" s="136" t="str">
        <f t="shared" si="64"/>
        <v/>
      </c>
      <c r="B7036" s="136" t="str">
        <f t="shared" si="65"/>
        <v/>
      </c>
    </row>
    <row r="7037" spans="1:2">
      <c r="A7037" s="136" t="str">
        <f t="shared" si="64"/>
        <v/>
      </c>
      <c r="B7037" s="136" t="str">
        <f t="shared" si="65"/>
        <v/>
      </c>
    </row>
    <row r="7038" spans="1:2">
      <c r="A7038" s="136" t="str">
        <f t="shared" si="64"/>
        <v/>
      </c>
      <c r="B7038" s="136" t="str">
        <f t="shared" si="65"/>
        <v/>
      </c>
    </row>
    <row r="7039" spans="1:2">
      <c r="A7039" s="136" t="str">
        <f t="shared" si="64"/>
        <v/>
      </c>
      <c r="B7039" s="136" t="str">
        <f t="shared" si="65"/>
        <v/>
      </c>
    </row>
    <row r="7040" spans="1:2">
      <c r="A7040" s="136" t="str">
        <f t="shared" si="64"/>
        <v/>
      </c>
      <c r="B7040" s="136" t="str">
        <f t="shared" si="65"/>
        <v/>
      </c>
    </row>
    <row r="7041" spans="1:2">
      <c r="A7041" s="136" t="str">
        <f t="shared" si="64"/>
        <v/>
      </c>
      <c r="B7041" s="136" t="str">
        <f t="shared" si="65"/>
        <v/>
      </c>
    </row>
    <row r="7042" spans="1:2">
      <c r="A7042" s="136" t="str">
        <f t="shared" si="64"/>
        <v/>
      </c>
      <c r="B7042" s="136" t="str">
        <f t="shared" si="65"/>
        <v/>
      </c>
    </row>
    <row r="7043" spans="1:2">
      <c r="A7043" s="136" t="str">
        <f t="shared" si="64"/>
        <v/>
      </c>
      <c r="B7043" s="136" t="str">
        <f t="shared" si="65"/>
        <v/>
      </c>
    </row>
    <row r="7044" spans="1:2">
      <c r="A7044" s="136" t="str">
        <f t="shared" si="64"/>
        <v/>
      </c>
      <c r="B7044" s="136" t="str">
        <f t="shared" si="65"/>
        <v/>
      </c>
    </row>
    <row r="7045" spans="1:2">
      <c r="A7045" s="136" t="str">
        <f t="shared" si="64"/>
        <v/>
      </c>
      <c r="B7045" s="136" t="str">
        <f t="shared" si="65"/>
        <v/>
      </c>
    </row>
    <row r="7046" spans="1:2">
      <c r="A7046" s="136" t="str">
        <f t="shared" si="64"/>
        <v/>
      </c>
      <c r="B7046" s="136" t="str">
        <f t="shared" si="65"/>
        <v/>
      </c>
    </row>
    <row r="7047" spans="1:2">
      <c r="A7047" s="136" t="str">
        <f t="shared" si="64"/>
        <v/>
      </c>
      <c r="B7047" s="136" t="str">
        <f t="shared" si="65"/>
        <v/>
      </c>
    </row>
    <row r="7048" spans="1:2">
      <c r="A7048" s="136" t="str">
        <f t="shared" si="64"/>
        <v/>
      </c>
      <c r="B7048" s="136" t="str">
        <f t="shared" si="65"/>
        <v/>
      </c>
    </row>
    <row r="7049" spans="1:2">
      <c r="A7049" s="136" t="str">
        <f t="shared" si="64"/>
        <v/>
      </c>
      <c r="B7049" s="136" t="str">
        <f t="shared" si="65"/>
        <v/>
      </c>
    </row>
    <row r="7050" spans="1:2">
      <c r="A7050" s="136" t="str">
        <f t="shared" si="64"/>
        <v/>
      </c>
      <c r="B7050" s="136" t="str">
        <f t="shared" si="65"/>
        <v/>
      </c>
    </row>
    <row r="7051" spans="1:2">
      <c r="A7051" s="136" t="str">
        <f t="shared" si="64"/>
        <v/>
      </c>
      <c r="B7051" s="136" t="str">
        <f t="shared" si="65"/>
        <v/>
      </c>
    </row>
    <row r="7052" spans="1:2">
      <c r="A7052" s="136" t="str">
        <f t="shared" si="64"/>
        <v/>
      </c>
      <c r="B7052" s="136" t="str">
        <f t="shared" si="65"/>
        <v/>
      </c>
    </row>
    <row r="7053" spans="1:2">
      <c r="A7053" s="136" t="str">
        <f t="shared" si="64"/>
        <v/>
      </c>
      <c r="B7053" s="136" t="str">
        <f t="shared" si="65"/>
        <v/>
      </c>
    </row>
    <row r="7054" spans="1:2">
      <c r="A7054" s="136" t="str">
        <f t="shared" si="64"/>
        <v/>
      </c>
      <c r="B7054" s="136" t="str">
        <f t="shared" si="65"/>
        <v/>
      </c>
    </row>
    <row r="7055" spans="1:2">
      <c r="A7055" s="136" t="str">
        <f t="shared" si="64"/>
        <v/>
      </c>
      <c r="B7055" s="136" t="str">
        <f t="shared" si="65"/>
        <v/>
      </c>
    </row>
    <row r="7056" spans="1:2">
      <c r="A7056" s="136" t="str">
        <f t="shared" si="64"/>
        <v/>
      </c>
      <c r="B7056" s="136" t="str">
        <f t="shared" si="65"/>
        <v/>
      </c>
    </row>
    <row r="7057" spans="1:2">
      <c r="A7057" s="136" t="str">
        <f t="shared" si="64"/>
        <v/>
      </c>
      <c r="B7057" s="136" t="str">
        <f t="shared" si="65"/>
        <v/>
      </c>
    </row>
    <row r="7058" spans="1:2">
      <c r="A7058" s="136" t="str">
        <f t="shared" si="64"/>
        <v/>
      </c>
      <c r="B7058" s="136" t="str">
        <f t="shared" si="65"/>
        <v/>
      </c>
    </row>
    <row r="7059" spans="1:2">
      <c r="A7059" s="136" t="str">
        <f t="shared" si="64"/>
        <v/>
      </c>
      <c r="B7059" s="136" t="str">
        <f t="shared" si="65"/>
        <v/>
      </c>
    </row>
    <row r="7060" spans="1:2">
      <c r="A7060" s="136" t="str">
        <f t="shared" si="64"/>
        <v/>
      </c>
      <c r="B7060" s="136" t="str">
        <f t="shared" si="65"/>
        <v/>
      </c>
    </row>
    <row r="7061" spans="1:2">
      <c r="A7061" s="136" t="str">
        <f t="shared" ref="A7061:A7124" si="66">HYPERLINK("http://tw.stock.yahoo.com/q/ta?s=","")</f>
        <v/>
      </c>
      <c r="B7061" s="136" t="str">
        <f t="shared" ref="B7061:B7124" si="67">HYPERLINK("http://tw.stock.yahoo.com/d/s/earning_.html","")</f>
        <v/>
      </c>
    </row>
    <row r="7062" spans="1:2">
      <c r="A7062" s="136" t="str">
        <f t="shared" si="66"/>
        <v/>
      </c>
      <c r="B7062" s="136" t="str">
        <f t="shared" si="67"/>
        <v/>
      </c>
    </row>
    <row r="7063" spans="1:2">
      <c r="A7063" s="136" t="str">
        <f t="shared" si="66"/>
        <v/>
      </c>
      <c r="B7063" s="136" t="str">
        <f t="shared" si="67"/>
        <v/>
      </c>
    </row>
    <row r="7064" spans="1:2">
      <c r="A7064" s="136" t="str">
        <f t="shared" si="66"/>
        <v/>
      </c>
      <c r="B7064" s="136" t="str">
        <f t="shared" si="67"/>
        <v/>
      </c>
    </row>
    <row r="7065" spans="1:2">
      <c r="A7065" s="136" t="str">
        <f t="shared" si="66"/>
        <v/>
      </c>
      <c r="B7065" s="136" t="str">
        <f t="shared" si="67"/>
        <v/>
      </c>
    </row>
    <row r="7066" spans="1:2">
      <c r="A7066" s="136" t="str">
        <f t="shared" si="66"/>
        <v/>
      </c>
      <c r="B7066" s="136" t="str">
        <f t="shared" si="67"/>
        <v/>
      </c>
    </row>
    <row r="7067" spans="1:2">
      <c r="A7067" s="136" t="str">
        <f t="shared" si="66"/>
        <v/>
      </c>
      <c r="B7067" s="136" t="str">
        <f t="shared" si="67"/>
        <v/>
      </c>
    </row>
    <row r="7068" spans="1:2">
      <c r="A7068" s="136" t="str">
        <f t="shared" si="66"/>
        <v/>
      </c>
      <c r="B7068" s="136" t="str">
        <f t="shared" si="67"/>
        <v/>
      </c>
    </row>
    <row r="7069" spans="1:2">
      <c r="A7069" s="136" t="str">
        <f t="shared" si="66"/>
        <v/>
      </c>
      <c r="B7069" s="136" t="str">
        <f t="shared" si="67"/>
        <v/>
      </c>
    </row>
    <row r="7070" spans="1:2">
      <c r="A7070" s="136" t="str">
        <f t="shared" si="66"/>
        <v/>
      </c>
      <c r="B7070" s="136" t="str">
        <f t="shared" si="67"/>
        <v/>
      </c>
    </row>
    <row r="7071" spans="1:2">
      <c r="A7071" s="136" t="str">
        <f t="shared" si="66"/>
        <v/>
      </c>
      <c r="B7071" s="136" t="str">
        <f t="shared" si="67"/>
        <v/>
      </c>
    </row>
    <row r="7072" spans="1:2">
      <c r="A7072" s="136" t="str">
        <f t="shared" si="66"/>
        <v/>
      </c>
      <c r="B7072" s="136" t="str">
        <f t="shared" si="67"/>
        <v/>
      </c>
    </row>
    <row r="7073" spans="1:2">
      <c r="A7073" s="136" t="str">
        <f t="shared" si="66"/>
        <v/>
      </c>
      <c r="B7073" s="136" t="str">
        <f t="shared" si="67"/>
        <v/>
      </c>
    </row>
    <row r="7074" spans="1:2">
      <c r="A7074" s="136" t="str">
        <f t="shared" si="66"/>
        <v/>
      </c>
      <c r="B7074" s="136" t="str">
        <f t="shared" si="67"/>
        <v/>
      </c>
    </row>
    <row r="7075" spans="1:2">
      <c r="A7075" s="136" t="str">
        <f t="shared" si="66"/>
        <v/>
      </c>
      <c r="B7075" s="136" t="str">
        <f t="shared" si="67"/>
        <v/>
      </c>
    </row>
    <row r="7076" spans="1:2">
      <c r="A7076" s="136" t="str">
        <f t="shared" si="66"/>
        <v/>
      </c>
      <c r="B7076" s="136" t="str">
        <f t="shared" si="67"/>
        <v/>
      </c>
    </row>
    <row r="7077" spans="1:2">
      <c r="A7077" s="136" t="str">
        <f t="shared" si="66"/>
        <v/>
      </c>
      <c r="B7077" s="136" t="str">
        <f t="shared" si="67"/>
        <v/>
      </c>
    </row>
    <row r="7078" spans="1:2">
      <c r="A7078" s="136" t="str">
        <f t="shared" si="66"/>
        <v/>
      </c>
      <c r="B7078" s="136" t="str">
        <f t="shared" si="67"/>
        <v/>
      </c>
    </row>
    <row r="7079" spans="1:2">
      <c r="A7079" s="136" t="str">
        <f t="shared" si="66"/>
        <v/>
      </c>
      <c r="B7079" s="136" t="str">
        <f t="shared" si="67"/>
        <v/>
      </c>
    </row>
    <row r="7080" spans="1:2">
      <c r="A7080" s="136" t="str">
        <f t="shared" si="66"/>
        <v/>
      </c>
      <c r="B7080" s="136" t="str">
        <f t="shared" si="67"/>
        <v/>
      </c>
    </row>
    <row r="7081" spans="1:2">
      <c r="A7081" s="136" t="str">
        <f t="shared" si="66"/>
        <v/>
      </c>
      <c r="B7081" s="136" t="str">
        <f t="shared" si="67"/>
        <v/>
      </c>
    </row>
    <row r="7082" spans="1:2">
      <c r="A7082" s="136" t="str">
        <f t="shared" si="66"/>
        <v/>
      </c>
      <c r="B7082" s="136" t="str">
        <f t="shared" si="67"/>
        <v/>
      </c>
    </row>
    <row r="7083" spans="1:2">
      <c r="A7083" s="136" t="str">
        <f t="shared" si="66"/>
        <v/>
      </c>
      <c r="B7083" s="136" t="str">
        <f t="shared" si="67"/>
        <v/>
      </c>
    </row>
    <row r="7084" spans="1:2">
      <c r="A7084" s="136" t="str">
        <f t="shared" si="66"/>
        <v/>
      </c>
      <c r="B7084" s="136" t="str">
        <f t="shared" si="67"/>
        <v/>
      </c>
    </row>
    <row r="7085" spans="1:2">
      <c r="A7085" s="136" t="str">
        <f t="shared" si="66"/>
        <v/>
      </c>
      <c r="B7085" s="136" t="str">
        <f t="shared" si="67"/>
        <v/>
      </c>
    </row>
    <row r="7086" spans="1:2">
      <c r="A7086" s="136" t="str">
        <f t="shared" si="66"/>
        <v/>
      </c>
      <c r="B7086" s="136" t="str">
        <f t="shared" si="67"/>
        <v/>
      </c>
    </row>
    <row r="7087" spans="1:2">
      <c r="A7087" s="136" t="str">
        <f t="shared" si="66"/>
        <v/>
      </c>
      <c r="B7087" s="136" t="str">
        <f t="shared" si="67"/>
        <v/>
      </c>
    </row>
    <row r="7088" spans="1:2">
      <c r="A7088" s="136" t="str">
        <f t="shared" si="66"/>
        <v/>
      </c>
      <c r="B7088" s="136" t="str">
        <f t="shared" si="67"/>
        <v/>
      </c>
    </row>
    <row r="7089" spans="1:2">
      <c r="A7089" s="136" t="str">
        <f t="shared" si="66"/>
        <v/>
      </c>
      <c r="B7089" s="136" t="str">
        <f t="shared" si="67"/>
        <v/>
      </c>
    </row>
    <row r="7090" spans="1:2">
      <c r="A7090" s="136" t="str">
        <f t="shared" si="66"/>
        <v/>
      </c>
      <c r="B7090" s="136" t="str">
        <f t="shared" si="67"/>
        <v/>
      </c>
    </row>
    <row r="7091" spans="1:2">
      <c r="A7091" s="136" t="str">
        <f t="shared" si="66"/>
        <v/>
      </c>
      <c r="B7091" s="136" t="str">
        <f t="shared" si="67"/>
        <v/>
      </c>
    </row>
    <row r="7092" spans="1:2">
      <c r="A7092" s="136" t="str">
        <f t="shared" si="66"/>
        <v/>
      </c>
      <c r="B7092" s="136" t="str">
        <f t="shared" si="67"/>
        <v/>
      </c>
    </row>
    <row r="7093" spans="1:2">
      <c r="A7093" s="136" t="str">
        <f t="shared" si="66"/>
        <v/>
      </c>
      <c r="B7093" s="136" t="str">
        <f t="shared" si="67"/>
        <v/>
      </c>
    </row>
    <row r="7094" spans="1:2">
      <c r="A7094" s="136" t="str">
        <f t="shared" si="66"/>
        <v/>
      </c>
      <c r="B7094" s="136" t="str">
        <f t="shared" si="67"/>
        <v/>
      </c>
    </row>
    <row r="7095" spans="1:2">
      <c r="A7095" s="136" t="str">
        <f t="shared" si="66"/>
        <v/>
      </c>
      <c r="B7095" s="136" t="str">
        <f t="shared" si="67"/>
        <v/>
      </c>
    </row>
    <row r="7096" spans="1:2">
      <c r="A7096" s="136" t="str">
        <f t="shared" si="66"/>
        <v/>
      </c>
      <c r="B7096" s="136" t="str">
        <f t="shared" si="67"/>
        <v/>
      </c>
    </row>
    <row r="7097" spans="1:2">
      <c r="A7097" s="136" t="str">
        <f t="shared" si="66"/>
        <v/>
      </c>
      <c r="B7097" s="136" t="str">
        <f t="shared" si="67"/>
        <v/>
      </c>
    </row>
    <row r="7098" spans="1:2">
      <c r="A7098" s="136" t="str">
        <f t="shared" si="66"/>
        <v/>
      </c>
      <c r="B7098" s="136" t="str">
        <f t="shared" si="67"/>
        <v/>
      </c>
    </row>
    <row r="7099" spans="1:2">
      <c r="A7099" s="136" t="str">
        <f t="shared" si="66"/>
        <v/>
      </c>
      <c r="B7099" s="136" t="str">
        <f t="shared" si="67"/>
        <v/>
      </c>
    </row>
    <row r="7100" spans="1:2">
      <c r="A7100" s="136" t="str">
        <f t="shared" si="66"/>
        <v/>
      </c>
      <c r="B7100" s="136" t="str">
        <f t="shared" si="67"/>
        <v/>
      </c>
    </row>
    <row r="7101" spans="1:2">
      <c r="A7101" s="136" t="str">
        <f t="shared" si="66"/>
        <v/>
      </c>
      <c r="B7101" s="136" t="str">
        <f t="shared" si="67"/>
        <v/>
      </c>
    </row>
    <row r="7102" spans="1:2">
      <c r="A7102" s="136" t="str">
        <f t="shared" si="66"/>
        <v/>
      </c>
      <c r="B7102" s="136" t="str">
        <f t="shared" si="67"/>
        <v/>
      </c>
    </row>
    <row r="7103" spans="1:2">
      <c r="A7103" s="136" t="str">
        <f t="shared" si="66"/>
        <v/>
      </c>
      <c r="B7103" s="136" t="str">
        <f t="shared" si="67"/>
        <v/>
      </c>
    </row>
    <row r="7104" spans="1:2">
      <c r="A7104" s="136" t="str">
        <f t="shared" si="66"/>
        <v/>
      </c>
      <c r="B7104" s="136" t="str">
        <f t="shared" si="67"/>
        <v/>
      </c>
    </row>
    <row r="7105" spans="1:2">
      <c r="A7105" s="136" t="str">
        <f t="shared" si="66"/>
        <v/>
      </c>
      <c r="B7105" s="136" t="str">
        <f t="shared" si="67"/>
        <v/>
      </c>
    </row>
    <row r="7106" spans="1:2">
      <c r="A7106" s="136" t="str">
        <f t="shared" si="66"/>
        <v/>
      </c>
      <c r="B7106" s="136" t="str">
        <f t="shared" si="67"/>
        <v/>
      </c>
    </row>
    <row r="7107" spans="1:2">
      <c r="A7107" s="136" t="str">
        <f t="shared" si="66"/>
        <v/>
      </c>
      <c r="B7107" s="136" t="str">
        <f t="shared" si="67"/>
        <v/>
      </c>
    </row>
    <row r="7108" spans="1:2">
      <c r="A7108" s="136" t="str">
        <f t="shared" si="66"/>
        <v/>
      </c>
      <c r="B7108" s="136" t="str">
        <f t="shared" si="67"/>
        <v/>
      </c>
    </row>
    <row r="7109" spans="1:2">
      <c r="A7109" s="136" t="str">
        <f t="shared" si="66"/>
        <v/>
      </c>
      <c r="B7109" s="136" t="str">
        <f t="shared" si="67"/>
        <v/>
      </c>
    </row>
    <row r="7110" spans="1:2">
      <c r="A7110" s="136" t="str">
        <f t="shared" si="66"/>
        <v/>
      </c>
      <c r="B7110" s="136" t="str">
        <f t="shared" si="67"/>
        <v/>
      </c>
    </row>
    <row r="7111" spans="1:2">
      <c r="A7111" s="136" t="str">
        <f t="shared" si="66"/>
        <v/>
      </c>
      <c r="B7111" s="136" t="str">
        <f t="shared" si="67"/>
        <v/>
      </c>
    </row>
    <row r="7112" spans="1:2">
      <c r="A7112" s="136" t="str">
        <f t="shared" si="66"/>
        <v/>
      </c>
      <c r="B7112" s="136" t="str">
        <f t="shared" si="67"/>
        <v/>
      </c>
    </row>
    <row r="7113" spans="1:2">
      <c r="A7113" s="136" t="str">
        <f t="shared" si="66"/>
        <v/>
      </c>
      <c r="B7113" s="136" t="str">
        <f t="shared" si="67"/>
        <v/>
      </c>
    </row>
    <row r="7114" spans="1:2">
      <c r="A7114" s="136" t="str">
        <f t="shared" si="66"/>
        <v/>
      </c>
      <c r="B7114" s="136" t="str">
        <f t="shared" si="67"/>
        <v/>
      </c>
    </row>
    <row r="7115" spans="1:2">
      <c r="A7115" s="136" t="str">
        <f t="shared" si="66"/>
        <v/>
      </c>
      <c r="B7115" s="136" t="str">
        <f t="shared" si="67"/>
        <v/>
      </c>
    </row>
    <row r="7116" spans="1:2">
      <c r="A7116" s="136" t="str">
        <f t="shared" si="66"/>
        <v/>
      </c>
      <c r="B7116" s="136" t="str">
        <f t="shared" si="67"/>
        <v/>
      </c>
    </row>
    <row r="7117" spans="1:2">
      <c r="A7117" s="136" t="str">
        <f t="shared" si="66"/>
        <v/>
      </c>
      <c r="B7117" s="136" t="str">
        <f t="shared" si="67"/>
        <v/>
      </c>
    </row>
    <row r="7118" spans="1:2">
      <c r="A7118" s="136" t="str">
        <f t="shared" si="66"/>
        <v/>
      </c>
      <c r="B7118" s="136" t="str">
        <f t="shared" si="67"/>
        <v/>
      </c>
    </row>
    <row r="7119" spans="1:2">
      <c r="A7119" s="136" t="str">
        <f t="shared" si="66"/>
        <v/>
      </c>
      <c r="B7119" s="136" t="str">
        <f t="shared" si="67"/>
        <v/>
      </c>
    </row>
    <row r="7120" spans="1:2">
      <c r="A7120" s="136" t="str">
        <f t="shared" si="66"/>
        <v/>
      </c>
      <c r="B7120" s="136" t="str">
        <f t="shared" si="67"/>
        <v/>
      </c>
    </row>
    <row r="7121" spans="1:2">
      <c r="A7121" s="136" t="str">
        <f t="shared" si="66"/>
        <v/>
      </c>
      <c r="B7121" s="136" t="str">
        <f t="shared" si="67"/>
        <v/>
      </c>
    </row>
    <row r="7122" spans="1:2">
      <c r="A7122" s="136" t="str">
        <f t="shared" si="66"/>
        <v/>
      </c>
      <c r="B7122" s="136" t="str">
        <f t="shared" si="67"/>
        <v/>
      </c>
    </row>
    <row r="7123" spans="1:2">
      <c r="A7123" s="136" t="str">
        <f t="shared" si="66"/>
        <v/>
      </c>
      <c r="B7123" s="136" t="str">
        <f t="shared" si="67"/>
        <v/>
      </c>
    </row>
    <row r="7124" spans="1:2">
      <c r="A7124" s="136" t="str">
        <f t="shared" si="66"/>
        <v/>
      </c>
      <c r="B7124" s="136" t="str">
        <f t="shared" si="67"/>
        <v/>
      </c>
    </row>
    <row r="7125" spans="1:2">
      <c r="A7125" s="136" t="str">
        <f t="shared" ref="A7125:A7188" si="68">HYPERLINK("http://tw.stock.yahoo.com/q/ta?s=","")</f>
        <v/>
      </c>
      <c r="B7125" s="136" t="str">
        <f t="shared" ref="B7125:B7188" si="69">HYPERLINK("http://tw.stock.yahoo.com/d/s/earning_.html","")</f>
        <v/>
      </c>
    </row>
    <row r="7126" spans="1:2">
      <c r="A7126" s="136" t="str">
        <f t="shared" si="68"/>
        <v/>
      </c>
      <c r="B7126" s="136" t="str">
        <f t="shared" si="69"/>
        <v/>
      </c>
    </row>
    <row r="7127" spans="1:2">
      <c r="A7127" s="136" t="str">
        <f t="shared" si="68"/>
        <v/>
      </c>
      <c r="B7127" s="136" t="str">
        <f t="shared" si="69"/>
        <v/>
      </c>
    </row>
    <row r="7128" spans="1:2">
      <c r="A7128" s="136" t="str">
        <f t="shared" si="68"/>
        <v/>
      </c>
      <c r="B7128" s="136" t="str">
        <f t="shared" si="69"/>
        <v/>
      </c>
    </row>
    <row r="7129" spans="1:2">
      <c r="A7129" s="136" t="str">
        <f t="shared" si="68"/>
        <v/>
      </c>
      <c r="B7129" s="136" t="str">
        <f t="shared" si="69"/>
        <v/>
      </c>
    </row>
    <row r="7130" spans="1:2">
      <c r="A7130" s="136" t="str">
        <f t="shared" si="68"/>
        <v/>
      </c>
      <c r="B7130" s="136" t="str">
        <f t="shared" si="69"/>
        <v/>
      </c>
    </row>
    <row r="7131" spans="1:2">
      <c r="A7131" s="136" t="str">
        <f t="shared" si="68"/>
        <v/>
      </c>
      <c r="B7131" s="136" t="str">
        <f t="shared" si="69"/>
        <v/>
      </c>
    </row>
    <row r="7132" spans="1:2">
      <c r="A7132" s="136" t="str">
        <f t="shared" si="68"/>
        <v/>
      </c>
      <c r="B7132" s="136" t="str">
        <f t="shared" si="69"/>
        <v/>
      </c>
    </row>
    <row r="7133" spans="1:2">
      <c r="A7133" s="136" t="str">
        <f t="shared" si="68"/>
        <v/>
      </c>
      <c r="B7133" s="136" t="str">
        <f t="shared" si="69"/>
        <v/>
      </c>
    </row>
    <row r="7134" spans="1:2">
      <c r="A7134" s="136" t="str">
        <f t="shared" si="68"/>
        <v/>
      </c>
      <c r="B7134" s="136" t="str">
        <f t="shared" si="69"/>
        <v/>
      </c>
    </row>
    <row r="7135" spans="1:2">
      <c r="A7135" s="136" t="str">
        <f t="shared" si="68"/>
        <v/>
      </c>
      <c r="B7135" s="136" t="str">
        <f t="shared" si="69"/>
        <v/>
      </c>
    </row>
    <row r="7136" spans="1:2">
      <c r="A7136" s="136" t="str">
        <f t="shared" si="68"/>
        <v/>
      </c>
      <c r="B7136" s="136" t="str">
        <f t="shared" si="69"/>
        <v/>
      </c>
    </row>
    <row r="7137" spans="1:2">
      <c r="A7137" s="136" t="str">
        <f t="shared" si="68"/>
        <v/>
      </c>
      <c r="B7137" s="136" t="str">
        <f t="shared" si="69"/>
        <v/>
      </c>
    </row>
    <row r="7138" spans="1:2">
      <c r="A7138" s="136" t="str">
        <f t="shared" si="68"/>
        <v/>
      </c>
      <c r="B7138" s="136" t="str">
        <f t="shared" si="69"/>
        <v/>
      </c>
    </row>
    <row r="7139" spans="1:2">
      <c r="A7139" s="136" t="str">
        <f t="shared" si="68"/>
        <v/>
      </c>
      <c r="B7139" s="136" t="str">
        <f t="shared" si="69"/>
        <v/>
      </c>
    </row>
    <row r="7140" spans="1:2">
      <c r="A7140" s="136" t="str">
        <f t="shared" si="68"/>
        <v/>
      </c>
      <c r="B7140" s="136" t="str">
        <f t="shared" si="69"/>
        <v/>
      </c>
    </row>
    <row r="7141" spans="1:2">
      <c r="A7141" s="136" t="str">
        <f t="shared" si="68"/>
        <v/>
      </c>
      <c r="B7141" s="136" t="str">
        <f t="shared" si="69"/>
        <v/>
      </c>
    </row>
    <row r="7142" spans="1:2">
      <c r="A7142" s="136" t="str">
        <f t="shared" si="68"/>
        <v/>
      </c>
      <c r="B7142" s="136" t="str">
        <f t="shared" si="69"/>
        <v/>
      </c>
    </row>
    <row r="7143" spans="1:2">
      <c r="A7143" s="136" t="str">
        <f t="shared" si="68"/>
        <v/>
      </c>
      <c r="B7143" s="136" t="str">
        <f t="shared" si="69"/>
        <v/>
      </c>
    </row>
    <row r="7144" spans="1:2">
      <c r="A7144" s="136" t="str">
        <f t="shared" si="68"/>
        <v/>
      </c>
      <c r="B7144" s="136" t="str">
        <f t="shared" si="69"/>
        <v/>
      </c>
    </row>
    <row r="7145" spans="1:2">
      <c r="A7145" s="136" t="str">
        <f t="shared" si="68"/>
        <v/>
      </c>
      <c r="B7145" s="136" t="str">
        <f t="shared" si="69"/>
        <v/>
      </c>
    </row>
    <row r="7146" spans="1:2">
      <c r="A7146" s="136" t="str">
        <f t="shared" si="68"/>
        <v/>
      </c>
      <c r="B7146" s="136" t="str">
        <f t="shared" si="69"/>
        <v/>
      </c>
    </row>
    <row r="7147" spans="1:2">
      <c r="A7147" s="136" t="str">
        <f t="shared" si="68"/>
        <v/>
      </c>
      <c r="B7147" s="136" t="str">
        <f t="shared" si="69"/>
        <v/>
      </c>
    </row>
    <row r="7148" spans="1:2">
      <c r="A7148" s="136" t="str">
        <f t="shared" si="68"/>
        <v/>
      </c>
      <c r="B7148" s="136" t="str">
        <f t="shared" si="69"/>
        <v/>
      </c>
    </row>
    <row r="7149" spans="1:2">
      <c r="A7149" s="136" t="str">
        <f t="shared" si="68"/>
        <v/>
      </c>
      <c r="B7149" s="136" t="str">
        <f t="shared" si="69"/>
        <v/>
      </c>
    </row>
    <row r="7150" spans="1:2">
      <c r="A7150" s="136" t="str">
        <f t="shared" si="68"/>
        <v/>
      </c>
      <c r="B7150" s="136" t="str">
        <f t="shared" si="69"/>
        <v/>
      </c>
    </row>
    <row r="7151" spans="1:2">
      <c r="A7151" s="136" t="str">
        <f t="shared" si="68"/>
        <v/>
      </c>
      <c r="B7151" s="136" t="str">
        <f t="shared" si="69"/>
        <v/>
      </c>
    </row>
    <row r="7152" spans="1:2">
      <c r="A7152" s="136" t="str">
        <f t="shared" si="68"/>
        <v/>
      </c>
      <c r="B7152" s="136" t="str">
        <f t="shared" si="69"/>
        <v/>
      </c>
    </row>
    <row r="7153" spans="1:2">
      <c r="A7153" s="136" t="str">
        <f t="shared" si="68"/>
        <v/>
      </c>
      <c r="B7153" s="136" t="str">
        <f t="shared" si="69"/>
        <v/>
      </c>
    </row>
    <row r="7154" spans="1:2">
      <c r="A7154" s="136" t="str">
        <f t="shared" si="68"/>
        <v/>
      </c>
      <c r="B7154" s="136" t="str">
        <f t="shared" si="69"/>
        <v/>
      </c>
    </row>
    <row r="7155" spans="1:2">
      <c r="A7155" s="136" t="str">
        <f t="shared" si="68"/>
        <v/>
      </c>
      <c r="B7155" s="136" t="str">
        <f t="shared" si="69"/>
        <v/>
      </c>
    </row>
    <row r="7156" spans="1:2">
      <c r="A7156" s="136" t="str">
        <f t="shared" si="68"/>
        <v/>
      </c>
      <c r="B7156" s="136" t="str">
        <f t="shared" si="69"/>
        <v/>
      </c>
    </row>
    <row r="7157" spans="1:2">
      <c r="A7157" s="136" t="str">
        <f t="shared" si="68"/>
        <v/>
      </c>
      <c r="B7157" s="136" t="str">
        <f t="shared" si="69"/>
        <v/>
      </c>
    </row>
    <row r="7158" spans="1:2">
      <c r="A7158" s="136" t="str">
        <f t="shared" si="68"/>
        <v/>
      </c>
      <c r="B7158" s="136" t="str">
        <f t="shared" si="69"/>
        <v/>
      </c>
    </row>
    <row r="7159" spans="1:2">
      <c r="A7159" s="136" t="str">
        <f t="shared" si="68"/>
        <v/>
      </c>
      <c r="B7159" s="136" t="str">
        <f t="shared" si="69"/>
        <v/>
      </c>
    </row>
    <row r="7160" spans="1:2">
      <c r="A7160" s="136" t="str">
        <f t="shared" si="68"/>
        <v/>
      </c>
      <c r="B7160" s="136" t="str">
        <f t="shared" si="69"/>
        <v/>
      </c>
    </row>
    <row r="7161" spans="1:2">
      <c r="A7161" s="136" t="str">
        <f t="shared" si="68"/>
        <v/>
      </c>
      <c r="B7161" s="136" t="str">
        <f t="shared" si="69"/>
        <v/>
      </c>
    </row>
    <row r="7162" spans="1:2">
      <c r="A7162" s="136" t="str">
        <f t="shared" si="68"/>
        <v/>
      </c>
      <c r="B7162" s="136" t="str">
        <f t="shared" si="69"/>
        <v/>
      </c>
    </row>
    <row r="7163" spans="1:2">
      <c r="A7163" s="136" t="str">
        <f t="shared" si="68"/>
        <v/>
      </c>
      <c r="B7163" s="136" t="str">
        <f t="shared" si="69"/>
        <v/>
      </c>
    </row>
    <row r="7164" spans="1:2">
      <c r="A7164" s="136" t="str">
        <f t="shared" si="68"/>
        <v/>
      </c>
      <c r="B7164" s="136" t="str">
        <f t="shared" si="69"/>
        <v/>
      </c>
    </row>
    <row r="7165" spans="1:2">
      <c r="A7165" s="136" t="str">
        <f t="shared" si="68"/>
        <v/>
      </c>
      <c r="B7165" s="136" t="str">
        <f t="shared" si="69"/>
        <v/>
      </c>
    </row>
    <row r="7166" spans="1:2">
      <c r="A7166" s="136" t="str">
        <f t="shared" si="68"/>
        <v/>
      </c>
      <c r="B7166" s="136" t="str">
        <f t="shared" si="69"/>
        <v/>
      </c>
    </row>
    <row r="7167" spans="1:2">
      <c r="A7167" s="136" t="str">
        <f t="shared" si="68"/>
        <v/>
      </c>
      <c r="B7167" s="136" t="str">
        <f t="shared" si="69"/>
        <v/>
      </c>
    </row>
    <row r="7168" spans="1:2">
      <c r="A7168" s="136" t="str">
        <f t="shared" si="68"/>
        <v/>
      </c>
      <c r="B7168" s="136" t="str">
        <f t="shared" si="69"/>
        <v/>
      </c>
    </row>
    <row r="7169" spans="1:2">
      <c r="A7169" s="136" t="str">
        <f t="shared" si="68"/>
        <v/>
      </c>
      <c r="B7169" s="136" t="str">
        <f t="shared" si="69"/>
        <v/>
      </c>
    </row>
    <row r="7170" spans="1:2">
      <c r="A7170" s="136" t="str">
        <f t="shared" si="68"/>
        <v/>
      </c>
      <c r="B7170" s="136" t="str">
        <f t="shared" si="69"/>
        <v/>
      </c>
    </row>
    <row r="7171" spans="1:2">
      <c r="A7171" s="136" t="str">
        <f t="shared" si="68"/>
        <v/>
      </c>
      <c r="B7171" s="136" t="str">
        <f t="shared" si="69"/>
        <v/>
      </c>
    </row>
    <row r="7172" spans="1:2">
      <c r="A7172" s="136" t="str">
        <f t="shared" si="68"/>
        <v/>
      </c>
      <c r="B7172" s="136" t="str">
        <f t="shared" si="69"/>
        <v/>
      </c>
    </row>
    <row r="7173" spans="1:2">
      <c r="A7173" s="136" t="str">
        <f t="shared" si="68"/>
        <v/>
      </c>
      <c r="B7173" s="136" t="str">
        <f t="shared" si="69"/>
        <v/>
      </c>
    </row>
    <row r="7174" spans="1:2">
      <c r="A7174" s="136" t="str">
        <f t="shared" si="68"/>
        <v/>
      </c>
      <c r="B7174" s="136" t="str">
        <f t="shared" si="69"/>
        <v/>
      </c>
    </row>
    <row r="7175" spans="1:2">
      <c r="A7175" s="136" t="str">
        <f t="shared" si="68"/>
        <v/>
      </c>
      <c r="B7175" s="136" t="str">
        <f t="shared" si="69"/>
        <v/>
      </c>
    </row>
    <row r="7176" spans="1:2">
      <c r="A7176" s="136" t="str">
        <f t="shared" si="68"/>
        <v/>
      </c>
      <c r="B7176" s="136" t="str">
        <f t="shared" si="69"/>
        <v/>
      </c>
    </row>
    <row r="7177" spans="1:2">
      <c r="A7177" s="136" t="str">
        <f t="shared" si="68"/>
        <v/>
      </c>
      <c r="B7177" s="136" t="str">
        <f t="shared" si="69"/>
        <v/>
      </c>
    </row>
    <row r="7178" spans="1:2">
      <c r="A7178" s="136" t="str">
        <f t="shared" si="68"/>
        <v/>
      </c>
      <c r="B7178" s="136" t="str">
        <f t="shared" si="69"/>
        <v/>
      </c>
    </row>
    <row r="7179" spans="1:2">
      <c r="A7179" s="136" t="str">
        <f t="shared" si="68"/>
        <v/>
      </c>
      <c r="B7179" s="136" t="str">
        <f t="shared" si="69"/>
        <v/>
      </c>
    </row>
    <row r="7180" spans="1:2">
      <c r="A7180" s="136" t="str">
        <f t="shared" si="68"/>
        <v/>
      </c>
      <c r="B7180" s="136" t="str">
        <f t="shared" si="69"/>
        <v/>
      </c>
    </row>
    <row r="7181" spans="1:2">
      <c r="A7181" s="136" t="str">
        <f t="shared" si="68"/>
        <v/>
      </c>
      <c r="B7181" s="136" t="str">
        <f t="shared" si="69"/>
        <v/>
      </c>
    </row>
    <row r="7182" spans="1:2">
      <c r="A7182" s="136" t="str">
        <f t="shared" si="68"/>
        <v/>
      </c>
      <c r="B7182" s="136" t="str">
        <f t="shared" si="69"/>
        <v/>
      </c>
    </row>
    <row r="7183" spans="1:2">
      <c r="A7183" s="136" t="str">
        <f t="shared" si="68"/>
        <v/>
      </c>
      <c r="B7183" s="136" t="str">
        <f t="shared" si="69"/>
        <v/>
      </c>
    </row>
    <row r="7184" spans="1:2">
      <c r="A7184" s="136" t="str">
        <f t="shared" si="68"/>
        <v/>
      </c>
      <c r="B7184" s="136" t="str">
        <f t="shared" si="69"/>
        <v/>
      </c>
    </row>
    <row r="7185" spans="1:2">
      <c r="A7185" s="136" t="str">
        <f t="shared" si="68"/>
        <v/>
      </c>
      <c r="B7185" s="136" t="str">
        <f t="shared" si="69"/>
        <v/>
      </c>
    </row>
    <row r="7186" spans="1:2">
      <c r="A7186" s="136" t="str">
        <f t="shared" si="68"/>
        <v/>
      </c>
      <c r="B7186" s="136" t="str">
        <f t="shared" si="69"/>
        <v/>
      </c>
    </row>
    <row r="7187" spans="1:2">
      <c r="A7187" s="136" t="str">
        <f t="shared" si="68"/>
        <v/>
      </c>
      <c r="B7187" s="136" t="str">
        <f t="shared" si="69"/>
        <v/>
      </c>
    </row>
    <row r="7188" spans="1:2">
      <c r="A7188" s="136" t="str">
        <f t="shared" si="68"/>
        <v/>
      </c>
      <c r="B7188" s="136" t="str">
        <f t="shared" si="69"/>
        <v/>
      </c>
    </row>
    <row r="7189" spans="1:2">
      <c r="A7189" s="136" t="str">
        <f t="shared" ref="A7189:A7252" si="70">HYPERLINK("http://tw.stock.yahoo.com/q/ta?s=","")</f>
        <v/>
      </c>
      <c r="B7189" s="136" t="str">
        <f t="shared" ref="B7189:B7252" si="71">HYPERLINK("http://tw.stock.yahoo.com/d/s/earning_.html","")</f>
        <v/>
      </c>
    </row>
    <row r="7190" spans="1:2">
      <c r="A7190" s="136" t="str">
        <f t="shared" si="70"/>
        <v/>
      </c>
      <c r="B7190" s="136" t="str">
        <f t="shared" si="71"/>
        <v/>
      </c>
    </row>
    <row r="7191" spans="1:2">
      <c r="A7191" s="136" t="str">
        <f t="shared" si="70"/>
        <v/>
      </c>
      <c r="B7191" s="136" t="str">
        <f t="shared" si="71"/>
        <v/>
      </c>
    </row>
    <row r="7192" spans="1:2">
      <c r="A7192" s="136" t="str">
        <f t="shared" si="70"/>
        <v/>
      </c>
      <c r="B7192" s="136" t="str">
        <f t="shared" si="71"/>
        <v/>
      </c>
    </row>
    <row r="7193" spans="1:2">
      <c r="A7193" s="136" t="str">
        <f t="shared" si="70"/>
        <v/>
      </c>
      <c r="B7193" s="136" t="str">
        <f t="shared" si="71"/>
        <v/>
      </c>
    </row>
    <row r="7194" spans="1:2">
      <c r="A7194" s="136" t="str">
        <f t="shared" si="70"/>
        <v/>
      </c>
      <c r="B7194" s="136" t="str">
        <f t="shared" si="71"/>
        <v/>
      </c>
    </row>
    <row r="7195" spans="1:2">
      <c r="A7195" s="136" t="str">
        <f t="shared" si="70"/>
        <v/>
      </c>
      <c r="B7195" s="136" t="str">
        <f t="shared" si="71"/>
        <v/>
      </c>
    </row>
    <row r="7196" spans="1:2">
      <c r="A7196" s="136" t="str">
        <f t="shared" si="70"/>
        <v/>
      </c>
      <c r="B7196" s="136" t="str">
        <f t="shared" si="71"/>
        <v/>
      </c>
    </row>
    <row r="7197" spans="1:2">
      <c r="A7197" s="136" t="str">
        <f t="shared" si="70"/>
        <v/>
      </c>
      <c r="B7197" s="136" t="str">
        <f t="shared" si="71"/>
        <v/>
      </c>
    </row>
    <row r="7198" spans="1:2">
      <c r="A7198" s="136" t="str">
        <f t="shared" si="70"/>
        <v/>
      </c>
      <c r="B7198" s="136" t="str">
        <f t="shared" si="71"/>
        <v/>
      </c>
    </row>
    <row r="7199" spans="1:2">
      <c r="A7199" s="136" t="str">
        <f t="shared" si="70"/>
        <v/>
      </c>
      <c r="B7199" s="136" t="str">
        <f t="shared" si="71"/>
        <v/>
      </c>
    </row>
    <row r="7200" spans="1:2">
      <c r="A7200" s="136" t="str">
        <f t="shared" si="70"/>
        <v/>
      </c>
      <c r="B7200" s="136" t="str">
        <f t="shared" si="71"/>
        <v/>
      </c>
    </row>
    <row r="7201" spans="1:2">
      <c r="A7201" s="136" t="str">
        <f t="shared" si="70"/>
        <v/>
      </c>
      <c r="B7201" s="136" t="str">
        <f t="shared" si="71"/>
        <v/>
      </c>
    </row>
    <row r="7202" spans="1:2">
      <c r="A7202" s="136" t="str">
        <f t="shared" si="70"/>
        <v/>
      </c>
      <c r="B7202" s="136" t="str">
        <f t="shared" si="71"/>
        <v/>
      </c>
    </row>
    <row r="7203" spans="1:2">
      <c r="A7203" s="136" t="str">
        <f t="shared" si="70"/>
        <v/>
      </c>
      <c r="B7203" s="136" t="str">
        <f t="shared" si="71"/>
        <v/>
      </c>
    </row>
    <row r="7204" spans="1:2">
      <c r="A7204" s="136" t="str">
        <f t="shared" si="70"/>
        <v/>
      </c>
      <c r="B7204" s="136" t="str">
        <f t="shared" si="71"/>
        <v/>
      </c>
    </row>
    <row r="7205" spans="1:2">
      <c r="A7205" s="136" t="str">
        <f t="shared" si="70"/>
        <v/>
      </c>
      <c r="B7205" s="136" t="str">
        <f t="shared" si="71"/>
        <v/>
      </c>
    </row>
    <row r="7206" spans="1:2">
      <c r="A7206" s="136" t="str">
        <f t="shared" si="70"/>
        <v/>
      </c>
      <c r="B7206" s="136" t="str">
        <f t="shared" si="71"/>
        <v/>
      </c>
    </row>
    <row r="7207" spans="1:2">
      <c r="A7207" s="136" t="str">
        <f t="shared" si="70"/>
        <v/>
      </c>
      <c r="B7207" s="136" t="str">
        <f t="shared" si="71"/>
        <v/>
      </c>
    </row>
    <row r="7208" spans="1:2">
      <c r="A7208" s="136" t="str">
        <f t="shared" si="70"/>
        <v/>
      </c>
      <c r="B7208" s="136" t="str">
        <f t="shared" si="71"/>
        <v/>
      </c>
    </row>
    <row r="7209" spans="1:2">
      <c r="A7209" s="136" t="str">
        <f t="shared" si="70"/>
        <v/>
      </c>
      <c r="B7209" s="136" t="str">
        <f t="shared" si="71"/>
        <v/>
      </c>
    </row>
    <row r="7210" spans="1:2">
      <c r="A7210" s="136" t="str">
        <f t="shared" si="70"/>
        <v/>
      </c>
      <c r="B7210" s="136" t="str">
        <f t="shared" si="71"/>
        <v/>
      </c>
    </row>
    <row r="7211" spans="1:2">
      <c r="A7211" s="136" t="str">
        <f t="shared" si="70"/>
        <v/>
      </c>
      <c r="B7211" s="136" t="str">
        <f t="shared" si="71"/>
        <v/>
      </c>
    </row>
    <row r="7212" spans="1:2">
      <c r="A7212" s="136" t="str">
        <f t="shared" si="70"/>
        <v/>
      </c>
      <c r="B7212" s="136" t="str">
        <f t="shared" si="71"/>
        <v/>
      </c>
    </row>
    <row r="7213" spans="1:2">
      <c r="A7213" s="136" t="str">
        <f t="shared" si="70"/>
        <v/>
      </c>
      <c r="B7213" s="136" t="str">
        <f t="shared" si="71"/>
        <v/>
      </c>
    </row>
    <row r="7214" spans="1:2">
      <c r="A7214" s="136" t="str">
        <f t="shared" si="70"/>
        <v/>
      </c>
      <c r="B7214" s="136" t="str">
        <f t="shared" si="71"/>
        <v/>
      </c>
    </row>
    <row r="7215" spans="1:2">
      <c r="A7215" s="136" t="str">
        <f t="shared" si="70"/>
        <v/>
      </c>
      <c r="B7215" s="136" t="str">
        <f t="shared" si="71"/>
        <v/>
      </c>
    </row>
    <row r="7216" spans="1:2">
      <c r="A7216" s="136" t="str">
        <f t="shared" si="70"/>
        <v/>
      </c>
      <c r="B7216" s="136" t="str">
        <f t="shared" si="71"/>
        <v/>
      </c>
    </row>
    <row r="7217" spans="1:2">
      <c r="A7217" s="136" t="str">
        <f t="shared" si="70"/>
        <v/>
      </c>
      <c r="B7217" s="136" t="str">
        <f t="shared" si="71"/>
        <v/>
      </c>
    </row>
    <row r="7218" spans="1:2">
      <c r="A7218" s="136" t="str">
        <f t="shared" si="70"/>
        <v/>
      </c>
      <c r="B7218" s="136" t="str">
        <f t="shared" si="71"/>
        <v/>
      </c>
    </row>
    <row r="7219" spans="1:2">
      <c r="A7219" s="136" t="str">
        <f t="shared" si="70"/>
        <v/>
      </c>
      <c r="B7219" s="136" t="str">
        <f t="shared" si="71"/>
        <v/>
      </c>
    </row>
    <row r="7220" spans="1:2">
      <c r="A7220" s="136" t="str">
        <f t="shared" si="70"/>
        <v/>
      </c>
      <c r="B7220" s="136" t="str">
        <f t="shared" si="71"/>
        <v/>
      </c>
    </row>
    <row r="7221" spans="1:2">
      <c r="A7221" s="136" t="str">
        <f t="shared" si="70"/>
        <v/>
      </c>
      <c r="B7221" s="136" t="str">
        <f t="shared" si="71"/>
        <v/>
      </c>
    </row>
    <row r="7222" spans="1:2">
      <c r="A7222" s="136" t="str">
        <f t="shared" si="70"/>
        <v/>
      </c>
      <c r="B7222" s="136" t="str">
        <f t="shared" si="71"/>
        <v/>
      </c>
    </row>
    <row r="7223" spans="1:2">
      <c r="A7223" s="136" t="str">
        <f t="shared" si="70"/>
        <v/>
      </c>
      <c r="B7223" s="136" t="str">
        <f t="shared" si="71"/>
        <v/>
      </c>
    </row>
    <row r="7224" spans="1:2">
      <c r="A7224" s="136" t="str">
        <f t="shared" si="70"/>
        <v/>
      </c>
      <c r="B7224" s="136" t="str">
        <f t="shared" si="71"/>
        <v/>
      </c>
    </row>
    <row r="7225" spans="1:2">
      <c r="A7225" s="136" t="str">
        <f t="shared" si="70"/>
        <v/>
      </c>
      <c r="B7225" s="136" t="str">
        <f t="shared" si="71"/>
        <v/>
      </c>
    </row>
    <row r="7226" spans="1:2">
      <c r="A7226" s="136" t="str">
        <f t="shared" si="70"/>
        <v/>
      </c>
      <c r="B7226" s="136" t="str">
        <f t="shared" si="71"/>
        <v/>
      </c>
    </row>
    <row r="7227" spans="1:2">
      <c r="A7227" s="136" t="str">
        <f t="shared" si="70"/>
        <v/>
      </c>
      <c r="B7227" s="136" t="str">
        <f t="shared" si="71"/>
        <v/>
      </c>
    </row>
    <row r="7228" spans="1:2">
      <c r="A7228" s="136" t="str">
        <f t="shared" si="70"/>
        <v/>
      </c>
      <c r="B7228" s="136" t="str">
        <f t="shared" si="71"/>
        <v/>
      </c>
    </row>
    <row r="7229" spans="1:2">
      <c r="A7229" s="136" t="str">
        <f t="shared" si="70"/>
        <v/>
      </c>
      <c r="B7229" s="136" t="str">
        <f t="shared" si="71"/>
        <v/>
      </c>
    </row>
    <row r="7230" spans="1:2">
      <c r="A7230" s="136" t="str">
        <f t="shared" si="70"/>
        <v/>
      </c>
      <c r="B7230" s="136" t="str">
        <f t="shared" si="71"/>
        <v/>
      </c>
    </row>
    <row r="7231" spans="1:2">
      <c r="A7231" s="136" t="str">
        <f t="shared" si="70"/>
        <v/>
      </c>
      <c r="B7231" s="136" t="str">
        <f t="shared" si="71"/>
        <v/>
      </c>
    </row>
    <row r="7232" spans="1:2">
      <c r="A7232" s="136" t="str">
        <f t="shared" si="70"/>
        <v/>
      </c>
      <c r="B7232" s="136" t="str">
        <f t="shared" si="71"/>
        <v/>
      </c>
    </row>
    <row r="7233" spans="1:2">
      <c r="A7233" s="136" t="str">
        <f t="shared" si="70"/>
        <v/>
      </c>
      <c r="B7233" s="136" t="str">
        <f t="shared" si="71"/>
        <v/>
      </c>
    </row>
    <row r="7234" spans="1:2">
      <c r="A7234" s="136" t="str">
        <f t="shared" si="70"/>
        <v/>
      </c>
      <c r="B7234" s="136" t="str">
        <f t="shared" si="71"/>
        <v/>
      </c>
    </row>
    <row r="7235" spans="1:2">
      <c r="A7235" s="136" t="str">
        <f t="shared" si="70"/>
        <v/>
      </c>
      <c r="B7235" s="136" t="str">
        <f t="shared" si="71"/>
        <v/>
      </c>
    </row>
    <row r="7236" spans="1:2">
      <c r="A7236" s="136" t="str">
        <f t="shared" si="70"/>
        <v/>
      </c>
      <c r="B7236" s="136" t="str">
        <f t="shared" si="71"/>
        <v/>
      </c>
    </row>
    <row r="7237" spans="1:2">
      <c r="A7237" s="136" t="str">
        <f t="shared" si="70"/>
        <v/>
      </c>
      <c r="B7237" s="136" t="str">
        <f t="shared" si="71"/>
        <v/>
      </c>
    </row>
    <row r="7238" spans="1:2">
      <c r="A7238" s="136" t="str">
        <f t="shared" si="70"/>
        <v/>
      </c>
      <c r="B7238" s="136" t="str">
        <f t="shared" si="71"/>
        <v/>
      </c>
    </row>
    <row r="7239" spans="1:2">
      <c r="A7239" s="136" t="str">
        <f t="shared" si="70"/>
        <v/>
      </c>
      <c r="B7239" s="136" t="str">
        <f t="shared" si="71"/>
        <v/>
      </c>
    </row>
    <row r="7240" spans="1:2">
      <c r="A7240" s="136" t="str">
        <f t="shared" si="70"/>
        <v/>
      </c>
      <c r="B7240" s="136" t="str">
        <f t="shared" si="71"/>
        <v/>
      </c>
    </row>
    <row r="7241" spans="1:2">
      <c r="A7241" s="136" t="str">
        <f t="shared" si="70"/>
        <v/>
      </c>
      <c r="B7241" s="136" t="str">
        <f t="shared" si="71"/>
        <v/>
      </c>
    </row>
    <row r="7242" spans="1:2">
      <c r="A7242" s="136" t="str">
        <f t="shared" si="70"/>
        <v/>
      </c>
      <c r="B7242" s="136" t="str">
        <f t="shared" si="71"/>
        <v/>
      </c>
    </row>
    <row r="7243" spans="1:2">
      <c r="A7243" s="136" t="str">
        <f t="shared" si="70"/>
        <v/>
      </c>
      <c r="B7243" s="136" t="str">
        <f t="shared" si="71"/>
        <v/>
      </c>
    </row>
    <row r="7244" spans="1:2">
      <c r="A7244" s="136" t="str">
        <f t="shared" si="70"/>
        <v/>
      </c>
      <c r="B7244" s="136" t="str">
        <f t="shared" si="71"/>
        <v/>
      </c>
    </row>
    <row r="7245" spans="1:2">
      <c r="A7245" s="136" t="str">
        <f t="shared" si="70"/>
        <v/>
      </c>
      <c r="B7245" s="136" t="str">
        <f t="shared" si="71"/>
        <v/>
      </c>
    </row>
    <row r="7246" spans="1:2">
      <c r="A7246" s="136" t="str">
        <f t="shared" si="70"/>
        <v/>
      </c>
      <c r="B7246" s="136" t="str">
        <f t="shared" si="71"/>
        <v/>
      </c>
    </row>
    <row r="7247" spans="1:2">
      <c r="A7247" s="136" t="str">
        <f t="shared" si="70"/>
        <v/>
      </c>
      <c r="B7247" s="136" t="str">
        <f t="shared" si="71"/>
        <v/>
      </c>
    </row>
    <row r="7248" spans="1:2">
      <c r="A7248" s="136" t="str">
        <f t="shared" si="70"/>
        <v/>
      </c>
      <c r="B7248" s="136" t="str">
        <f t="shared" si="71"/>
        <v/>
      </c>
    </row>
    <row r="7249" spans="1:2">
      <c r="A7249" s="136" t="str">
        <f t="shared" si="70"/>
        <v/>
      </c>
      <c r="B7249" s="136" t="str">
        <f t="shared" si="71"/>
        <v/>
      </c>
    </row>
    <row r="7250" spans="1:2">
      <c r="A7250" s="136" t="str">
        <f t="shared" si="70"/>
        <v/>
      </c>
      <c r="B7250" s="136" t="str">
        <f t="shared" si="71"/>
        <v/>
      </c>
    </row>
    <row r="7251" spans="1:2">
      <c r="A7251" s="136" t="str">
        <f t="shared" si="70"/>
        <v/>
      </c>
      <c r="B7251" s="136" t="str">
        <f t="shared" si="71"/>
        <v/>
      </c>
    </row>
    <row r="7252" spans="1:2">
      <c r="A7252" s="136" t="str">
        <f t="shared" si="70"/>
        <v/>
      </c>
      <c r="B7252" s="136" t="str">
        <f t="shared" si="71"/>
        <v/>
      </c>
    </row>
    <row r="7253" spans="1:2">
      <c r="A7253" s="136" t="str">
        <f t="shared" ref="A7253:A7316" si="72">HYPERLINK("http://tw.stock.yahoo.com/q/ta?s=","")</f>
        <v/>
      </c>
      <c r="B7253" s="136" t="str">
        <f t="shared" ref="B7253:B7316" si="73">HYPERLINK("http://tw.stock.yahoo.com/d/s/earning_.html","")</f>
        <v/>
      </c>
    </row>
    <row r="7254" spans="1:2">
      <c r="A7254" s="136" t="str">
        <f t="shared" si="72"/>
        <v/>
      </c>
      <c r="B7254" s="136" t="str">
        <f t="shared" si="73"/>
        <v/>
      </c>
    </row>
    <row r="7255" spans="1:2">
      <c r="A7255" s="136" t="str">
        <f t="shared" si="72"/>
        <v/>
      </c>
      <c r="B7255" s="136" t="str">
        <f t="shared" si="73"/>
        <v/>
      </c>
    </row>
    <row r="7256" spans="1:2">
      <c r="A7256" s="136" t="str">
        <f t="shared" si="72"/>
        <v/>
      </c>
      <c r="B7256" s="136" t="str">
        <f t="shared" si="73"/>
        <v/>
      </c>
    </row>
    <row r="7257" spans="1:2">
      <c r="A7257" s="136" t="str">
        <f t="shared" si="72"/>
        <v/>
      </c>
      <c r="B7257" s="136" t="str">
        <f t="shared" si="73"/>
        <v/>
      </c>
    </row>
    <row r="7258" spans="1:2">
      <c r="A7258" s="136" t="str">
        <f t="shared" si="72"/>
        <v/>
      </c>
      <c r="B7258" s="136" t="str">
        <f t="shared" si="73"/>
        <v/>
      </c>
    </row>
    <row r="7259" spans="1:2">
      <c r="A7259" s="136" t="str">
        <f t="shared" si="72"/>
        <v/>
      </c>
      <c r="B7259" s="136" t="str">
        <f t="shared" si="73"/>
        <v/>
      </c>
    </row>
    <row r="7260" spans="1:2">
      <c r="A7260" s="136" t="str">
        <f t="shared" si="72"/>
        <v/>
      </c>
      <c r="B7260" s="136" t="str">
        <f t="shared" si="73"/>
        <v/>
      </c>
    </row>
    <row r="7261" spans="1:2">
      <c r="A7261" s="136" t="str">
        <f t="shared" si="72"/>
        <v/>
      </c>
      <c r="B7261" s="136" t="str">
        <f t="shared" si="73"/>
        <v/>
      </c>
    </row>
    <row r="7262" spans="1:2">
      <c r="A7262" s="136" t="str">
        <f t="shared" si="72"/>
        <v/>
      </c>
      <c r="B7262" s="136" t="str">
        <f t="shared" si="73"/>
        <v/>
      </c>
    </row>
    <row r="7263" spans="1:2">
      <c r="A7263" s="136" t="str">
        <f t="shared" si="72"/>
        <v/>
      </c>
      <c r="B7263" s="136" t="str">
        <f t="shared" si="73"/>
        <v/>
      </c>
    </row>
    <row r="7264" spans="1:2">
      <c r="A7264" s="136" t="str">
        <f t="shared" si="72"/>
        <v/>
      </c>
      <c r="B7264" s="136" t="str">
        <f t="shared" si="73"/>
        <v/>
      </c>
    </row>
    <row r="7265" spans="1:2">
      <c r="A7265" s="136" t="str">
        <f t="shared" si="72"/>
        <v/>
      </c>
      <c r="B7265" s="136" t="str">
        <f t="shared" si="73"/>
        <v/>
      </c>
    </row>
    <row r="7266" spans="1:2">
      <c r="A7266" s="136" t="str">
        <f t="shared" si="72"/>
        <v/>
      </c>
      <c r="B7266" s="136" t="str">
        <f t="shared" si="73"/>
        <v/>
      </c>
    </row>
    <row r="7267" spans="1:2">
      <c r="A7267" s="136" t="str">
        <f t="shared" si="72"/>
        <v/>
      </c>
      <c r="B7267" s="136" t="str">
        <f t="shared" si="73"/>
        <v/>
      </c>
    </row>
    <row r="7268" spans="1:2">
      <c r="A7268" s="136" t="str">
        <f t="shared" si="72"/>
        <v/>
      </c>
      <c r="B7268" s="136" t="str">
        <f t="shared" si="73"/>
        <v/>
      </c>
    </row>
    <row r="7269" spans="1:2">
      <c r="A7269" s="136" t="str">
        <f t="shared" si="72"/>
        <v/>
      </c>
      <c r="B7269" s="136" t="str">
        <f t="shared" si="73"/>
        <v/>
      </c>
    </row>
    <row r="7270" spans="1:2">
      <c r="A7270" s="136" t="str">
        <f t="shared" si="72"/>
        <v/>
      </c>
      <c r="B7270" s="136" t="str">
        <f t="shared" si="73"/>
        <v/>
      </c>
    </row>
    <row r="7271" spans="1:2">
      <c r="A7271" s="136" t="str">
        <f t="shared" si="72"/>
        <v/>
      </c>
      <c r="B7271" s="136" t="str">
        <f t="shared" si="73"/>
        <v/>
      </c>
    </row>
    <row r="7272" spans="1:2">
      <c r="A7272" s="136" t="str">
        <f t="shared" si="72"/>
        <v/>
      </c>
      <c r="B7272" s="136" t="str">
        <f t="shared" si="73"/>
        <v/>
      </c>
    </row>
    <row r="7273" spans="1:2">
      <c r="A7273" s="136" t="str">
        <f t="shared" si="72"/>
        <v/>
      </c>
      <c r="B7273" s="136" t="str">
        <f t="shared" si="73"/>
        <v/>
      </c>
    </row>
    <row r="7274" spans="1:2">
      <c r="A7274" s="136" t="str">
        <f t="shared" si="72"/>
        <v/>
      </c>
      <c r="B7274" s="136" t="str">
        <f t="shared" si="73"/>
        <v/>
      </c>
    </row>
    <row r="7275" spans="1:2">
      <c r="A7275" s="136" t="str">
        <f t="shared" si="72"/>
        <v/>
      </c>
      <c r="B7275" s="136" t="str">
        <f t="shared" si="73"/>
        <v/>
      </c>
    </row>
    <row r="7276" spans="1:2">
      <c r="A7276" s="136" t="str">
        <f t="shared" si="72"/>
        <v/>
      </c>
      <c r="B7276" s="136" t="str">
        <f t="shared" si="73"/>
        <v/>
      </c>
    </row>
    <row r="7277" spans="1:2">
      <c r="A7277" s="136" t="str">
        <f t="shared" si="72"/>
        <v/>
      </c>
      <c r="B7277" s="136" t="str">
        <f t="shared" si="73"/>
        <v/>
      </c>
    </row>
    <row r="7278" spans="1:2">
      <c r="A7278" s="136" t="str">
        <f t="shared" si="72"/>
        <v/>
      </c>
      <c r="B7278" s="136" t="str">
        <f t="shared" si="73"/>
        <v/>
      </c>
    </row>
    <row r="7279" spans="1:2">
      <c r="A7279" s="136" t="str">
        <f t="shared" si="72"/>
        <v/>
      </c>
      <c r="B7279" s="136" t="str">
        <f t="shared" si="73"/>
        <v/>
      </c>
    </row>
    <row r="7280" spans="1:2">
      <c r="A7280" s="136" t="str">
        <f t="shared" si="72"/>
        <v/>
      </c>
      <c r="B7280" s="136" t="str">
        <f t="shared" si="73"/>
        <v/>
      </c>
    </row>
    <row r="7281" spans="1:2">
      <c r="A7281" s="136" t="str">
        <f t="shared" si="72"/>
        <v/>
      </c>
      <c r="B7281" s="136" t="str">
        <f t="shared" si="73"/>
        <v/>
      </c>
    </row>
    <row r="7282" spans="1:2">
      <c r="A7282" s="136" t="str">
        <f t="shared" si="72"/>
        <v/>
      </c>
      <c r="B7282" s="136" t="str">
        <f t="shared" si="73"/>
        <v/>
      </c>
    </row>
    <row r="7283" spans="1:2">
      <c r="A7283" s="136" t="str">
        <f t="shared" si="72"/>
        <v/>
      </c>
      <c r="B7283" s="136" t="str">
        <f t="shared" si="73"/>
        <v/>
      </c>
    </row>
    <row r="7284" spans="1:2">
      <c r="A7284" s="136" t="str">
        <f t="shared" si="72"/>
        <v/>
      </c>
      <c r="B7284" s="136" t="str">
        <f t="shared" si="73"/>
        <v/>
      </c>
    </row>
    <row r="7285" spans="1:2">
      <c r="A7285" s="136" t="str">
        <f t="shared" si="72"/>
        <v/>
      </c>
      <c r="B7285" s="136" t="str">
        <f t="shared" si="73"/>
        <v/>
      </c>
    </row>
    <row r="7286" spans="1:2">
      <c r="A7286" s="136" t="str">
        <f t="shared" si="72"/>
        <v/>
      </c>
      <c r="B7286" s="136" t="str">
        <f t="shared" si="73"/>
        <v/>
      </c>
    </row>
    <row r="7287" spans="1:2">
      <c r="A7287" s="136" t="str">
        <f t="shared" si="72"/>
        <v/>
      </c>
      <c r="B7287" s="136" t="str">
        <f t="shared" si="73"/>
        <v/>
      </c>
    </row>
    <row r="7288" spans="1:2">
      <c r="A7288" s="136" t="str">
        <f t="shared" si="72"/>
        <v/>
      </c>
      <c r="B7288" s="136" t="str">
        <f t="shared" si="73"/>
        <v/>
      </c>
    </row>
    <row r="7289" spans="1:2">
      <c r="A7289" s="136" t="str">
        <f t="shared" si="72"/>
        <v/>
      </c>
      <c r="B7289" s="136" t="str">
        <f t="shared" si="73"/>
        <v/>
      </c>
    </row>
    <row r="7290" spans="1:2">
      <c r="A7290" s="136" t="str">
        <f t="shared" si="72"/>
        <v/>
      </c>
      <c r="B7290" s="136" t="str">
        <f t="shared" si="73"/>
        <v/>
      </c>
    </row>
    <row r="7291" spans="1:2">
      <c r="A7291" s="136" t="str">
        <f t="shared" si="72"/>
        <v/>
      </c>
      <c r="B7291" s="136" t="str">
        <f t="shared" si="73"/>
        <v/>
      </c>
    </row>
    <row r="7292" spans="1:2">
      <c r="A7292" s="136" t="str">
        <f t="shared" si="72"/>
        <v/>
      </c>
      <c r="B7292" s="136" t="str">
        <f t="shared" si="73"/>
        <v/>
      </c>
    </row>
    <row r="7293" spans="1:2">
      <c r="A7293" s="136" t="str">
        <f t="shared" si="72"/>
        <v/>
      </c>
      <c r="B7293" s="136" t="str">
        <f t="shared" si="73"/>
        <v/>
      </c>
    </row>
    <row r="7294" spans="1:2">
      <c r="A7294" s="136" t="str">
        <f t="shared" si="72"/>
        <v/>
      </c>
      <c r="B7294" s="136" t="str">
        <f t="shared" si="73"/>
        <v/>
      </c>
    </row>
    <row r="7295" spans="1:2">
      <c r="A7295" s="136" t="str">
        <f t="shared" si="72"/>
        <v/>
      </c>
      <c r="B7295" s="136" t="str">
        <f t="shared" si="73"/>
        <v/>
      </c>
    </row>
    <row r="7296" spans="1:2">
      <c r="A7296" s="136" t="str">
        <f t="shared" si="72"/>
        <v/>
      </c>
      <c r="B7296" s="136" t="str">
        <f t="shared" si="73"/>
        <v/>
      </c>
    </row>
    <row r="7297" spans="1:2">
      <c r="A7297" s="136" t="str">
        <f t="shared" si="72"/>
        <v/>
      </c>
      <c r="B7297" s="136" t="str">
        <f t="shared" si="73"/>
        <v/>
      </c>
    </row>
    <row r="7298" spans="1:2">
      <c r="A7298" s="136" t="str">
        <f t="shared" si="72"/>
        <v/>
      </c>
      <c r="B7298" s="136" t="str">
        <f t="shared" si="73"/>
        <v/>
      </c>
    </row>
    <row r="7299" spans="1:2">
      <c r="A7299" s="136" t="str">
        <f t="shared" si="72"/>
        <v/>
      </c>
      <c r="B7299" s="136" t="str">
        <f t="shared" si="73"/>
        <v/>
      </c>
    </row>
    <row r="7300" spans="1:2">
      <c r="A7300" s="136" t="str">
        <f t="shared" si="72"/>
        <v/>
      </c>
      <c r="B7300" s="136" t="str">
        <f t="shared" si="73"/>
        <v/>
      </c>
    </row>
    <row r="7301" spans="1:2">
      <c r="A7301" s="136" t="str">
        <f t="shared" si="72"/>
        <v/>
      </c>
      <c r="B7301" s="136" t="str">
        <f t="shared" si="73"/>
        <v/>
      </c>
    </row>
    <row r="7302" spans="1:2">
      <c r="A7302" s="136" t="str">
        <f t="shared" si="72"/>
        <v/>
      </c>
      <c r="B7302" s="136" t="str">
        <f t="shared" si="73"/>
        <v/>
      </c>
    </row>
    <row r="7303" spans="1:2">
      <c r="A7303" s="136" t="str">
        <f t="shared" si="72"/>
        <v/>
      </c>
      <c r="B7303" s="136" t="str">
        <f t="shared" si="73"/>
        <v/>
      </c>
    </row>
    <row r="7304" spans="1:2">
      <c r="A7304" s="136" t="str">
        <f t="shared" si="72"/>
        <v/>
      </c>
      <c r="B7304" s="136" t="str">
        <f t="shared" si="73"/>
        <v/>
      </c>
    </row>
    <row r="7305" spans="1:2">
      <c r="A7305" s="136" t="str">
        <f t="shared" si="72"/>
        <v/>
      </c>
      <c r="B7305" s="136" t="str">
        <f t="shared" si="73"/>
        <v/>
      </c>
    </row>
    <row r="7306" spans="1:2">
      <c r="A7306" s="136" t="str">
        <f t="shared" si="72"/>
        <v/>
      </c>
      <c r="B7306" s="136" t="str">
        <f t="shared" si="73"/>
        <v/>
      </c>
    </row>
    <row r="7307" spans="1:2">
      <c r="A7307" s="136" t="str">
        <f t="shared" si="72"/>
        <v/>
      </c>
      <c r="B7307" s="136" t="str">
        <f t="shared" si="73"/>
        <v/>
      </c>
    </row>
    <row r="7308" spans="1:2">
      <c r="A7308" s="136" t="str">
        <f t="shared" si="72"/>
        <v/>
      </c>
      <c r="B7308" s="136" t="str">
        <f t="shared" si="73"/>
        <v/>
      </c>
    </row>
    <row r="7309" spans="1:2">
      <c r="A7309" s="136" t="str">
        <f t="shared" si="72"/>
        <v/>
      </c>
      <c r="B7309" s="136" t="str">
        <f t="shared" si="73"/>
        <v/>
      </c>
    </row>
    <row r="7310" spans="1:2">
      <c r="A7310" s="136" t="str">
        <f t="shared" si="72"/>
        <v/>
      </c>
      <c r="B7310" s="136" t="str">
        <f t="shared" si="73"/>
        <v/>
      </c>
    </row>
    <row r="7311" spans="1:2">
      <c r="A7311" s="136" t="str">
        <f t="shared" si="72"/>
        <v/>
      </c>
      <c r="B7311" s="136" t="str">
        <f t="shared" si="73"/>
        <v/>
      </c>
    </row>
    <row r="7312" spans="1:2">
      <c r="A7312" s="136" t="str">
        <f t="shared" si="72"/>
        <v/>
      </c>
      <c r="B7312" s="136" t="str">
        <f t="shared" si="73"/>
        <v/>
      </c>
    </row>
    <row r="7313" spans="1:2">
      <c r="A7313" s="136" t="str">
        <f t="shared" si="72"/>
        <v/>
      </c>
      <c r="B7313" s="136" t="str">
        <f t="shared" si="73"/>
        <v/>
      </c>
    </row>
    <row r="7314" spans="1:2">
      <c r="A7314" s="136" t="str">
        <f t="shared" si="72"/>
        <v/>
      </c>
      <c r="B7314" s="136" t="str">
        <f t="shared" si="73"/>
        <v/>
      </c>
    </row>
    <row r="7315" spans="1:2">
      <c r="A7315" s="136" t="str">
        <f t="shared" si="72"/>
        <v/>
      </c>
      <c r="B7315" s="136" t="str">
        <f t="shared" si="73"/>
        <v/>
      </c>
    </row>
    <row r="7316" spans="1:2">
      <c r="A7316" s="136" t="str">
        <f t="shared" si="72"/>
        <v/>
      </c>
      <c r="B7316" s="136" t="str">
        <f t="shared" si="73"/>
        <v/>
      </c>
    </row>
    <row r="7317" spans="1:2">
      <c r="A7317" s="136" t="str">
        <f t="shared" ref="A7317:A7380" si="74">HYPERLINK("http://tw.stock.yahoo.com/q/ta?s=","")</f>
        <v/>
      </c>
      <c r="B7317" s="136" t="str">
        <f t="shared" ref="B7317:B7380" si="75">HYPERLINK("http://tw.stock.yahoo.com/d/s/earning_.html","")</f>
        <v/>
      </c>
    </row>
    <row r="7318" spans="1:2">
      <c r="A7318" s="136" t="str">
        <f t="shared" si="74"/>
        <v/>
      </c>
      <c r="B7318" s="136" t="str">
        <f t="shared" si="75"/>
        <v/>
      </c>
    </row>
    <row r="7319" spans="1:2">
      <c r="A7319" s="136" t="str">
        <f t="shared" si="74"/>
        <v/>
      </c>
      <c r="B7319" s="136" t="str">
        <f t="shared" si="75"/>
        <v/>
      </c>
    </row>
    <row r="7320" spans="1:2">
      <c r="A7320" s="136" t="str">
        <f t="shared" si="74"/>
        <v/>
      </c>
      <c r="B7320" s="136" t="str">
        <f t="shared" si="75"/>
        <v/>
      </c>
    </row>
    <row r="7321" spans="1:2">
      <c r="A7321" s="136" t="str">
        <f t="shared" si="74"/>
        <v/>
      </c>
      <c r="B7321" s="136" t="str">
        <f t="shared" si="75"/>
        <v/>
      </c>
    </row>
    <row r="7322" spans="1:2">
      <c r="A7322" s="136" t="str">
        <f t="shared" si="74"/>
        <v/>
      </c>
      <c r="B7322" s="136" t="str">
        <f t="shared" si="75"/>
        <v/>
      </c>
    </row>
    <row r="7323" spans="1:2">
      <c r="A7323" s="136" t="str">
        <f t="shared" si="74"/>
        <v/>
      </c>
      <c r="B7323" s="136" t="str">
        <f t="shared" si="75"/>
        <v/>
      </c>
    </row>
    <row r="7324" spans="1:2">
      <c r="A7324" s="136" t="str">
        <f t="shared" si="74"/>
        <v/>
      </c>
      <c r="B7324" s="136" t="str">
        <f t="shared" si="75"/>
        <v/>
      </c>
    </row>
    <row r="7325" spans="1:2">
      <c r="A7325" s="136" t="str">
        <f t="shared" si="74"/>
        <v/>
      </c>
      <c r="B7325" s="136" t="str">
        <f t="shared" si="75"/>
        <v/>
      </c>
    </row>
    <row r="7326" spans="1:2">
      <c r="A7326" s="136" t="str">
        <f t="shared" si="74"/>
        <v/>
      </c>
      <c r="B7326" s="136" t="str">
        <f t="shared" si="75"/>
        <v/>
      </c>
    </row>
    <row r="7327" spans="1:2">
      <c r="A7327" s="136" t="str">
        <f t="shared" si="74"/>
        <v/>
      </c>
      <c r="B7327" s="136" t="str">
        <f t="shared" si="75"/>
        <v/>
      </c>
    </row>
    <row r="7328" spans="1:2">
      <c r="A7328" s="136" t="str">
        <f t="shared" si="74"/>
        <v/>
      </c>
      <c r="B7328" s="136" t="str">
        <f t="shared" si="75"/>
        <v/>
      </c>
    </row>
    <row r="7329" spans="1:2">
      <c r="A7329" s="136" t="str">
        <f t="shared" si="74"/>
        <v/>
      </c>
      <c r="B7329" s="136" t="str">
        <f t="shared" si="75"/>
        <v/>
      </c>
    </row>
    <row r="7330" spans="1:2">
      <c r="A7330" s="136" t="str">
        <f t="shared" si="74"/>
        <v/>
      </c>
      <c r="B7330" s="136" t="str">
        <f t="shared" si="75"/>
        <v/>
      </c>
    </row>
    <row r="7331" spans="1:2">
      <c r="A7331" s="136" t="str">
        <f t="shared" si="74"/>
        <v/>
      </c>
      <c r="B7331" s="136" t="str">
        <f t="shared" si="75"/>
        <v/>
      </c>
    </row>
    <row r="7332" spans="1:2">
      <c r="A7332" s="136" t="str">
        <f t="shared" si="74"/>
        <v/>
      </c>
      <c r="B7332" s="136" t="str">
        <f t="shared" si="75"/>
        <v/>
      </c>
    </row>
    <row r="7333" spans="1:2">
      <c r="A7333" s="136" t="str">
        <f t="shared" si="74"/>
        <v/>
      </c>
      <c r="B7333" s="136" t="str">
        <f t="shared" si="75"/>
        <v/>
      </c>
    </row>
    <row r="7334" spans="1:2">
      <c r="A7334" s="136" t="str">
        <f t="shared" si="74"/>
        <v/>
      </c>
      <c r="B7334" s="136" t="str">
        <f t="shared" si="75"/>
        <v/>
      </c>
    </row>
    <row r="7335" spans="1:2">
      <c r="A7335" s="136" t="str">
        <f t="shared" si="74"/>
        <v/>
      </c>
      <c r="B7335" s="136" t="str">
        <f t="shared" si="75"/>
        <v/>
      </c>
    </row>
    <row r="7336" spans="1:2">
      <c r="A7336" s="136" t="str">
        <f t="shared" si="74"/>
        <v/>
      </c>
      <c r="B7336" s="136" t="str">
        <f t="shared" si="75"/>
        <v/>
      </c>
    </row>
    <row r="7337" spans="1:2">
      <c r="A7337" s="136" t="str">
        <f t="shared" si="74"/>
        <v/>
      </c>
      <c r="B7337" s="136" t="str">
        <f t="shared" si="75"/>
        <v/>
      </c>
    </row>
    <row r="7338" spans="1:2">
      <c r="A7338" s="136" t="str">
        <f t="shared" si="74"/>
        <v/>
      </c>
      <c r="B7338" s="136" t="str">
        <f t="shared" si="75"/>
        <v/>
      </c>
    </row>
    <row r="7339" spans="1:2">
      <c r="A7339" s="136" t="str">
        <f t="shared" si="74"/>
        <v/>
      </c>
      <c r="B7339" s="136" t="str">
        <f t="shared" si="75"/>
        <v/>
      </c>
    </row>
    <row r="7340" spans="1:2">
      <c r="A7340" s="136" t="str">
        <f t="shared" si="74"/>
        <v/>
      </c>
      <c r="B7340" s="136" t="str">
        <f t="shared" si="75"/>
        <v/>
      </c>
    </row>
    <row r="7341" spans="1:2">
      <c r="A7341" s="136" t="str">
        <f t="shared" si="74"/>
        <v/>
      </c>
      <c r="B7341" s="136" t="str">
        <f t="shared" si="75"/>
        <v/>
      </c>
    </row>
    <row r="7342" spans="1:2">
      <c r="A7342" s="136" t="str">
        <f t="shared" si="74"/>
        <v/>
      </c>
      <c r="B7342" s="136" t="str">
        <f t="shared" si="75"/>
        <v/>
      </c>
    </row>
    <row r="7343" spans="1:2">
      <c r="A7343" s="136" t="str">
        <f t="shared" si="74"/>
        <v/>
      </c>
      <c r="B7343" s="136" t="str">
        <f t="shared" si="75"/>
        <v/>
      </c>
    </row>
    <row r="7344" spans="1:2">
      <c r="A7344" s="136" t="str">
        <f t="shared" si="74"/>
        <v/>
      </c>
      <c r="B7344" s="136" t="str">
        <f t="shared" si="75"/>
        <v/>
      </c>
    </row>
    <row r="7345" spans="1:2">
      <c r="A7345" s="136" t="str">
        <f t="shared" si="74"/>
        <v/>
      </c>
      <c r="B7345" s="136" t="str">
        <f t="shared" si="75"/>
        <v/>
      </c>
    </row>
    <row r="7346" spans="1:2">
      <c r="A7346" s="136" t="str">
        <f t="shared" si="74"/>
        <v/>
      </c>
      <c r="B7346" s="136" t="str">
        <f t="shared" si="75"/>
        <v/>
      </c>
    </row>
    <row r="7347" spans="1:2">
      <c r="A7347" s="136" t="str">
        <f t="shared" si="74"/>
        <v/>
      </c>
      <c r="B7347" s="136" t="str">
        <f t="shared" si="75"/>
        <v/>
      </c>
    </row>
    <row r="7348" spans="1:2">
      <c r="A7348" s="136" t="str">
        <f t="shared" si="74"/>
        <v/>
      </c>
      <c r="B7348" s="136" t="str">
        <f t="shared" si="75"/>
        <v/>
      </c>
    </row>
    <row r="7349" spans="1:2">
      <c r="A7349" s="136" t="str">
        <f t="shared" si="74"/>
        <v/>
      </c>
      <c r="B7349" s="136" t="str">
        <f t="shared" si="75"/>
        <v/>
      </c>
    </row>
    <row r="7350" spans="1:2">
      <c r="A7350" s="136" t="str">
        <f t="shared" si="74"/>
        <v/>
      </c>
      <c r="B7350" s="136" t="str">
        <f t="shared" si="75"/>
        <v/>
      </c>
    </row>
    <row r="7351" spans="1:2">
      <c r="A7351" s="136" t="str">
        <f t="shared" si="74"/>
        <v/>
      </c>
      <c r="B7351" s="136" t="str">
        <f t="shared" si="75"/>
        <v/>
      </c>
    </row>
    <row r="7352" spans="1:2">
      <c r="A7352" s="136" t="str">
        <f t="shared" si="74"/>
        <v/>
      </c>
      <c r="B7352" s="136" t="str">
        <f t="shared" si="75"/>
        <v/>
      </c>
    </row>
    <row r="7353" spans="1:2">
      <c r="A7353" s="136" t="str">
        <f t="shared" si="74"/>
        <v/>
      </c>
      <c r="B7353" s="136" t="str">
        <f t="shared" si="75"/>
        <v/>
      </c>
    </row>
    <row r="7354" spans="1:2">
      <c r="A7354" s="136" t="str">
        <f t="shared" si="74"/>
        <v/>
      </c>
      <c r="B7354" s="136" t="str">
        <f t="shared" si="75"/>
        <v/>
      </c>
    </row>
    <row r="7355" spans="1:2">
      <c r="A7355" s="136" t="str">
        <f t="shared" si="74"/>
        <v/>
      </c>
      <c r="B7355" s="136" t="str">
        <f t="shared" si="75"/>
        <v/>
      </c>
    </row>
    <row r="7356" spans="1:2">
      <c r="A7356" s="136" t="str">
        <f t="shared" si="74"/>
        <v/>
      </c>
      <c r="B7356" s="136" t="str">
        <f t="shared" si="75"/>
        <v/>
      </c>
    </row>
    <row r="7357" spans="1:2">
      <c r="A7357" s="136" t="str">
        <f t="shared" si="74"/>
        <v/>
      </c>
      <c r="B7357" s="136" t="str">
        <f t="shared" si="75"/>
        <v/>
      </c>
    </row>
    <row r="7358" spans="1:2">
      <c r="A7358" s="136" t="str">
        <f t="shared" si="74"/>
        <v/>
      </c>
      <c r="B7358" s="136" t="str">
        <f t="shared" si="75"/>
        <v/>
      </c>
    </row>
    <row r="7359" spans="1:2">
      <c r="A7359" s="136" t="str">
        <f t="shared" si="74"/>
        <v/>
      </c>
      <c r="B7359" s="136" t="str">
        <f t="shared" si="75"/>
        <v/>
      </c>
    </row>
    <row r="7360" spans="1:2">
      <c r="A7360" s="136" t="str">
        <f t="shared" si="74"/>
        <v/>
      </c>
      <c r="B7360" s="136" t="str">
        <f t="shared" si="75"/>
        <v/>
      </c>
    </row>
    <row r="7361" spans="1:2">
      <c r="A7361" s="136" t="str">
        <f t="shared" si="74"/>
        <v/>
      </c>
      <c r="B7361" s="136" t="str">
        <f t="shared" si="75"/>
        <v/>
      </c>
    </row>
    <row r="7362" spans="1:2">
      <c r="A7362" s="136" t="str">
        <f t="shared" si="74"/>
        <v/>
      </c>
      <c r="B7362" s="136" t="str">
        <f t="shared" si="75"/>
        <v/>
      </c>
    </row>
    <row r="7363" spans="1:2">
      <c r="A7363" s="136" t="str">
        <f t="shared" si="74"/>
        <v/>
      </c>
      <c r="B7363" s="136" t="str">
        <f t="shared" si="75"/>
        <v/>
      </c>
    </row>
    <row r="7364" spans="1:2">
      <c r="A7364" s="136" t="str">
        <f t="shared" si="74"/>
        <v/>
      </c>
      <c r="B7364" s="136" t="str">
        <f t="shared" si="75"/>
        <v/>
      </c>
    </row>
    <row r="7365" spans="1:2">
      <c r="A7365" s="136" t="str">
        <f t="shared" si="74"/>
        <v/>
      </c>
      <c r="B7365" s="136" t="str">
        <f t="shared" si="75"/>
        <v/>
      </c>
    </row>
    <row r="7366" spans="1:2">
      <c r="A7366" s="136" t="str">
        <f t="shared" si="74"/>
        <v/>
      </c>
      <c r="B7366" s="136" t="str">
        <f t="shared" si="75"/>
        <v/>
      </c>
    </row>
    <row r="7367" spans="1:2">
      <c r="A7367" s="136" t="str">
        <f t="shared" si="74"/>
        <v/>
      </c>
      <c r="B7367" s="136" t="str">
        <f t="shared" si="75"/>
        <v/>
      </c>
    </row>
    <row r="7368" spans="1:2">
      <c r="A7368" s="136" t="str">
        <f t="shared" si="74"/>
        <v/>
      </c>
      <c r="B7368" s="136" t="str">
        <f t="shared" si="75"/>
        <v/>
      </c>
    </row>
    <row r="7369" spans="1:2">
      <c r="A7369" s="136" t="str">
        <f t="shared" si="74"/>
        <v/>
      </c>
      <c r="B7369" s="136" t="str">
        <f t="shared" si="75"/>
        <v/>
      </c>
    </row>
    <row r="7370" spans="1:2">
      <c r="A7370" s="136" t="str">
        <f t="shared" si="74"/>
        <v/>
      </c>
      <c r="B7370" s="136" t="str">
        <f t="shared" si="75"/>
        <v/>
      </c>
    </row>
    <row r="7371" spans="1:2">
      <c r="A7371" s="136" t="str">
        <f t="shared" si="74"/>
        <v/>
      </c>
      <c r="B7371" s="136" t="str">
        <f t="shared" si="75"/>
        <v/>
      </c>
    </row>
    <row r="7372" spans="1:2">
      <c r="A7372" s="136" t="str">
        <f t="shared" si="74"/>
        <v/>
      </c>
      <c r="B7372" s="136" t="str">
        <f t="shared" si="75"/>
        <v/>
      </c>
    </row>
    <row r="7373" spans="1:2">
      <c r="A7373" s="136" t="str">
        <f t="shared" si="74"/>
        <v/>
      </c>
      <c r="B7373" s="136" t="str">
        <f t="shared" si="75"/>
        <v/>
      </c>
    </row>
    <row r="7374" spans="1:2">
      <c r="A7374" s="136" t="str">
        <f t="shared" si="74"/>
        <v/>
      </c>
      <c r="B7374" s="136" t="str">
        <f t="shared" si="75"/>
        <v/>
      </c>
    </row>
    <row r="7375" spans="1:2">
      <c r="A7375" s="136" t="str">
        <f t="shared" si="74"/>
        <v/>
      </c>
      <c r="B7375" s="136" t="str">
        <f t="shared" si="75"/>
        <v/>
      </c>
    </row>
    <row r="7376" spans="1:2">
      <c r="A7376" s="136" t="str">
        <f t="shared" si="74"/>
        <v/>
      </c>
      <c r="B7376" s="136" t="str">
        <f t="shared" si="75"/>
        <v/>
      </c>
    </row>
    <row r="7377" spans="1:2">
      <c r="A7377" s="136" t="str">
        <f t="shared" si="74"/>
        <v/>
      </c>
      <c r="B7377" s="136" t="str">
        <f t="shared" si="75"/>
        <v/>
      </c>
    </row>
    <row r="7378" spans="1:2">
      <c r="A7378" s="136" t="str">
        <f t="shared" si="74"/>
        <v/>
      </c>
      <c r="B7378" s="136" t="str">
        <f t="shared" si="75"/>
        <v/>
      </c>
    </row>
    <row r="7379" spans="1:2">
      <c r="A7379" s="136" t="str">
        <f t="shared" si="74"/>
        <v/>
      </c>
      <c r="B7379" s="136" t="str">
        <f t="shared" si="75"/>
        <v/>
      </c>
    </row>
    <row r="7380" spans="1:2">
      <c r="A7380" s="136" t="str">
        <f t="shared" si="74"/>
        <v/>
      </c>
      <c r="B7380" s="136" t="str">
        <f t="shared" si="75"/>
        <v/>
      </c>
    </row>
    <row r="7381" spans="1:2">
      <c r="A7381" s="136" t="str">
        <f t="shared" ref="A7381:A7444" si="76">HYPERLINK("http://tw.stock.yahoo.com/q/ta?s=","")</f>
        <v/>
      </c>
      <c r="B7381" s="136" t="str">
        <f t="shared" ref="B7381:B7444" si="77">HYPERLINK("http://tw.stock.yahoo.com/d/s/earning_.html","")</f>
        <v/>
      </c>
    </row>
    <row r="7382" spans="1:2">
      <c r="A7382" s="136" t="str">
        <f t="shared" si="76"/>
        <v/>
      </c>
      <c r="B7382" s="136" t="str">
        <f t="shared" si="77"/>
        <v/>
      </c>
    </row>
    <row r="7383" spans="1:2">
      <c r="A7383" s="136" t="str">
        <f t="shared" si="76"/>
        <v/>
      </c>
      <c r="B7383" s="136" t="str">
        <f t="shared" si="77"/>
        <v/>
      </c>
    </row>
    <row r="7384" spans="1:2">
      <c r="A7384" s="136" t="str">
        <f t="shared" si="76"/>
        <v/>
      </c>
      <c r="B7384" s="136" t="str">
        <f t="shared" si="77"/>
        <v/>
      </c>
    </row>
    <row r="7385" spans="1:2">
      <c r="A7385" s="136" t="str">
        <f t="shared" si="76"/>
        <v/>
      </c>
      <c r="B7385" s="136" t="str">
        <f t="shared" si="77"/>
        <v/>
      </c>
    </row>
    <row r="7386" spans="1:2">
      <c r="A7386" s="136" t="str">
        <f t="shared" si="76"/>
        <v/>
      </c>
      <c r="B7386" s="136" t="str">
        <f t="shared" si="77"/>
        <v/>
      </c>
    </row>
    <row r="7387" spans="1:2">
      <c r="A7387" s="136" t="str">
        <f t="shared" si="76"/>
        <v/>
      </c>
      <c r="B7387" s="136" t="str">
        <f t="shared" si="77"/>
        <v/>
      </c>
    </row>
    <row r="7388" spans="1:2">
      <c r="A7388" s="136" t="str">
        <f t="shared" si="76"/>
        <v/>
      </c>
      <c r="B7388" s="136" t="str">
        <f t="shared" si="77"/>
        <v/>
      </c>
    </row>
    <row r="7389" spans="1:2">
      <c r="A7389" s="136" t="str">
        <f t="shared" si="76"/>
        <v/>
      </c>
      <c r="B7389" s="136" t="str">
        <f t="shared" si="77"/>
        <v/>
      </c>
    </row>
    <row r="7390" spans="1:2">
      <c r="A7390" s="136" t="str">
        <f t="shared" si="76"/>
        <v/>
      </c>
      <c r="B7390" s="136" t="str">
        <f t="shared" si="77"/>
        <v/>
      </c>
    </row>
    <row r="7391" spans="1:2">
      <c r="A7391" s="136" t="str">
        <f t="shared" si="76"/>
        <v/>
      </c>
      <c r="B7391" s="136" t="str">
        <f t="shared" si="77"/>
        <v/>
      </c>
    </row>
    <row r="7392" spans="1:2">
      <c r="A7392" s="136" t="str">
        <f t="shared" si="76"/>
        <v/>
      </c>
      <c r="B7392" s="136" t="str">
        <f t="shared" si="77"/>
        <v/>
      </c>
    </row>
    <row r="7393" spans="1:2">
      <c r="A7393" s="136" t="str">
        <f t="shared" si="76"/>
        <v/>
      </c>
      <c r="B7393" s="136" t="str">
        <f t="shared" si="77"/>
        <v/>
      </c>
    </row>
    <row r="7394" spans="1:2">
      <c r="A7394" s="136" t="str">
        <f t="shared" si="76"/>
        <v/>
      </c>
      <c r="B7394" s="136" t="str">
        <f t="shared" si="77"/>
        <v/>
      </c>
    </row>
    <row r="7395" spans="1:2">
      <c r="A7395" s="136" t="str">
        <f t="shared" si="76"/>
        <v/>
      </c>
      <c r="B7395" s="136" t="str">
        <f t="shared" si="77"/>
        <v/>
      </c>
    </row>
    <row r="7396" spans="1:2">
      <c r="A7396" s="136" t="str">
        <f t="shared" si="76"/>
        <v/>
      </c>
      <c r="B7396" s="136" t="str">
        <f t="shared" si="77"/>
        <v/>
      </c>
    </row>
    <row r="7397" spans="1:2">
      <c r="A7397" s="136" t="str">
        <f t="shared" si="76"/>
        <v/>
      </c>
      <c r="B7397" s="136" t="str">
        <f t="shared" si="77"/>
        <v/>
      </c>
    </row>
    <row r="7398" spans="1:2">
      <c r="A7398" s="136" t="str">
        <f t="shared" si="76"/>
        <v/>
      </c>
      <c r="B7398" s="136" t="str">
        <f t="shared" si="77"/>
        <v/>
      </c>
    </row>
    <row r="7399" spans="1:2">
      <c r="A7399" s="136" t="str">
        <f t="shared" si="76"/>
        <v/>
      </c>
      <c r="B7399" s="136" t="str">
        <f t="shared" si="77"/>
        <v/>
      </c>
    </row>
    <row r="7400" spans="1:2">
      <c r="A7400" s="136" t="str">
        <f t="shared" si="76"/>
        <v/>
      </c>
      <c r="B7400" s="136" t="str">
        <f t="shared" si="77"/>
        <v/>
      </c>
    </row>
    <row r="7401" spans="1:2">
      <c r="A7401" s="136" t="str">
        <f t="shared" si="76"/>
        <v/>
      </c>
      <c r="B7401" s="136" t="str">
        <f t="shared" si="77"/>
        <v/>
      </c>
    </row>
    <row r="7402" spans="1:2">
      <c r="A7402" s="136" t="str">
        <f t="shared" si="76"/>
        <v/>
      </c>
      <c r="B7402" s="136" t="str">
        <f t="shared" si="77"/>
        <v/>
      </c>
    </row>
    <row r="7403" spans="1:2">
      <c r="A7403" s="136" t="str">
        <f t="shared" si="76"/>
        <v/>
      </c>
      <c r="B7403" s="136" t="str">
        <f t="shared" si="77"/>
        <v/>
      </c>
    </row>
    <row r="7404" spans="1:2">
      <c r="A7404" s="136" t="str">
        <f t="shared" si="76"/>
        <v/>
      </c>
      <c r="B7404" s="136" t="str">
        <f t="shared" si="77"/>
        <v/>
      </c>
    </row>
    <row r="7405" spans="1:2">
      <c r="A7405" s="136" t="str">
        <f t="shared" si="76"/>
        <v/>
      </c>
      <c r="B7405" s="136" t="str">
        <f t="shared" si="77"/>
        <v/>
      </c>
    </row>
    <row r="7406" spans="1:2">
      <c r="A7406" s="136" t="str">
        <f t="shared" si="76"/>
        <v/>
      </c>
      <c r="B7406" s="136" t="str">
        <f t="shared" si="77"/>
        <v/>
      </c>
    </row>
    <row r="7407" spans="1:2">
      <c r="A7407" s="136" t="str">
        <f t="shared" si="76"/>
        <v/>
      </c>
      <c r="B7407" s="136" t="str">
        <f t="shared" si="77"/>
        <v/>
      </c>
    </row>
    <row r="7408" spans="1:2">
      <c r="A7408" s="136" t="str">
        <f t="shared" si="76"/>
        <v/>
      </c>
      <c r="B7408" s="136" t="str">
        <f t="shared" si="77"/>
        <v/>
      </c>
    </row>
    <row r="7409" spans="1:2">
      <c r="A7409" s="136" t="str">
        <f t="shared" si="76"/>
        <v/>
      </c>
      <c r="B7409" s="136" t="str">
        <f t="shared" si="77"/>
        <v/>
      </c>
    </row>
    <row r="7410" spans="1:2">
      <c r="A7410" s="136" t="str">
        <f t="shared" si="76"/>
        <v/>
      </c>
      <c r="B7410" s="136" t="str">
        <f t="shared" si="77"/>
        <v/>
      </c>
    </row>
    <row r="7411" spans="1:2">
      <c r="A7411" s="136" t="str">
        <f t="shared" si="76"/>
        <v/>
      </c>
      <c r="B7411" s="136" t="str">
        <f t="shared" si="77"/>
        <v/>
      </c>
    </row>
    <row r="7412" spans="1:2">
      <c r="A7412" s="136" t="str">
        <f t="shared" si="76"/>
        <v/>
      </c>
      <c r="B7412" s="136" t="str">
        <f t="shared" si="77"/>
        <v/>
      </c>
    </row>
    <row r="7413" spans="1:2">
      <c r="A7413" s="136" t="str">
        <f t="shared" si="76"/>
        <v/>
      </c>
      <c r="B7413" s="136" t="str">
        <f t="shared" si="77"/>
        <v/>
      </c>
    </row>
    <row r="7414" spans="1:2">
      <c r="A7414" s="136" t="str">
        <f t="shared" si="76"/>
        <v/>
      </c>
      <c r="B7414" s="136" t="str">
        <f t="shared" si="77"/>
        <v/>
      </c>
    </row>
    <row r="7415" spans="1:2">
      <c r="A7415" s="136" t="str">
        <f t="shared" si="76"/>
        <v/>
      </c>
      <c r="B7415" s="136" t="str">
        <f t="shared" si="77"/>
        <v/>
      </c>
    </row>
    <row r="7416" spans="1:2">
      <c r="A7416" s="136" t="str">
        <f t="shared" si="76"/>
        <v/>
      </c>
      <c r="B7416" s="136" t="str">
        <f t="shared" si="77"/>
        <v/>
      </c>
    </row>
    <row r="7417" spans="1:2">
      <c r="A7417" s="136" t="str">
        <f t="shared" si="76"/>
        <v/>
      </c>
      <c r="B7417" s="136" t="str">
        <f t="shared" si="77"/>
        <v/>
      </c>
    </row>
    <row r="7418" spans="1:2">
      <c r="A7418" s="136" t="str">
        <f t="shared" si="76"/>
        <v/>
      </c>
      <c r="B7418" s="136" t="str">
        <f t="shared" si="77"/>
        <v/>
      </c>
    </row>
    <row r="7419" spans="1:2">
      <c r="A7419" s="136" t="str">
        <f t="shared" si="76"/>
        <v/>
      </c>
      <c r="B7419" s="136" t="str">
        <f t="shared" si="77"/>
        <v/>
      </c>
    </row>
    <row r="7420" spans="1:2">
      <c r="A7420" s="136" t="str">
        <f t="shared" si="76"/>
        <v/>
      </c>
      <c r="B7420" s="136" t="str">
        <f t="shared" si="77"/>
        <v/>
      </c>
    </row>
    <row r="7421" spans="1:2">
      <c r="A7421" s="136" t="str">
        <f t="shared" si="76"/>
        <v/>
      </c>
      <c r="B7421" s="136" t="str">
        <f t="shared" si="77"/>
        <v/>
      </c>
    </row>
    <row r="7422" spans="1:2">
      <c r="A7422" s="136" t="str">
        <f t="shared" si="76"/>
        <v/>
      </c>
      <c r="B7422" s="136" t="str">
        <f t="shared" si="77"/>
        <v/>
      </c>
    </row>
    <row r="7423" spans="1:2">
      <c r="A7423" s="136" t="str">
        <f t="shared" si="76"/>
        <v/>
      </c>
      <c r="B7423" s="136" t="str">
        <f t="shared" si="77"/>
        <v/>
      </c>
    </row>
    <row r="7424" spans="1:2">
      <c r="A7424" s="136" t="str">
        <f t="shared" si="76"/>
        <v/>
      </c>
      <c r="B7424" s="136" t="str">
        <f t="shared" si="77"/>
        <v/>
      </c>
    </row>
    <row r="7425" spans="1:2">
      <c r="A7425" s="136" t="str">
        <f t="shared" si="76"/>
        <v/>
      </c>
      <c r="B7425" s="136" t="str">
        <f t="shared" si="77"/>
        <v/>
      </c>
    </row>
    <row r="7426" spans="1:2">
      <c r="A7426" s="136" t="str">
        <f t="shared" si="76"/>
        <v/>
      </c>
      <c r="B7426" s="136" t="str">
        <f t="shared" si="77"/>
        <v/>
      </c>
    </row>
    <row r="7427" spans="1:2">
      <c r="A7427" s="136" t="str">
        <f t="shared" si="76"/>
        <v/>
      </c>
      <c r="B7427" s="136" t="str">
        <f t="shared" si="77"/>
        <v/>
      </c>
    </row>
    <row r="7428" spans="1:2">
      <c r="A7428" s="136" t="str">
        <f t="shared" si="76"/>
        <v/>
      </c>
      <c r="B7428" s="136" t="str">
        <f t="shared" si="77"/>
        <v/>
      </c>
    </row>
    <row r="7429" spans="1:2">
      <c r="A7429" s="136" t="str">
        <f t="shared" si="76"/>
        <v/>
      </c>
      <c r="B7429" s="136" t="str">
        <f t="shared" si="77"/>
        <v/>
      </c>
    </row>
    <row r="7430" spans="1:2">
      <c r="A7430" s="136" t="str">
        <f t="shared" si="76"/>
        <v/>
      </c>
      <c r="B7430" s="136" t="str">
        <f t="shared" si="77"/>
        <v/>
      </c>
    </row>
    <row r="7431" spans="1:2">
      <c r="A7431" s="136" t="str">
        <f t="shared" si="76"/>
        <v/>
      </c>
      <c r="B7431" s="136" t="str">
        <f t="shared" si="77"/>
        <v/>
      </c>
    </row>
    <row r="7432" spans="1:2">
      <c r="A7432" s="136" t="str">
        <f t="shared" si="76"/>
        <v/>
      </c>
      <c r="B7432" s="136" t="str">
        <f t="shared" si="77"/>
        <v/>
      </c>
    </row>
    <row r="7433" spans="1:2">
      <c r="A7433" s="136" t="str">
        <f t="shared" si="76"/>
        <v/>
      </c>
      <c r="B7433" s="136" t="str">
        <f t="shared" si="77"/>
        <v/>
      </c>
    </row>
    <row r="7434" spans="1:2">
      <c r="A7434" s="136" t="str">
        <f t="shared" si="76"/>
        <v/>
      </c>
      <c r="B7434" s="136" t="str">
        <f t="shared" si="77"/>
        <v/>
      </c>
    </row>
    <row r="7435" spans="1:2">
      <c r="A7435" s="136" t="str">
        <f t="shared" si="76"/>
        <v/>
      </c>
      <c r="B7435" s="136" t="str">
        <f t="shared" si="77"/>
        <v/>
      </c>
    </row>
    <row r="7436" spans="1:2">
      <c r="A7436" s="136" t="str">
        <f t="shared" si="76"/>
        <v/>
      </c>
      <c r="B7436" s="136" t="str">
        <f t="shared" si="77"/>
        <v/>
      </c>
    </row>
    <row r="7437" spans="1:2">
      <c r="A7437" s="136" t="str">
        <f t="shared" si="76"/>
        <v/>
      </c>
      <c r="B7437" s="136" t="str">
        <f t="shared" si="77"/>
        <v/>
      </c>
    </row>
    <row r="7438" spans="1:2">
      <c r="A7438" s="136" t="str">
        <f t="shared" si="76"/>
        <v/>
      </c>
      <c r="B7438" s="136" t="str">
        <f t="shared" si="77"/>
        <v/>
      </c>
    </row>
    <row r="7439" spans="1:2">
      <c r="A7439" s="136" t="str">
        <f t="shared" si="76"/>
        <v/>
      </c>
      <c r="B7439" s="136" t="str">
        <f t="shared" si="77"/>
        <v/>
      </c>
    </row>
    <row r="7440" spans="1:2">
      <c r="A7440" s="136" t="str">
        <f t="shared" si="76"/>
        <v/>
      </c>
      <c r="B7440" s="136" t="str">
        <f t="shared" si="77"/>
        <v/>
      </c>
    </row>
    <row r="7441" spans="1:2">
      <c r="A7441" s="136" t="str">
        <f t="shared" si="76"/>
        <v/>
      </c>
      <c r="B7441" s="136" t="str">
        <f t="shared" si="77"/>
        <v/>
      </c>
    </row>
    <row r="7442" spans="1:2">
      <c r="A7442" s="136" t="str">
        <f t="shared" si="76"/>
        <v/>
      </c>
      <c r="B7442" s="136" t="str">
        <f t="shared" si="77"/>
        <v/>
      </c>
    </row>
    <row r="7443" spans="1:2">
      <c r="A7443" s="136" t="str">
        <f t="shared" si="76"/>
        <v/>
      </c>
      <c r="B7443" s="136" t="str">
        <f t="shared" si="77"/>
        <v/>
      </c>
    </row>
    <row r="7444" spans="1:2">
      <c r="A7444" s="136" t="str">
        <f t="shared" si="76"/>
        <v/>
      </c>
      <c r="B7444" s="136" t="str">
        <f t="shared" si="77"/>
        <v/>
      </c>
    </row>
    <row r="7445" spans="1:2">
      <c r="A7445" s="136" t="str">
        <f t="shared" ref="A7445:A7508" si="78">HYPERLINK("http://tw.stock.yahoo.com/q/ta?s=","")</f>
        <v/>
      </c>
      <c r="B7445" s="136" t="str">
        <f t="shared" ref="B7445:B7508" si="79">HYPERLINK("http://tw.stock.yahoo.com/d/s/earning_.html","")</f>
        <v/>
      </c>
    </row>
    <row r="7446" spans="1:2">
      <c r="A7446" s="136" t="str">
        <f t="shared" si="78"/>
        <v/>
      </c>
      <c r="B7446" s="136" t="str">
        <f t="shared" si="79"/>
        <v/>
      </c>
    </row>
    <row r="7447" spans="1:2">
      <c r="A7447" s="136" t="str">
        <f t="shared" si="78"/>
        <v/>
      </c>
      <c r="B7447" s="136" t="str">
        <f t="shared" si="79"/>
        <v/>
      </c>
    </row>
    <row r="7448" spans="1:2">
      <c r="A7448" s="136" t="str">
        <f t="shared" si="78"/>
        <v/>
      </c>
      <c r="B7448" s="136" t="str">
        <f t="shared" si="79"/>
        <v/>
      </c>
    </row>
    <row r="7449" spans="1:2">
      <c r="A7449" s="136" t="str">
        <f t="shared" si="78"/>
        <v/>
      </c>
      <c r="B7449" s="136" t="str">
        <f t="shared" si="79"/>
        <v/>
      </c>
    </row>
    <row r="7450" spans="1:2">
      <c r="A7450" s="136" t="str">
        <f t="shared" si="78"/>
        <v/>
      </c>
      <c r="B7450" s="136" t="str">
        <f t="shared" si="79"/>
        <v/>
      </c>
    </row>
    <row r="7451" spans="1:2">
      <c r="A7451" s="136" t="str">
        <f t="shared" si="78"/>
        <v/>
      </c>
      <c r="B7451" s="136" t="str">
        <f t="shared" si="79"/>
        <v/>
      </c>
    </row>
    <row r="7452" spans="1:2">
      <c r="A7452" s="136" t="str">
        <f t="shared" si="78"/>
        <v/>
      </c>
      <c r="B7452" s="136" t="str">
        <f t="shared" si="79"/>
        <v/>
      </c>
    </row>
    <row r="7453" spans="1:2">
      <c r="A7453" s="136" t="str">
        <f t="shared" si="78"/>
        <v/>
      </c>
      <c r="B7453" s="136" t="str">
        <f t="shared" si="79"/>
        <v/>
      </c>
    </row>
    <row r="7454" spans="1:2">
      <c r="A7454" s="136" t="str">
        <f t="shared" si="78"/>
        <v/>
      </c>
      <c r="B7454" s="136" t="str">
        <f t="shared" si="79"/>
        <v/>
      </c>
    </row>
    <row r="7455" spans="1:2">
      <c r="A7455" s="136" t="str">
        <f t="shared" si="78"/>
        <v/>
      </c>
      <c r="B7455" s="136" t="str">
        <f t="shared" si="79"/>
        <v/>
      </c>
    </row>
    <row r="7456" spans="1:2">
      <c r="A7456" s="136" t="str">
        <f t="shared" si="78"/>
        <v/>
      </c>
      <c r="B7456" s="136" t="str">
        <f t="shared" si="79"/>
        <v/>
      </c>
    </row>
    <row r="7457" spans="1:2">
      <c r="A7457" s="136" t="str">
        <f t="shared" si="78"/>
        <v/>
      </c>
      <c r="B7457" s="136" t="str">
        <f t="shared" si="79"/>
        <v/>
      </c>
    </row>
    <row r="7458" spans="1:2">
      <c r="A7458" s="136" t="str">
        <f t="shared" si="78"/>
        <v/>
      </c>
      <c r="B7458" s="136" t="str">
        <f t="shared" si="79"/>
        <v/>
      </c>
    </row>
    <row r="7459" spans="1:2">
      <c r="A7459" s="136" t="str">
        <f t="shared" si="78"/>
        <v/>
      </c>
      <c r="B7459" s="136" t="str">
        <f t="shared" si="79"/>
        <v/>
      </c>
    </row>
    <row r="7460" spans="1:2">
      <c r="A7460" s="136" t="str">
        <f t="shared" si="78"/>
        <v/>
      </c>
      <c r="B7460" s="136" t="str">
        <f t="shared" si="79"/>
        <v/>
      </c>
    </row>
    <row r="7461" spans="1:2">
      <c r="A7461" s="136" t="str">
        <f t="shared" si="78"/>
        <v/>
      </c>
      <c r="B7461" s="136" t="str">
        <f t="shared" si="79"/>
        <v/>
      </c>
    </row>
    <row r="7462" spans="1:2">
      <c r="A7462" s="136" t="str">
        <f t="shared" si="78"/>
        <v/>
      </c>
      <c r="B7462" s="136" t="str">
        <f t="shared" si="79"/>
        <v/>
      </c>
    </row>
    <row r="7463" spans="1:2">
      <c r="A7463" s="136" t="str">
        <f t="shared" si="78"/>
        <v/>
      </c>
      <c r="B7463" s="136" t="str">
        <f t="shared" si="79"/>
        <v/>
      </c>
    </row>
    <row r="7464" spans="1:2">
      <c r="A7464" s="136" t="str">
        <f t="shared" si="78"/>
        <v/>
      </c>
      <c r="B7464" s="136" t="str">
        <f t="shared" si="79"/>
        <v/>
      </c>
    </row>
    <row r="7465" spans="1:2">
      <c r="A7465" s="136" t="str">
        <f t="shared" si="78"/>
        <v/>
      </c>
      <c r="B7465" s="136" t="str">
        <f t="shared" si="79"/>
        <v/>
      </c>
    </row>
    <row r="7466" spans="1:2">
      <c r="A7466" s="136" t="str">
        <f t="shared" si="78"/>
        <v/>
      </c>
      <c r="B7466" s="136" t="str">
        <f t="shared" si="79"/>
        <v/>
      </c>
    </row>
    <row r="7467" spans="1:2">
      <c r="A7467" s="136" t="str">
        <f t="shared" si="78"/>
        <v/>
      </c>
      <c r="B7467" s="136" t="str">
        <f t="shared" si="79"/>
        <v/>
      </c>
    </row>
    <row r="7468" spans="1:2">
      <c r="A7468" s="136" t="str">
        <f t="shared" si="78"/>
        <v/>
      </c>
      <c r="B7468" s="136" t="str">
        <f t="shared" si="79"/>
        <v/>
      </c>
    </row>
    <row r="7469" spans="1:2">
      <c r="A7469" s="136" t="str">
        <f t="shared" si="78"/>
        <v/>
      </c>
      <c r="B7469" s="136" t="str">
        <f t="shared" si="79"/>
        <v/>
      </c>
    </row>
    <row r="7470" spans="1:2">
      <c r="A7470" s="136" t="str">
        <f t="shared" si="78"/>
        <v/>
      </c>
      <c r="B7470" s="136" t="str">
        <f t="shared" si="79"/>
        <v/>
      </c>
    </row>
    <row r="7471" spans="1:2">
      <c r="A7471" s="136" t="str">
        <f t="shared" si="78"/>
        <v/>
      </c>
      <c r="B7471" s="136" t="str">
        <f t="shared" si="79"/>
        <v/>
      </c>
    </row>
    <row r="7472" spans="1:2">
      <c r="A7472" s="136" t="str">
        <f t="shared" si="78"/>
        <v/>
      </c>
      <c r="B7472" s="136" t="str">
        <f t="shared" si="79"/>
        <v/>
      </c>
    </row>
    <row r="7473" spans="1:2">
      <c r="A7473" s="136" t="str">
        <f t="shared" si="78"/>
        <v/>
      </c>
      <c r="B7473" s="136" t="str">
        <f t="shared" si="79"/>
        <v/>
      </c>
    </row>
    <row r="7474" spans="1:2">
      <c r="A7474" s="136" t="str">
        <f t="shared" si="78"/>
        <v/>
      </c>
      <c r="B7474" s="136" t="str">
        <f t="shared" si="79"/>
        <v/>
      </c>
    </row>
    <row r="7475" spans="1:2">
      <c r="A7475" s="136" t="str">
        <f t="shared" si="78"/>
        <v/>
      </c>
      <c r="B7475" s="136" t="str">
        <f t="shared" si="79"/>
        <v/>
      </c>
    </row>
    <row r="7476" spans="1:2">
      <c r="A7476" s="136" t="str">
        <f t="shared" si="78"/>
        <v/>
      </c>
      <c r="B7476" s="136" t="str">
        <f t="shared" si="79"/>
        <v/>
      </c>
    </row>
    <row r="7477" spans="1:2">
      <c r="A7477" s="136" t="str">
        <f t="shared" si="78"/>
        <v/>
      </c>
      <c r="B7477" s="136" t="str">
        <f t="shared" si="79"/>
        <v/>
      </c>
    </row>
    <row r="7478" spans="1:2">
      <c r="A7478" s="136" t="str">
        <f t="shared" si="78"/>
        <v/>
      </c>
      <c r="B7478" s="136" t="str">
        <f t="shared" si="79"/>
        <v/>
      </c>
    </row>
    <row r="7479" spans="1:2">
      <c r="A7479" s="136" t="str">
        <f t="shared" si="78"/>
        <v/>
      </c>
      <c r="B7479" s="136" t="str">
        <f t="shared" si="79"/>
        <v/>
      </c>
    </row>
    <row r="7480" spans="1:2">
      <c r="A7480" s="136" t="str">
        <f t="shared" si="78"/>
        <v/>
      </c>
      <c r="B7480" s="136" t="str">
        <f t="shared" si="79"/>
        <v/>
      </c>
    </row>
    <row r="7481" spans="1:2">
      <c r="A7481" s="136" t="str">
        <f t="shared" si="78"/>
        <v/>
      </c>
      <c r="B7481" s="136" t="str">
        <f t="shared" si="79"/>
        <v/>
      </c>
    </row>
    <row r="7482" spans="1:2">
      <c r="A7482" s="136" t="str">
        <f t="shared" si="78"/>
        <v/>
      </c>
      <c r="B7482" s="136" t="str">
        <f t="shared" si="79"/>
        <v/>
      </c>
    </row>
    <row r="7483" spans="1:2">
      <c r="A7483" s="136" t="str">
        <f t="shared" si="78"/>
        <v/>
      </c>
      <c r="B7483" s="136" t="str">
        <f t="shared" si="79"/>
        <v/>
      </c>
    </row>
    <row r="7484" spans="1:2">
      <c r="A7484" s="136" t="str">
        <f t="shared" si="78"/>
        <v/>
      </c>
      <c r="B7484" s="136" t="str">
        <f t="shared" si="79"/>
        <v/>
      </c>
    </row>
    <row r="7485" spans="1:2">
      <c r="A7485" s="136" t="str">
        <f t="shared" si="78"/>
        <v/>
      </c>
      <c r="B7485" s="136" t="str">
        <f t="shared" si="79"/>
        <v/>
      </c>
    </row>
    <row r="7486" spans="1:2">
      <c r="A7486" s="136" t="str">
        <f t="shared" si="78"/>
        <v/>
      </c>
      <c r="B7486" s="136" t="str">
        <f t="shared" si="79"/>
        <v/>
      </c>
    </row>
    <row r="7487" spans="1:2">
      <c r="A7487" s="136" t="str">
        <f t="shared" si="78"/>
        <v/>
      </c>
      <c r="B7487" s="136" t="str">
        <f t="shared" si="79"/>
        <v/>
      </c>
    </row>
    <row r="7488" spans="1:2">
      <c r="A7488" s="136" t="str">
        <f t="shared" si="78"/>
        <v/>
      </c>
      <c r="B7488" s="136" t="str">
        <f t="shared" si="79"/>
        <v/>
      </c>
    </row>
    <row r="7489" spans="1:2">
      <c r="A7489" s="136" t="str">
        <f t="shared" si="78"/>
        <v/>
      </c>
      <c r="B7489" s="136" t="str">
        <f t="shared" si="79"/>
        <v/>
      </c>
    </row>
    <row r="7490" spans="1:2">
      <c r="A7490" s="136" t="str">
        <f t="shared" si="78"/>
        <v/>
      </c>
      <c r="B7490" s="136" t="str">
        <f t="shared" si="79"/>
        <v/>
      </c>
    </row>
    <row r="7491" spans="1:2">
      <c r="A7491" s="136" t="str">
        <f t="shared" si="78"/>
        <v/>
      </c>
      <c r="B7491" s="136" t="str">
        <f t="shared" si="79"/>
        <v/>
      </c>
    </row>
    <row r="7492" spans="1:2">
      <c r="A7492" s="136" t="str">
        <f t="shared" si="78"/>
        <v/>
      </c>
      <c r="B7492" s="136" t="str">
        <f t="shared" si="79"/>
        <v/>
      </c>
    </row>
    <row r="7493" spans="1:2">
      <c r="A7493" s="136" t="str">
        <f t="shared" si="78"/>
        <v/>
      </c>
      <c r="B7493" s="136" t="str">
        <f t="shared" si="79"/>
        <v/>
      </c>
    </row>
    <row r="7494" spans="1:2">
      <c r="A7494" s="136" t="str">
        <f t="shared" si="78"/>
        <v/>
      </c>
      <c r="B7494" s="136" t="str">
        <f t="shared" si="79"/>
        <v/>
      </c>
    </row>
    <row r="7495" spans="1:2">
      <c r="A7495" s="136" t="str">
        <f t="shared" si="78"/>
        <v/>
      </c>
      <c r="B7495" s="136" t="str">
        <f t="shared" si="79"/>
        <v/>
      </c>
    </row>
    <row r="7496" spans="1:2">
      <c r="A7496" s="136" t="str">
        <f t="shared" si="78"/>
        <v/>
      </c>
      <c r="B7496" s="136" t="str">
        <f t="shared" si="79"/>
        <v/>
      </c>
    </row>
    <row r="7497" spans="1:2">
      <c r="A7497" s="136" t="str">
        <f t="shared" si="78"/>
        <v/>
      </c>
      <c r="B7497" s="136" t="str">
        <f t="shared" si="79"/>
        <v/>
      </c>
    </row>
    <row r="7498" spans="1:2">
      <c r="A7498" s="136" t="str">
        <f t="shared" si="78"/>
        <v/>
      </c>
      <c r="B7498" s="136" t="str">
        <f t="shared" si="79"/>
        <v/>
      </c>
    </row>
    <row r="7499" spans="1:2">
      <c r="A7499" s="136" t="str">
        <f t="shared" si="78"/>
        <v/>
      </c>
      <c r="B7499" s="136" t="str">
        <f t="shared" si="79"/>
        <v/>
      </c>
    </row>
    <row r="7500" spans="1:2">
      <c r="A7500" s="136" t="str">
        <f t="shared" si="78"/>
        <v/>
      </c>
      <c r="B7500" s="136" t="str">
        <f t="shared" si="79"/>
        <v/>
      </c>
    </row>
    <row r="7501" spans="1:2">
      <c r="A7501" s="136" t="str">
        <f t="shared" si="78"/>
        <v/>
      </c>
      <c r="B7501" s="136" t="str">
        <f t="shared" si="79"/>
        <v/>
      </c>
    </row>
    <row r="7502" spans="1:2">
      <c r="A7502" s="136" t="str">
        <f t="shared" si="78"/>
        <v/>
      </c>
      <c r="B7502" s="136" t="str">
        <f t="shared" si="79"/>
        <v/>
      </c>
    </row>
    <row r="7503" spans="1:2">
      <c r="A7503" s="136" t="str">
        <f t="shared" si="78"/>
        <v/>
      </c>
      <c r="B7503" s="136" t="str">
        <f t="shared" si="79"/>
        <v/>
      </c>
    </row>
    <row r="7504" spans="1:2">
      <c r="A7504" s="136" t="str">
        <f t="shared" si="78"/>
        <v/>
      </c>
      <c r="B7504" s="136" t="str">
        <f t="shared" si="79"/>
        <v/>
      </c>
    </row>
    <row r="7505" spans="1:2">
      <c r="A7505" s="136" t="str">
        <f t="shared" si="78"/>
        <v/>
      </c>
      <c r="B7505" s="136" t="str">
        <f t="shared" si="79"/>
        <v/>
      </c>
    </row>
    <row r="7506" spans="1:2">
      <c r="A7506" s="136" t="str">
        <f t="shared" si="78"/>
        <v/>
      </c>
      <c r="B7506" s="136" t="str">
        <f t="shared" si="79"/>
        <v/>
      </c>
    </row>
    <row r="7507" spans="1:2">
      <c r="A7507" s="136" t="str">
        <f t="shared" si="78"/>
        <v/>
      </c>
      <c r="B7507" s="136" t="str">
        <f t="shared" si="79"/>
        <v/>
      </c>
    </row>
    <row r="7508" spans="1:2">
      <c r="A7508" s="136" t="str">
        <f t="shared" si="78"/>
        <v/>
      </c>
      <c r="B7508" s="136" t="str">
        <f t="shared" si="79"/>
        <v/>
      </c>
    </row>
    <row r="7509" spans="1:2">
      <c r="A7509" s="136" t="str">
        <f t="shared" ref="A7509:A7572" si="80">HYPERLINK("http://tw.stock.yahoo.com/q/ta?s=","")</f>
        <v/>
      </c>
      <c r="B7509" s="136" t="str">
        <f t="shared" ref="B7509:B7572" si="81">HYPERLINK("http://tw.stock.yahoo.com/d/s/earning_.html","")</f>
        <v/>
      </c>
    </row>
    <row r="7510" spans="1:2">
      <c r="A7510" s="136" t="str">
        <f t="shared" si="80"/>
        <v/>
      </c>
      <c r="B7510" s="136" t="str">
        <f t="shared" si="81"/>
        <v/>
      </c>
    </row>
    <row r="7511" spans="1:2">
      <c r="A7511" s="136" t="str">
        <f t="shared" si="80"/>
        <v/>
      </c>
      <c r="B7511" s="136" t="str">
        <f t="shared" si="81"/>
        <v/>
      </c>
    </row>
    <row r="7512" spans="1:2">
      <c r="A7512" s="136" t="str">
        <f t="shared" si="80"/>
        <v/>
      </c>
      <c r="B7512" s="136" t="str">
        <f t="shared" si="81"/>
        <v/>
      </c>
    </row>
    <row r="7513" spans="1:2">
      <c r="A7513" s="136" t="str">
        <f t="shared" si="80"/>
        <v/>
      </c>
      <c r="B7513" s="136" t="str">
        <f t="shared" si="81"/>
        <v/>
      </c>
    </row>
    <row r="7514" spans="1:2">
      <c r="A7514" s="136" t="str">
        <f t="shared" si="80"/>
        <v/>
      </c>
      <c r="B7514" s="136" t="str">
        <f t="shared" si="81"/>
        <v/>
      </c>
    </row>
    <row r="7515" spans="1:2">
      <c r="A7515" s="136" t="str">
        <f t="shared" si="80"/>
        <v/>
      </c>
      <c r="B7515" s="136" t="str">
        <f t="shared" si="81"/>
        <v/>
      </c>
    </row>
    <row r="7516" spans="1:2">
      <c r="A7516" s="136" t="str">
        <f t="shared" si="80"/>
        <v/>
      </c>
      <c r="B7516" s="136" t="str">
        <f t="shared" si="81"/>
        <v/>
      </c>
    </row>
    <row r="7517" spans="1:2">
      <c r="A7517" s="136" t="str">
        <f t="shared" si="80"/>
        <v/>
      </c>
      <c r="B7517" s="136" t="str">
        <f t="shared" si="81"/>
        <v/>
      </c>
    </row>
    <row r="7518" spans="1:2">
      <c r="A7518" s="136" t="str">
        <f t="shared" si="80"/>
        <v/>
      </c>
      <c r="B7518" s="136" t="str">
        <f t="shared" si="81"/>
        <v/>
      </c>
    </row>
    <row r="7519" spans="1:2">
      <c r="A7519" s="136" t="str">
        <f t="shared" si="80"/>
        <v/>
      </c>
      <c r="B7519" s="136" t="str">
        <f t="shared" si="81"/>
        <v/>
      </c>
    </row>
    <row r="7520" spans="1:2">
      <c r="A7520" s="136" t="str">
        <f t="shared" si="80"/>
        <v/>
      </c>
      <c r="B7520" s="136" t="str">
        <f t="shared" si="81"/>
        <v/>
      </c>
    </row>
    <row r="7521" spans="1:2">
      <c r="A7521" s="136" t="str">
        <f t="shared" si="80"/>
        <v/>
      </c>
      <c r="B7521" s="136" t="str">
        <f t="shared" si="81"/>
        <v/>
      </c>
    </row>
    <row r="7522" spans="1:2">
      <c r="A7522" s="136" t="str">
        <f t="shared" si="80"/>
        <v/>
      </c>
      <c r="B7522" s="136" t="str">
        <f t="shared" si="81"/>
        <v/>
      </c>
    </row>
    <row r="7523" spans="1:2">
      <c r="A7523" s="136" t="str">
        <f t="shared" si="80"/>
        <v/>
      </c>
      <c r="B7523" s="136" t="str">
        <f t="shared" si="81"/>
        <v/>
      </c>
    </row>
    <row r="7524" spans="1:2">
      <c r="A7524" s="136" t="str">
        <f t="shared" si="80"/>
        <v/>
      </c>
      <c r="B7524" s="136" t="str">
        <f t="shared" si="81"/>
        <v/>
      </c>
    </row>
    <row r="7525" spans="1:2">
      <c r="A7525" s="136" t="str">
        <f t="shared" si="80"/>
        <v/>
      </c>
      <c r="B7525" s="136" t="str">
        <f t="shared" si="81"/>
        <v/>
      </c>
    </row>
    <row r="7526" spans="1:2">
      <c r="A7526" s="136" t="str">
        <f t="shared" si="80"/>
        <v/>
      </c>
      <c r="B7526" s="136" t="str">
        <f t="shared" si="81"/>
        <v/>
      </c>
    </row>
    <row r="7527" spans="1:2">
      <c r="A7527" s="136" t="str">
        <f t="shared" si="80"/>
        <v/>
      </c>
      <c r="B7527" s="136" t="str">
        <f t="shared" si="81"/>
        <v/>
      </c>
    </row>
    <row r="7528" spans="1:2">
      <c r="A7528" s="136" t="str">
        <f t="shared" si="80"/>
        <v/>
      </c>
      <c r="B7528" s="136" t="str">
        <f t="shared" si="81"/>
        <v/>
      </c>
    </row>
    <row r="7529" spans="1:2">
      <c r="A7529" s="136" t="str">
        <f t="shared" si="80"/>
        <v/>
      </c>
      <c r="B7529" s="136" t="str">
        <f t="shared" si="81"/>
        <v/>
      </c>
    </row>
    <row r="7530" spans="1:2">
      <c r="A7530" s="136" t="str">
        <f t="shared" si="80"/>
        <v/>
      </c>
      <c r="B7530" s="136" t="str">
        <f t="shared" si="81"/>
        <v/>
      </c>
    </row>
    <row r="7531" spans="1:2">
      <c r="A7531" s="136" t="str">
        <f t="shared" si="80"/>
        <v/>
      </c>
      <c r="B7531" s="136" t="str">
        <f t="shared" si="81"/>
        <v/>
      </c>
    </row>
    <row r="7532" spans="1:2">
      <c r="A7532" s="136" t="str">
        <f t="shared" si="80"/>
        <v/>
      </c>
      <c r="B7532" s="136" t="str">
        <f t="shared" si="81"/>
        <v/>
      </c>
    </row>
    <row r="7533" spans="1:2">
      <c r="A7533" s="136" t="str">
        <f t="shared" si="80"/>
        <v/>
      </c>
      <c r="B7533" s="136" t="str">
        <f t="shared" si="81"/>
        <v/>
      </c>
    </row>
    <row r="7534" spans="1:2">
      <c r="A7534" s="136" t="str">
        <f t="shared" si="80"/>
        <v/>
      </c>
      <c r="B7534" s="136" t="str">
        <f t="shared" si="81"/>
        <v/>
      </c>
    </row>
    <row r="7535" spans="1:2">
      <c r="A7535" s="136" t="str">
        <f t="shared" si="80"/>
        <v/>
      </c>
      <c r="B7535" s="136" t="str">
        <f t="shared" si="81"/>
        <v/>
      </c>
    </row>
    <row r="7536" spans="1:2">
      <c r="A7536" s="136" t="str">
        <f t="shared" si="80"/>
        <v/>
      </c>
      <c r="B7536" s="136" t="str">
        <f t="shared" si="81"/>
        <v/>
      </c>
    </row>
    <row r="7537" spans="1:2">
      <c r="A7537" s="136" t="str">
        <f t="shared" si="80"/>
        <v/>
      </c>
      <c r="B7537" s="136" t="str">
        <f t="shared" si="81"/>
        <v/>
      </c>
    </row>
    <row r="7538" spans="1:2">
      <c r="A7538" s="136" t="str">
        <f t="shared" si="80"/>
        <v/>
      </c>
      <c r="B7538" s="136" t="str">
        <f t="shared" si="81"/>
        <v/>
      </c>
    </row>
    <row r="7539" spans="1:2">
      <c r="A7539" s="136" t="str">
        <f t="shared" si="80"/>
        <v/>
      </c>
      <c r="B7539" s="136" t="str">
        <f t="shared" si="81"/>
        <v/>
      </c>
    </row>
    <row r="7540" spans="1:2">
      <c r="A7540" s="136" t="str">
        <f t="shared" si="80"/>
        <v/>
      </c>
      <c r="B7540" s="136" t="str">
        <f t="shared" si="81"/>
        <v/>
      </c>
    </row>
    <row r="7541" spans="1:2">
      <c r="A7541" s="136" t="str">
        <f t="shared" si="80"/>
        <v/>
      </c>
      <c r="B7541" s="136" t="str">
        <f t="shared" si="81"/>
        <v/>
      </c>
    </row>
    <row r="7542" spans="1:2">
      <c r="A7542" s="136" t="str">
        <f t="shared" si="80"/>
        <v/>
      </c>
      <c r="B7542" s="136" t="str">
        <f t="shared" si="81"/>
        <v/>
      </c>
    </row>
    <row r="7543" spans="1:2">
      <c r="A7543" s="136" t="str">
        <f t="shared" si="80"/>
        <v/>
      </c>
      <c r="B7543" s="136" t="str">
        <f t="shared" si="81"/>
        <v/>
      </c>
    </row>
    <row r="7544" spans="1:2">
      <c r="A7544" s="136" t="str">
        <f t="shared" si="80"/>
        <v/>
      </c>
      <c r="B7544" s="136" t="str">
        <f t="shared" si="81"/>
        <v/>
      </c>
    </row>
    <row r="7545" spans="1:2">
      <c r="A7545" s="136" t="str">
        <f t="shared" si="80"/>
        <v/>
      </c>
      <c r="B7545" s="136" t="str">
        <f t="shared" si="81"/>
        <v/>
      </c>
    </row>
    <row r="7546" spans="1:2">
      <c r="A7546" s="136" t="str">
        <f t="shared" si="80"/>
        <v/>
      </c>
      <c r="B7546" s="136" t="str">
        <f t="shared" si="81"/>
        <v/>
      </c>
    </row>
    <row r="7547" spans="1:2">
      <c r="A7547" s="136" t="str">
        <f t="shared" si="80"/>
        <v/>
      </c>
      <c r="B7547" s="136" t="str">
        <f t="shared" si="81"/>
        <v/>
      </c>
    </row>
    <row r="7548" spans="1:2">
      <c r="A7548" s="136" t="str">
        <f t="shared" si="80"/>
        <v/>
      </c>
      <c r="B7548" s="136" t="str">
        <f t="shared" si="81"/>
        <v/>
      </c>
    </row>
    <row r="7549" spans="1:2">
      <c r="A7549" s="136" t="str">
        <f t="shared" si="80"/>
        <v/>
      </c>
      <c r="B7549" s="136" t="str">
        <f t="shared" si="81"/>
        <v/>
      </c>
    </row>
    <row r="7550" spans="1:2">
      <c r="A7550" s="136" t="str">
        <f t="shared" si="80"/>
        <v/>
      </c>
      <c r="B7550" s="136" t="str">
        <f t="shared" si="81"/>
        <v/>
      </c>
    </row>
    <row r="7551" spans="1:2">
      <c r="A7551" s="136" t="str">
        <f t="shared" si="80"/>
        <v/>
      </c>
      <c r="B7551" s="136" t="str">
        <f t="shared" si="81"/>
        <v/>
      </c>
    </row>
    <row r="7552" spans="1:2">
      <c r="A7552" s="136" t="str">
        <f t="shared" si="80"/>
        <v/>
      </c>
      <c r="B7552" s="136" t="str">
        <f t="shared" si="81"/>
        <v/>
      </c>
    </row>
    <row r="7553" spans="1:2">
      <c r="A7553" s="136" t="str">
        <f t="shared" si="80"/>
        <v/>
      </c>
      <c r="B7553" s="136" t="str">
        <f t="shared" si="81"/>
        <v/>
      </c>
    </row>
    <row r="7554" spans="1:2">
      <c r="A7554" s="136" t="str">
        <f t="shared" si="80"/>
        <v/>
      </c>
      <c r="B7554" s="136" t="str">
        <f t="shared" si="81"/>
        <v/>
      </c>
    </row>
    <row r="7555" spans="1:2">
      <c r="A7555" s="136" t="str">
        <f t="shared" si="80"/>
        <v/>
      </c>
      <c r="B7555" s="136" t="str">
        <f t="shared" si="81"/>
        <v/>
      </c>
    </row>
    <row r="7556" spans="1:2">
      <c r="A7556" s="136" t="str">
        <f t="shared" si="80"/>
        <v/>
      </c>
      <c r="B7556" s="136" t="str">
        <f t="shared" si="81"/>
        <v/>
      </c>
    </row>
    <row r="7557" spans="1:2">
      <c r="A7557" s="136" t="str">
        <f t="shared" si="80"/>
        <v/>
      </c>
      <c r="B7557" s="136" t="str">
        <f t="shared" si="81"/>
        <v/>
      </c>
    </row>
    <row r="7558" spans="1:2">
      <c r="A7558" s="136" t="str">
        <f t="shared" si="80"/>
        <v/>
      </c>
      <c r="B7558" s="136" t="str">
        <f t="shared" si="81"/>
        <v/>
      </c>
    </row>
    <row r="7559" spans="1:2">
      <c r="A7559" s="136" t="str">
        <f t="shared" si="80"/>
        <v/>
      </c>
      <c r="B7559" s="136" t="str">
        <f t="shared" si="81"/>
        <v/>
      </c>
    </row>
    <row r="7560" spans="1:2">
      <c r="A7560" s="136" t="str">
        <f t="shared" si="80"/>
        <v/>
      </c>
      <c r="B7560" s="136" t="str">
        <f t="shared" si="81"/>
        <v/>
      </c>
    </row>
    <row r="7561" spans="1:2">
      <c r="A7561" s="136" t="str">
        <f t="shared" si="80"/>
        <v/>
      </c>
      <c r="B7561" s="136" t="str">
        <f t="shared" si="81"/>
        <v/>
      </c>
    </row>
    <row r="7562" spans="1:2">
      <c r="A7562" s="136" t="str">
        <f t="shared" si="80"/>
        <v/>
      </c>
      <c r="B7562" s="136" t="str">
        <f t="shared" si="81"/>
        <v/>
      </c>
    </row>
    <row r="7563" spans="1:2">
      <c r="A7563" s="136" t="str">
        <f t="shared" si="80"/>
        <v/>
      </c>
      <c r="B7563" s="136" t="str">
        <f t="shared" si="81"/>
        <v/>
      </c>
    </row>
    <row r="7564" spans="1:2">
      <c r="A7564" s="136" t="str">
        <f t="shared" si="80"/>
        <v/>
      </c>
      <c r="B7564" s="136" t="str">
        <f t="shared" si="81"/>
        <v/>
      </c>
    </row>
    <row r="7565" spans="1:2">
      <c r="A7565" s="136" t="str">
        <f t="shared" si="80"/>
        <v/>
      </c>
      <c r="B7565" s="136" t="str">
        <f t="shared" si="81"/>
        <v/>
      </c>
    </row>
    <row r="7566" spans="1:2">
      <c r="A7566" s="136" t="str">
        <f t="shared" si="80"/>
        <v/>
      </c>
      <c r="B7566" s="136" t="str">
        <f t="shared" si="81"/>
        <v/>
      </c>
    </row>
    <row r="7567" spans="1:2">
      <c r="A7567" s="136" t="str">
        <f t="shared" si="80"/>
        <v/>
      </c>
      <c r="B7567" s="136" t="str">
        <f t="shared" si="81"/>
        <v/>
      </c>
    </row>
    <row r="7568" spans="1:2">
      <c r="A7568" s="136" t="str">
        <f t="shared" si="80"/>
        <v/>
      </c>
      <c r="B7568" s="136" t="str">
        <f t="shared" si="81"/>
        <v/>
      </c>
    </row>
    <row r="7569" spans="1:2">
      <c r="A7569" s="136" t="str">
        <f t="shared" si="80"/>
        <v/>
      </c>
      <c r="B7569" s="136" t="str">
        <f t="shared" si="81"/>
        <v/>
      </c>
    </row>
    <row r="7570" spans="1:2">
      <c r="A7570" s="136" t="str">
        <f t="shared" si="80"/>
        <v/>
      </c>
      <c r="B7570" s="136" t="str">
        <f t="shared" si="81"/>
        <v/>
      </c>
    </row>
    <row r="7571" spans="1:2">
      <c r="A7571" s="136" t="str">
        <f t="shared" si="80"/>
        <v/>
      </c>
      <c r="B7571" s="136" t="str">
        <f t="shared" si="81"/>
        <v/>
      </c>
    </row>
    <row r="7572" spans="1:2">
      <c r="A7572" s="136" t="str">
        <f t="shared" si="80"/>
        <v/>
      </c>
      <c r="B7572" s="136" t="str">
        <f t="shared" si="81"/>
        <v/>
      </c>
    </row>
    <row r="7573" spans="1:2">
      <c r="A7573" s="136" t="str">
        <f t="shared" ref="A7573:A7636" si="82">HYPERLINK("http://tw.stock.yahoo.com/q/ta?s=","")</f>
        <v/>
      </c>
      <c r="B7573" s="136" t="str">
        <f t="shared" ref="B7573:B7636" si="83">HYPERLINK("http://tw.stock.yahoo.com/d/s/earning_.html","")</f>
        <v/>
      </c>
    </row>
    <row r="7574" spans="1:2">
      <c r="A7574" s="136" t="str">
        <f t="shared" si="82"/>
        <v/>
      </c>
      <c r="B7574" s="136" t="str">
        <f t="shared" si="83"/>
        <v/>
      </c>
    </row>
    <row r="7575" spans="1:2">
      <c r="A7575" s="136" t="str">
        <f t="shared" si="82"/>
        <v/>
      </c>
      <c r="B7575" s="136" t="str">
        <f t="shared" si="83"/>
        <v/>
      </c>
    </row>
    <row r="7576" spans="1:2">
      <c r="A7576" s="136" t="str">
        <f t="shared" si="82"/>
        <v/>
      </c>
      <c r="B7576" s="136" t="str">
        <f t="shared" si="83"/>
        <v/>
      </c>
    </row>
    <row r="7577" spans="1:2">
      <c r="A7577" s="136" t="str">
        <f t="shared" si="82"/>
        <v/>
      </c>
      <c r="B7577" s="136" t="str">
        <f t="shared" si="83"/>
        <v/>
      </c>
    </row>
    <row r="7578" spans="1:2">
      <c r="A7578" s="136" t="str">
        <f t="shared" si="82"/>
        <v/>
      </c>
      <c r="B7578" s="136" t="str">
        <f t="shared" si="83"/>
        <v/>
      </c>
    </row>
    <row r="7579" spans="1:2">
      <c r="A7579" s="136" t="str">
        <f t="shared" si="82"/>
        <v/>
      </c>
      <c r="B7579" s="136" t="str">
        <f t="shared" si="83"/>
        <v/>
      </c>
    </row>
    <row r="7580" spans="1:2">
      <c r="A7580" s="136" t="str">
        <f t="shared" si="82"/>
        <v/>
      </c>
      <c r="B7580" s="136" t="str">
        <f t="shared" si="83"/>
        <v/>
      </c>
    </row>
    <row r="7581" spans="1:2">
      <c r="A7581" s="136" t="str">
        <f t="shared" si="82"/>
        <v/>
      </c>
      <c r="B7581" s="136" t="str">
        <f t="shared" si="83"/>
        <v/>
      </c>
    </row>
    <row r="7582" spans="1:2">
      <c r="A7582" s="136" t="str">
        <f t="shared" si="82"/>
        <v/>
      </c>
      <c r="B7582" s="136" t="str">
        <f t="shared" si="83"/>
        <v/>
      </c>
    </row>
    <row r="7583" spans="1:2">
      <c r="A7583" s="136" t="str">
        <f t="shared" si="82"/>
        <v/>
      </c>
      <c r="B7583" s="136" t="str">
        <f t="shared" si="83"/>
        <v/>
      </c>
    </row>
    <row r="7584" spans="1:2">
      <c r="A7584" s="136" t="str">
        <f t="shared" si="82"/>
        <v/>
      </c>
      <c r="B7584" s="136" t="str">
        <f t="shared" si="83"/>
        <v/>
      </c>
    </row>
    <row r="7585" spans="1:2">
      <c r="A7585" s="136" t="str">
        <f t="shared" si="82"/>
        <v/>
      </c>
      <c r="B7585" s="136" t="str">
        <f t="shared" si="83"/>
        <v/>
      </c>
    </row>
    <row r="7586" spans="1:2">
      <c r="A7586" s="136" t="str">
        <f t="shared" si="82"/>
        <v/>
      </c>
      <c r="B7586" s="136" t="str">
        <f t="shared" si="83"/>
        <v/>
      </c>
    </row>
    <row r="7587" spans="1:2">
      <c r="A7587" s="136" t="str">
        <f t="shared" si="82"/>
        <v/>
      </c>
      <c r="B7587" s="136" t="str">
        <f t="shared" si="83"/>
        <v/>
      </c>
    </row>
    <row r="7588" spans="1:2">
      <c r="A7588" s="136" t="str">
        <f t="shared" si="82"/>
        <v/>
      </c>
      <c r="B7588" s="136" t="str">
        <f t="shared" si="83"/>
        <v/>
      </c>
    </row>
    <row r="7589" spans="1:2">
      <c r="A7589" s="136" t="str">
        <f t="shared" si="82"/>
        <v/>
      </c>
      <c r="B7589" s="136" t="str">
        <f t="shared" si="83"/>
        <v/>
      </c>
    </row>
    <row r="7590" spans="1:2">
      <c r="A7590" s="136" t="str">
        <f t="shared" si="82"/>
        <v/>
      </c>
      <c r="B7590" s="136" t="str">
        <f t="shared" si="83"/>
        <v/>
      </c>
    </row>
    <row r="7591" spans="1:2">
      <c r="A7591" s="136" t="str">
        <f t="shared" si="82"/>
        <v/>
      </c>
      <c r="B7591" s="136" t="str">
        <f t="shared" si="83"/>
        <v/>
      </c>
    </row>
    <row r="7592" spans="1:2">
      <c r="A7592" s="136" t="str">
        <f t="shared" si="82"/>
        <v/>
      </c>
      <c r="B7592" s="136" t="str">
        <f t="shared" si="83"/>
        <v/>
      </c>
    </row>
    <row r="7593" spans="1:2">
      <c r="A7593" s="136" t="str">
        <f t="shared" si="82"/>
        <v/>
      </c>
      <c r="B7593" s="136" t="str">
        <f t="shared" si="83"/>
        <v/>
      </c>
    </row>
    <row r="7594" spans="1:2">
      <c r="A7594" s="136" t="str">
        <f t="shared" si="82"/>
        <v/>
      </c>
      <c r="B7594" s="136" t="str">
        <f t="shared" si="83"/>
        <v/>
      </c>
    </row>
    <row r="7595" spans="1:2">
      <c r="A7595" s="136" t="str">
        <f t="shared" si="82"/>
        <v/>
      </c>
      <c r="B7595" s="136" t="str">
        <f t="shared" si="83"/>
        <v/>
      </c>
    </row>
    <row r="7596" spans="1:2">
      <c r="A7596" s="136" t="str">
        <f t="shared" si="82"/>
        <v/>
      </c>
      <c r="B7596" s="136" t="str">
        <f t="shared" si="83"/>
        <v/>
      </c>
    </row>
    <row r="7597" spans="1:2">
      <c r="A7597" s="136" t="str">
        <f t="shared" si="82"/>
        <v/>
      </c>
      <c r="B7597" s="136" t="str">
        <f t="shared" si="83"/>
        <v/>
      </c>
    </row>
    <row r="7598" spans="1:2">
      <c r="A7598" s="136" t="str">
        <f t="shared" si="82"/>
        <v/>
      </c>
      <c r="B7598" s="136" t="str">
        <f t="shared" si="83"/>
        <v/>
      </c>
    </row>
    <row r="7599" spans="1:2">
      <c r="A7599" s="136" t="str">
        <f t="shared" si="82"/>
        <v/>
      </c>
      <c r="B7599" s="136" t="str">
        <f t="shared" si="83"/>
        <v/>
      </c>
    </row>
    <row r="7600" spans="1:2">
      <c r="A7600" s="136" t="str">
        <f t="shared" si="82"/>
        <v/>
      </c>
      <c r="B7600" s="136" t="str">
        <f t="shared" si="83"/>
        <v/>
      </c>
    </row>
    <row r="7601" spans="1:2">
      <c r="A7601" s="136" t="str">
        <f t="shared" si="82"/>
        <v/>
      </c>
      <c r="B7601" s="136" t="str">
        <f t="shared" si="83"/>
        <v/>
      </c>
    </row>
    <row r="7602" spans="1:2">
      <c r="A7602" s="136" t="str">
        <f t="shared" si="82"/>
        <v/>
      </c>
      <c r="B7602" s="136" t="str">
        <f t="shared" si="83"/>
        <v/>
      </c>
    </row>
    <row r="7603" spans="1:2">
      <c r="A7603" s="136" t="str">
        <f t="shared" si="82"/>
        <v/>
      </c>
      <c r="B7603" s="136" t="str">
        <f t="shared" si="83"/>
        <v/>
      </c>
    </row>
    <row r="7604" spans="1:2">
      <c r="A7604" s="136" t="str">
        <f t="shared" si="82"/>
        <v/>
      </c>
      <c r="B7604" s="136" t="str">
        <f t="shared" si="83"/>
        <v/>
      </c>
    </row>
    <row r="7605" spans="1:2">
      <c r="A7605" s="136" t="str">
        <f t="shared" si="82"/>
        <v/>
      </c>
      <c r="B7605" s="136" t="str">
        <f t="shared" si="83"/>
        <v/>
      </c>
    </row>
    <row r="7606" spans="1:2">
      <c r="A7606" s="136" t="str">
        <f t="shared" si="82"/>
        <v/>
      </c>
      <c r="B7606" s="136" t="str">
        <f t="shared" si="83"/>
        <v/>
      </c>
    </row>
    <row r="7607" spans="1:2">
      <c r="A7607" s="136" t="str">
        <f t="shared" si="82"/>
        <v/>
      </c>
      <c r="B7607" s="136" t="str">
        <f t="shared" si="83"/>
        <v/>
      </c>
    </row>
    <row r="7608" spans="1:2">
      <c r="A7608" s="136" t="str">
        <f t="shared" si="82"/>
        <v/>
      </c>
      <c r="B7608" s="136" t="str">
        <f t="shared" si="83"/>
        <v/>
      </c>
    </row>
    <row r="7609" spans="1:2">
      <c r="A7609" s="136" t="str">
        <f t="shared" si="82"/>
        <v/>
      </c>
      <c r="B7609" s="136" t="str">
        <f t="shared" si="83"/>
        <v/>
      </c>
    </row>
    <row r="7610" spans="1:2">
      <c r="A7610" s="136" t="str">
        <f t="shared" si="82"/>
        <v/>
      </c>
      <c r="B7610" s="136" t="str">
        <f t="shared" si="83"/>
        <v/>
      </c>
    </row>
    <row r="7611" spans="1:2">
      <c r="A7611" s="136" t="str">
        <f t="shared" si="82"/>
        <v/>
      </c>
      <c r="B7611" s="136" t="str">
        <f t="shared" si="83"/>
        <v/>
      </c>
    </row>
    <row r="7612" spans="1:2">
      <c r="A7612" s="136" t="str">
        <f t="shared" si="82"/>
        <v/>
      </c>
      <c r="B7612" s="136" t="str">
        <f t="shared" si="83"/>
        <v/>
      </c>
    </row>
    <row r="7613" spans="1:2">
      <c r="A7613" s="136" t="str">
        <f t="shared" si="82"/>
        <v/>
      </c>
      <c r="B7613" s="136" t="str">
        <f t="shared" si="83"/>
        <v/>
      </c>
    </row>
    <row r="7614" spans="1:2">
      <c r="A7614" s="136" t="str">
        <f t="shared" si="82"/>
        <v/>
      </c>
      <c r="B7614" s="136" t="str">
        <f t="shared" si="83"/>
        <v/>
      </c>
    </row>
    <row r="7615" spans="1:2">
      <c r="A7615" s="136" t="str">
        <f t="shared" si="82"/>
        <v/>
      </c>
      <c r="B7615" s="136" t="str">
        <f t="shared" si="83"/>
        <v/>
      </c>
    </row>
    <row r="7616" spans="1:2">
      <c r="A7616" s="136" t="str">
        <f t="shared" si="82"/>
        <v/>
      </c>
      <c r="B7616" s="136" t="str">
        <f t="shared" si="83"/>
        <v/>
      </c>
    </row>
    <row r="7617" spans="1:2">
      <c r="A7617" s="136" t="str">
        <f t="shared" si="82"/>
        <v/>
      </c>
      <c r="B7617" s="136" t="str">
        <f t="shared" si="83"/>
        <v/>
      </c>
    </row>
    <row r="7618" spans="1:2">
      <c r="A7618" s="136" t="str">
        <f t="shared" si="82"/>
        <v/>
      </c>
      <c r="B7618" s="136" t="str">
        <f t="shared" si="83"/>
        <v/>
      </c>
    </row>
    <row r="7619" spans="1:2">
      <c r="A7619" s="136" t="str">
        <f t="shared" si="82"/>
        <v/>
      </c>
      <c r="B7619" s="136" t="str">
        <f t="shared" si="83"/>
        <v/>
      </c>
    </row>
    <row r="7620" spans="1:2">
      <c r="A7620" s="136" t="str">
        <f t="shared" si="82"/>
        <v/>
      </c>
      <c r="B7620" s="136" t="str">
        <f t="shared" si="83"/>
        <v/>
      </c>
    </row>
    <row r="7621" spans="1:2">
      <c r="A7621" s="136" t="str">
        <f t="shared" si="82"/>
        <v/>
      </c>
      <c r="B7621" s="136" t="str">
        <f t="shared" si="83"/>
        <v/>
      </c>
    </row>
    <row r="7622" spans="1:2">
      <c r="A7622" s="136" t="str">
        <f t="shared" si="82"/>
        <v/>
      </c>
      <c r="B7622" s="136" t="str">
        <f t="shared" si="83"/>
        <v/>
      </c>
    </row>
    <row r="7623" spans="1:2">
      <c r="A7623" s="136" t="str">
        <f t="shared" si="82"/>
        <v/>
      </c>
      <c r="B7623" s="136" t="str">
        <f t="shared" si="83"/>
        <v/>
      </c>
    </row>
    <row r="7624" spans="1:2">
      <c r="A7624" s="136" t="str">
        <f t="shared" si="82"/>
        <v/>
      </c>
      <c r="B7624" s="136" t="str">
        <f t="shared" si="83"/>
        <v/>
      </c>
    </row>
    <row r="7625" spans="1:2">
      <c r="A7625" s="136" t="str">
        <f t="shared" si="82"/>
        <v/>
      </c>
      <c r="B7625" s="136" t="str">
        <f t="shared" si="83"/>
        <v/>
      </c>
    </row>
    <row r="7626" spans="1:2">
      <c r="A7626" s="136" t="str">
        <f t="shared" si="82"/>
        <v/>
      </c>
      <c r="B7626" s="136" t="str">
        <f t="shared" si="83"/>
        <v/>
      </c>
    </row>
    <row r="7627" spans="1:2">
      <c r="A7627" s="136" t="str">
        <f t="shared" si="82"/>
        <v/>
      </c>
      <c r="B7627" s="136" t="str">
        <f t="shared" si="83"/>
        <v/>
      </c>
    </row>
    <row r="7628" spans="1:2">
      <c r="A7628" s="136" t="str">
        <f t="shared" si="82"/>
        <v/>
      </c>
      <c r="B7628" s="136" t="str">
        <f t="shared" si="83"/>
        <v/>
      </c>
    </row>
    <row r="7629" spans="1:2">
      <c r="A7629" s="136" t="str">
        <f t="shared" si="82"/>
        <v/>
      </c>
      <c r="B7629" s="136" t="str">
        <f t="shared" si="83"/>
        <v/>
      </c>
    </row>
    <row r="7630" spans="1:2">
      <c r="A7630" s="136" t="str">
        <f t="shared" si="82"/>
        <v/>
      </c>
      <c r="B7630" s="136" t="str">
        <f t="shared" si="83"/>
        <v/>
      </c>
    </row>
    <row r="7631" spans="1:2">
      <c r="A7631" s="136" t="str">
        <f t="shared" si="82"/>
        <v/>
      </c>
      <c r="B7631" s="136" t="str">
        <f t="shared" si="83"/>
        <v/>
      </c>
    </row>
    <row r="7632" spans="1:2">
      <c r="A7632" s="136" t="str">
        <f t="shared" si="82"/>
        <v/>
      </c>
      <c r="B7632" s="136" t="str">
        <f t="shared" si="83"/>
        <v/>
      </c>
    </row>
    <row r="7633" spans="1:2">
      <c r="A7633" s="136" t="str">
        <f t="shared" si="82"/>
        <v/>
      </c>
      <c r="B7633" s="136" t="str">
        <f t="shared" si="83"/>
        <v/>
      </c>
    </row>
    <row r="7634" spans="1:2">
      <c r="A7634" s="136" t="str">
        <f t="shared" si="82"/>
        <v/>
      </c>
      <c r="B7634" s="136" t="str">
        <f t="shared" si="83"/>
        <v/>
      </c>
    </row>
    <row r="7635" spans="1:2">
      <c r="A7635" s="136" t="str">
        <f t="shared" si="82"/>
        <v/>
      </c>
      <c r="B7635" s="136" t="str">
        <f t="shared" si="83"/>
        <v/>
      </c>
    </row>
    <row r="7636" spans="1:2">
      <c r="A7636" s="136" t="str">
        <f t="shared" si="82"/>
        <v/>
      </c>
      <c r="B7636" s="136" t="str">
        <f t="shared" si="83"/>
        <v/>
      </c>
    </row>
    <row r="7637" spans="1:2">
      <c r="A7637" s="136" t="str">
        <f t="shared" ref="A7637:A7700" si="84">HYPERLINK("http://tw.stock.yahoo.com/q/ta?s=","")</f>
        <v/>
      </c>
      <c r="B7637" s="136" t="str">
        <f t="shared" ref="B7637:B7700" si="85">HYPERLINK("http://tw.stock.yahoo.com/d/s/earning_.html","")</f>
        <v/>
      </c>
    </row>
    <row r="7638" spans="1:2">
      <c r="A7638" s="136" t="str">
        <f t="shared" si="84"/>
        <v/>
      </c>
      <c r="B7638" s="136" t="str">
        <f t="shared" si="85"/>
        <v/>
      </c>
    </row>
    <row r="7639" spans="1:2">
      <c r="A7639" s="136" t="str">
        <f t="shared" si="84"/>
        <v/>
      </c>
      <c r="B7639" s="136" t="str">
        <f t="shared" si="85"/>
        <v/>
      </c>
    </row>
    <row r="7640" spans="1:2">
      <c r="A7640" s="136" t="str">
        <f t="shared" si="84"/>
        <v/>
      </c>
      <c r="B7640" s="136" t="str">
        <f t="shared" si="85"/>
        <v/>
      </c>
    </row>
    <row r="7641" spans="1:2">
      <c r="A7641" s="136" t="str">
        <f t="shared" si="84"/>
        <v/>
      </c>
      <c r="B7641" s="136" t="str">
        <f t="shared" si="85"/>
        <v/>
      </c>
    </row>
    <row r="7642" spans="1:2">
      <c r="A7642" s="136" t="str">
        <f t="shared" si="84"/>
        <v/>
      </c>
      <c r="B7642" s="136" t="str">
        <f t="shared" si="85"/>
        <v/>
      </c>
    </row>
    <row r="7643" spans="1:2">
      <c r="A7643" s="136" t="str">
        <f t="shared" si="84"/>
        <v/>
      </c>
      <c r="B7643" s="136" t="str">
        <f t="shared" si="85"/>
        <v/>
      </c>
    </row>
    <row r="7644" spans="1:2">
      <c r="A7644" s="136" t="str">
        <f t="shared" si="84"/>
        <v/>
      </c>
      <c r="B7644" s="136" t="str">
        <f t="shared" si="85"/>
        <v/>
      </c>
    </row>
    <row r="7645" spans="1:2">
      <c r="A7645" s="136" t="str">
        <f t="shared" si="84"/>
        <v/>
      </c>
      <c r="B7645" s="136" t="str">
        <f t="shared" si="85"/>
        <v/>
      </c>
    </row>
    <row r="7646" spans="1:2">
      <c r="A7646" s="136" t="str">
        <f t="shared" si="84"/>
        <v/>
      </c>
      <c r="B7646" s="136" t="str">
        <f t="shared" si="85"/>
        <v/>
      </c>
    </row>
    <row r="7647" spans="1:2">
      <c r="A7647" s="136" t="str">
        <f t="shared" si="84"/>
        <v/>
      </c>
      <c r="B7647" s="136" t="str">
        <f t="shared" si="85"/>
        <v/>
      </c>
    </row>
    <row r="7648" spans="1:2">
      <c r="A7648" s="136" t="str">
        <f t="shared" si="84"/>
        <v/>
      </c>
      <c r="B7648" s="136" t="str">
        <f t="shared" si="85"/>
        <v/>
      </c>
    </row>
    <row r="7649" spans="1:2">
      <c r="A7649" s="136" t="str">
        <f t="shared" si="84"/>
        <v/>
      </c>
      <c r="B7649" s="136" t="str">
        <f t="shared" si="85"/>
        <v/>
      </c>
    </row>
    <row r="7650" spans="1:2">
      <c r="A7650" s="136" t="str">
        <f t="shared" si="84"/>
        <v/>
      </c>
      <c r="B7650" s="136" t="str">
        <f t="shared" si="85"/>
        <v/>
      </c>
    </row>
    <row r="7651" spans="1:2">
      <c r="A7651" s="136" t="str">
        <f t="shared" si="84"/>
        <v/>
      </c>
      <c r="B7651" s="136" t="str">
        <f t="shared" si="85"/>
        <v/>
      </c>
    </row>
    <row r="7652" spans="1:2">
      <c r="A7652" s="136" t="str">
        <f t="shared" si="84"/>
        <v/>
      </c>
      <c r="B7652" s="136" t="str">
        <f t="shared" si="85"/>
        <v/>
      </c>
    </row>
    <row r="7653" spans="1:2">
      <c r="A7653" s="136" t="str">
        <f t="shared" si="84"/>
        <v/>
      </c>
      <c r="B7653" s="136" t="str">
        <f t="shared" si="85"/>
        <v/>
      </c>
    </row>
    <row r="7654" spans="1:2">
      <c r="A7654" s="136" t="str">
        <f t="shared" si="84"/>
        <v/>
      </c>
      <c r="B7654" s="136" t="str">
        <f t="shared" si="85"/>
        <v/>
      </c>
    </row>
    <row r="7655" spans="1:2">
      <c r="A7655" s="136" t="str">
        <f t="shared" si="84"/>
        <v/>
      </c>
      <c r="B7655" s="136" t="str">
        <f t="shared" si="85"/>
        <v/>
      </c>
    </row>
    <row r="7656" spans="1:2">
      <c r="A7656" s="136" t="str">
        <f t="shared" si="84"/>
        <v/>
      </c>
      <c r="B7656" s="136" t="str">
        <f t="shared" si="85"/>
        <v/>
      </c>
    </row>
    <row r="7657" spans="1:2">
      <c r="A7657" s="136" t="str">
        <f t="shared" si="84"/>
        <v/>
      </c>
      <c r="B7657" s="136" t="str">
        <f t="shared" si="85"/>
        <v/>
      </c>
    </row>
    <row r="7658" spans="1:2">
      <c r="A7658" s="136" t="str">
        <f t="shared" si="84"/>
        <v/>
      </c>
      <c r="B7658" s="136" t="str">
        <f t="shared" si="85"/>
        <v/>
      </c>
    </row>
    <row r="7659" spans="1:2">
      <c r="A7659" s="136" t="str">
        <f t="shared" si="84"/>
        <v/>
      </c>
      <c r="B7659" s="136" t="str">
        <f t="shared" si="85"/>
        <v/>
      </c>
    </row>
    <row r="7660" spans="1:2">
      <c r="A7660" s="136" t="str">
        <f t="shared" si="84"/>
        <v/>
      </c>
      <c r="B7660" s="136" t="str">
        <f t="shared" si="85"/>
        <v/>
      </c>
    </row>
    <row r="7661" spans="1:2">
      <c r="A7661" s="136" t="str">
        <f t="shared" si="84"/>
        <v/>
      </c>
      <c r="B7661" s="136" t="str">
        <f t="shared" si="85"/>
        <v/>
      </c>
    </row>
    <row r="7662" spans="1:2">
      <c r="A7662" s="136" t="str">
        <f t="shared" si="84"/>
        <v/>
      </c>
      <c r="B7662" s="136" t="str">
        <f t="shared" si="85"/>
        <v/>
      </c>
    </row>
    <row r="7663" spans="1:2">
      <c r="A7663" s="136" t="str">
        <f t="shared" si="84"/>
        <v/>
      </c>
      <c r="B7663" s="136" t="str">
        <f t="shared" si="85"/>
        <v/>
      </c>
    </row>
    <row r="7664" spans="1:2">
      <c r="A7664" s="136" t="str">
        <f t="shared" si="84"/>
        <v/>
      </c>
      <c r="B7664" s="136" t="str">
        <f t="shared" si="85"/>
        <v/>
      </c>
    </row>
    <row r="7665" spans="1:2">
      <c r="A7665" s="136" t="str">
        <f t="shared" si="84"/>
        <v/>
      </c>
      <c r="B7665" s="136" t="str">
        <f t="shared" si="85"/>
        <v/>
      </c>
    </row>
    <row r="7666" spans="1:2">
      <c r="A7666" s="136" t="str">
        <f t="shared" si="84"/>
        <v/>
      </c>
      <c r="B7666" s="136" t="str">
        <f t="shared" si="85"/>
        <v/>
      </c>
    </row>
    <row r="7667" spans="1:2">
      <c r="A7667" s="136" t="str">
        <f t="shared" si="84"/>
        <v/>
      </c>
      <c r="B7667" s="136" t="str">
        <f t="shared" si="85"/>
        <v/>
      </c>
    </row>
    <row r="7668" spans="1:2">
      <c r="A7668" s="136" t="str">
        <f t="shared" si="84"/>
        <v/>
      </c>
      <c r="B7668" s="136" t="str">
        <f t="shared" si="85"/>
        <v/>
      </c>
    </row>
    <row r="7669" spans="1:2">
      <c r="A7669" s="136" t="str">
        <f t="shared" si="84"/>
        <v/>
      </c>
      <c r="B7669" s="136" t="str">
        <f t="shared" si="85"/>
        <v/>
      </c>
    </row>
    <row r="7670" spans="1:2">
      <c r="A7670" s="136" t="str">
        <f t="shared" si="84"/>
        <v/>
      </c>
      <c r="B7670" s="136" t="str">
        <f t="shared" si="85"/>
        <v/>
      </c>
    </row>
    <row r="7671" spans="1:2">
      <c r="A7671" s="136" t="str">
        <f t="shared" si="84"/>
        <v/>
      </c>
      <c r="B7671" s="136" t="str">
        <f t="shared" si="85"/>
        <v/>
      </c>
    </row>
    <row r="7672" spans="1:2">
      <c r="A7672" s="136" t="str">
        <f t="shared" si="84"/>
        <v/>
      </c>
      <c r="B7672" s="136" t="str">
        <f t="shared" si="85"/>
        <v/>
      </c>
    </row>
    <row r="7673" spans="1:2">
      <c r="A7673" s="136" t="str">
        <f t="shared" si="84"/>
        <v/>
      </c>
      <c r="B7673" s="136" t="str">
        <f t="shared" si="85"/>
        <v/>
      </c>
    </row>
    <row r="7674" spans="1:2">
      <c r="A7674" s="136" t="str">
        <f t="shared" si="84"/>
        <v/>
      </c>
      <c r="B7674" s="136" t="str">
        <f t="shared" si="85"/>
        <v/>
      </c>
    </row>
    <row r="7675" spans="1:2">
      <c r="A7675" s="136" t="str">
        <f t="shared" si="84"/>
        <v/>
      </c>
      <c r="B7675" s="136" t="str">
        <f t="shared" si="85"/>
        <v/>
      </c>
    </row>
    <row r="7676" spans="1:2">
      <c r="A7676" s="136" t="str">
        <f t="shared" si="84"/>
        <v/>
      </c>
      <c r="B7676" s="136" t="str">
        <f t="shared" si="85"/>
        <v/>
      </c>
    </row>
    <row r="7677" spans="1:2">
      <c r="A7677" s="136" t="str">
        <f t="shared" si="84"/>
        <v/>
      </c>
      <c r="B7677" s="136" t="str">
        <f t="shared" si="85"/>
        <v/>
      </c>
    </row>
    <row r="7678" spans="1:2">
      <c r="A7678" s="136" t="str">
        <f t="shared" si="84"/>
        <v/>
      </c>
      <c r="B7678" s="136" t="str">
        <f t="shared" si="85"/>
        <v/>
      </c>
    </row>
    <row r="7679" spans="1:2">
      <c r="A7679" s="136" t="str">
        <f t="shared" si="84"/>
        <v/>
      </c>
      <c r="B7679" s="136" t="str">
        <f t="shared" si="85"/>
        <v/>
      </c>
    </row>
    <row r="7680" spans="1:2">
      <c r="A7680" s="136" t="str">
        <f t="shared" si="84"/>
        <v/>
      </c>
      <c r="B7680" s="136" t="str">
        <f t="shared" si="85"/>
        <v/>
      </c>
    </row>
    <row r="7681" spans="1:2">
      <c r="A7681" s="136" t="str">
        <f t="shared" si="84"/>
        <v/>
      </c>
      <c r="B7681" s="136" t="str">
        <f t="shared" si="85"/>
        <v/>
      </c>
    </row>
    <row r="7682" spans="1:2">
      <c r="A7682" s="136" t="str">
        <f t="shared" si="84"/>
        <v/>
      </c>
      <c r="B7682" s="136" t="str">
        <f t="shared" si="85"/>
        <v/>
      </c>
    </row>
    <row r="7683" spans="1:2">
      <c r="A7683" s="136" t="str">
        <f t="shared" si="84"/>
        <v/>
      </c>
      <c r="B7683" s="136" t="str">
        <f t="shared" si="85"/>
        <v/>
      </c>
    </row>
    <row r="7684" spans="1:2">
      <c r="A7684" s="136" t="str">
        <f t="shared" si="84"/>
        <v/>
      </c>
      <c r="B7684" s="136" t="str">
        <f t="shared" si="85"/>
        <v/>
      </c>
    </row>
    <row r="7685" spans="1:2">
      <c r="A7685" s="136" t="str">
        <f t="shared" si="84"/>
        <v/>
      </c>
      <c r="B7685" s="136" t="str">
        <f t="shared" si="85"/>
        <v/>
      </c>
    </row>
    <row r="7686" spans="1:2">
      <c r="A7686" s="136" t="str">
        <f t="shared" si="84"/>
        <v/>
      </c>
      <c r="B7686" s="136" t="str">
        <f t="shared" si="85"/>
        <v/>
      </c>
    </row>
    <row r="7687" spans="1:2">
      <c r="A7687" s="136" t="str">
        <f t="shared" si="84"/>
        <v/>
      </c>
      <c r="B7687" s="136" t="str">
        <f t="shared" si="85"/>
        <v/>
      </c>
    </row>
    <row r="7688" spans="1:2">
      <c r="A7688" s="136" t="str">
        <f t="shared" si="84"/>
        <v/>
      </c>
      <c r="B7688" s="136" t="str">
        <f t="shared" si="85"/>
        <v/>
      </c>
    </row>
    <row r="7689" spans="1:2">
      <c r="A7689" s="136" t="str">
        <f t="shared" si="84"/>
        <v/>
      </c>
      <c r="B7689" s="136" t="str">
        <f t="shared" si="85"/>
        <v/>
      </c>
    </row>
    <row r="7690" spans="1:2">
      <c r="A7690" s="136" t="str">
        <f t="shared" si="84"/>
        <v/>
      </c>
      <c r="B7690" s="136" t="str">
        <f t="shared" si="85"/>
        <v/>
      </c>
    </row>
    <row r="7691" spans="1:2">
      <c r="A7691" s="136" t="str">
        <f t="shared" si="84"/>
        <v/>
      </c>
      <c r="B7691" s="136" t="str">
        <f t="shared" si="85"/>
        <v/>
      </c>
    </row>
    <row r="7692" spans="1:2">
      <c r="A7692" s="136" t="str">
        <f t="shared" si="84"/>
        <v/>
      </c>
      <c r="B7692" s="136" t="str">
        <f t="shared" si="85"/>
        <v/>
      </c>
    </row>
    <row r="7693" spans="1:2">
      <c r="A7693" s="136" t="str">
        <f t="shared" si="84"/>
        <v/>
      </c>
      <c r="B7693" s="136" t="str">
        <f t="shared" si="85"/>
        <v/>
      </c>
    </row>
    <row r="7694" spans="1:2">
      <c r="A7694" s="136" t="str">
        <f t="shared" si="84"/>
        <v/>
      </c>
      <c r="B7694" s="136" t="str">
        <f t="shared" si="85"/>
        <v/>
      </c>
    </row>
    <row r="7695" spans="1:2">
      <c r="A7695" s="136" t="str">
        <f t="shared" si="84"/>
        <v/>
      </c>
      <c r="B7695" s="136" t="str">
        <f t="shared" si="85"/>
        <v/>
      </c>
    </row>
    <row r="7696" spans="1:2">
      <c r="A7696" s="136" t="str">
        <f t="shared" si="84"/>
        <v/>
      </c>
      <c r="B7696" s="136" t="str">
        <f t="shared" si="85"/>
        <v/>
      </c>
    </row>
    <row r="7697" spans="1:2">
      <c r="A7697" s="136" t="str">
        <f t="shared" si="84"/>
        <v/>
      </c>
      <c r="B7697" s="136" t="str">
        <f t="shared" si="85"/>
        <v/>
      </c>
    </row>
    <row r="7698" spans="1:2">
      <c r="A7698" s="136" t="str">
        <f t="shared" si="84"/>
        <v/>
      </c>
      <c r="B7698" s="136" t="str">
        <f t="shared" si="85"/>
        <v/>
      </c>
    </row>
    <row r="7699" spans="1:2">
      <c r="A7699" s="136" t="str">
        <f t="shared" si="84"/>
        <v/>
      </c>
      <c r="B7699" s="136" t="str">
        <f t="shared" si="85"/>
        <v/>
      </c>
    </row>
    <row r="7700" spans="1:2">
      <c r="A7700" s="136" t="str">
        <f t="shared" si="84"/>
        <v/>
      </c>
      <c r="B7700" s="136" t="str">
        <f t="shared" si="85"/>
        <v/>
      </c>
    </row>
    <row r="7701" spans="1:2">
      <c r="A7701" s="136" t="str">
        <f t="shared" ref="A7701:A7764" si="86">HYPERLINK("http://tw.stock.yahoo.com/q/ta?s=","")</f>
        <v/>
      </c>
      <c r="B7701" s="136" t="str">
        <f t="shared" ref="B7701:B7764" si="87">HYPERLINK("http://tw.stock.yahoo.com/d/s/earning_.html","")</f>
        <v/>
      </c>
    </row>
    <row r="7702" spans="1:2">
      <c r="A7702" s="136" t="str">
        <f t="shared" si="86"/>
        <v/>
      </c>
      <c r="B7702" s="136" t="str">
        <f t="shared" si="87"/>
        <v/>
      </c>
    </row>
    <row r="7703" spans="1:2">
      <c r="A7703" s="136" t="str">
        <f t="shared" si="86"/>
        <v/>
      </c>
      <c r="B7703" s="136" t="str">
        <f t="shared" si="87"/>
        <v/>
      </c>
    </row>
    <row r="7704" spans="1:2">
      <c r="A7704" s="136" t="str">
        <f t="shared" si="86"/>
        <v/>
      </c>
      <c r="B7704" s="136" t="str">
        <f t="shared" si="87"/>
        <v/>
      </c>
    </row>
    <row r="7705" spans="1:2">
      <c r="A7705" s="136" t="str">
        <f t="shared" si="86"/>
        <v/>
      </c>
      <c r="B7705" s="136" t="str">
        <f t="shared" si="87"/>
        <v/>
      </c>
    </row>
    <row r="7706" spans="1:2">
      <c r="A7706" s="136" t="str">
        <f t="shared" si="86"/>
        <v/>
      </c>
      <c r="B7706" s="136" t="str">
        <f t="shared" si="87"/>
        <v/>
      </c>
    </row>
    <row r="7707" spans="1:2">
      <c r="A7707" s="136" t="str">
        <f t="shared" si="86"/>
        <v/>
      </c>
      <c r="B7707" s="136" t="str">
        <f t="shared" si="87"/>
        <v/>
      </c>
    </row>
    <row r="7708" spans="1:2">
      <c r="A7708" s="136" t="str">
        <f t="shared" si="86"/>
        <v/>
      </c>
      <c r="B7708" s="136" t="str">
        <f t="shared" si="87"/>
        <v/>
      </c>
    </row>
    <row r="7709" spans="1:2">
      <c r="A7709" s="136" t="str">
        <f t="shared" si="86"/>
        <v/>
      </c>
      <c r="B7709" s="136" t="str">
        <f t="shared" si="87"/>
        <v/>
      </c>
    </row>
    <row r="7710" spans="1:2">
      <c r="A7710" s="136" t="str">
        <f t="shared" si="86"/>
        <v/>
      </c>
      <c r="B7710" s="136" t="str">
        <f t="shared" si="87"/>
        <v/>
      </c>
    </row>
    <row r="7711" spans="1:2">
      <c r="A7711" s="136" t="str">
        <f t="shared" si="86"/>
        <v/>
      </c>
      <c r="B7711" s="136" t="str">
        <f t="shared" si="87"/>
        <v/>
      </c>
    </row>
    <row r="7712" spans="1:2">
      <c r="A7712" s="136" t="str">
        <f t="shared" si="86"/>
        <v/>
      </c>
      <c r="B7712" s="136" t="str">
        <f t="shared" si="87"/>
        <v/>
      </c>
    </row>
    <row r="7713" spans="1:2">
      <c r="A7713" s="136" t="str">
        <f t="shared" si="86"/>
        <v/>
      </c>
      <c r="B7713" s="136" t="str">
        <f t="shared" si="87"/>
        <v/>
      </c>
    </row>
    <row r="7714" spans="1:2">
      <c r="A7714" s="136" t="str">
        <f t="shared" si="86"/>
        <v/>
      </c>
      <c r="B7714" s="136" t="str">
        <f t="shared" si="87"/>
        <v/>
      </c>
    </row>
    <row r="7715" spans="1:2">
      <c r="A7715" s="136" t="str">
        <f t="shared" si="86"/>
        <v/>
      </c>
      <c r="B7715" s="136" t="str">
        <f t="shared" si="87"/>
        <v/>
      </c>
    </row>
    <row r="7716" spans="1:2">
      <c r="A7716" s="136" t="str">
        <f t="shared" si="86"/>
        <v/>
      </c>
      <c r="B7716" s="136" t="str">
        <f t="shared" si="87"/>
        <v/>
      </c>
    </row>
    <row r="7717" spans="1:2">
      <c r="A7717" s="136" t="str">
        <f t="shared" si="86"/>
        <v/>
      </c>
      <c r="B7717" s="136" t="str">
        <f t="shared" si="87"/>
        <v/>
      </c>
    </row>
    <row r="7718" spans="1:2">
      <c r="A7718" s="136" t="str">
        <f t="shared" si="86"/>
        <v/>
      </c>
      <c r="B7718" s="136" t="str">
        <f t="shared" si="87"/>
        <v/>
      </c>
    </row>
    <row r="7719" spans="1:2">
      <c r="A7719" s="136" t="str">
        <f t="shared" si="86"/>
        <v/>
      </c>
      <c r="B7719" s="136" t="str">
        <f t="shared" si="87"/>
        <v/>
      </c>
    </row>
    <row r="7720" spans="1:2">
      <c r="A7720" s="136" t="str">
        <f t="shared" si="86"/>
        <v/>
      </c>
      <c r="B7720" s="136" t="str">
        <f t="shared" si="87"/>
        <v/>
      </c>
    </row>
    <row r="7721" spans="1:2">
      <c r="A7721" s="136" t="str">
        <f t="shared" si="86"/>
        <v/>
      </c>
      <c r="B7721" s="136" t="str">
        <f t="shared" si="87"/>
        <v/>
      </c>
    </row>
    <row r="7722" spans="1:2">
      <c r="A7722" s="136" t="str">
        <f t="shared" si="86"/>
        <v/>
      </c>
      <c r="B7722" s="136" t="str">
        <f t="shared" si="87"/>
        <v/>
      </c>
    </row>
    <row r="7723" spans="1:2">
      <c r="A7723" s="136" t="str">
        <f t="shared" si="86"/>
        <v/>
      </c>
      <c r="B7723" s="136" t="str">
        <f t="shared" si="87"/>
        <v/>
      </c>
    </row>
    <row r="7724" spans="1:2">
      <c r="A7724" s="136" t="str">
        <f t="shared" si="86"/>
        <v/>
      </c>
      <c r="B7724" s="136" t="str">
        <f t="shared" si="87"/>
        <v/>
      </c>
    </row>
    <row r="7725" spans="1:2">
      <c r="A7725" s="136" t="str">
        <f t="shared" si="86"/>
        <v/>
      </c>
      <c r="B7725" s="136" t="str">
        <f t="shared" si="87"/>
        <v/>
      </c>
    </row>
    <row r="7726" spans="1:2">
      <c r="A7726" s="136" t="str">
        <f t="shared" si="86"/>
        <v/>
      </c>
      <c r="B7726" s="136" t="str">
        <f t="shared" si="87"/>
        <v/>
      </c>
    </row>
    <row r="7727" spans="1:2">
      <c r="A7727" s="136" t="str">
        <f t="shared" si="86"/>
        <v/>
      </c>
      <c r="B7727" s="136" t="str">
        <f t="shared" si="87"/>
        <v/>
      </c>
    </row>
    <row r="7728" spans="1:2">
      <c r="A7728" s="136" t="str">
        <f t="shared" si="86"/>
        <v/>
      </c>
      <c r="B7728" s="136" t="str">
        <f t="shared" si="87"/>
        <v/>
      </c>
    </row>
    <row r="7729" spans="1:2">
      <c r="A7729" s="136" t="str">
        <f t="shared" si="86"/>
        <v/>
      </c>
      <c r="B7729" s="136" t="str">
        <f t="shared" si="87"/>
        <v/>
      </c>
    </row>
    <row r="7730" spans="1:2">
      <c r="A7730" s="136" t="str">
        <f t="shared" si="86"/>
        <v/>
      </c>
      <c r="B7730" s="136" t="str">
        <f t="shared" si="87"/>
        <v/>
      </c>
    </row>
    <row r="7731" spans="1:2">
      <c r="A7731" s="136" t="str">
        <f t="shared" si="86"/>
        <v/>
      </c>
      <c r="B7731" s="136" t="str">
        <f t="shared" si="87"/>
        <v/>
      </c>
    </row>
    <row r="7732" spans="1:2">
      <c r="A7732" s="136" t="str">
        <f t="shared" si="86"/>
        <v/>
      </c>
      <c r="B7732" s="136" t="str">
        <f t="shared" si="87"/>
        <v/>
      </c>
    </row>
    <row r="7733" spans="1:2">
      <c r="A7733" s="136" t="str">
        <f t="shared" si="86"/>
        <v/>
      </c>
      <c r="B7733" s="136" t="str">
        <f t="shared" si="87"/>
        <v/>
      </c>
    </row>
    <row r="7734" spans="1:2">
      <c r="A7734" s="136" t="str">
        <f t="shared" si="86"/>
        <v/>
      </c>
      <c r="B7734" s="136" t="str">
        <f t="shared" si="87"/>
        <v/>
      </c>
    </row>
    <row r="7735" spans="1:2">
      <c r="A7735" s="136" t="str">
        <f t="shared" si="86"/>
        <v/>
      </c>
      <c r="B7735" s="136" t="str">
        <f t="shared" si="87"/>
        <v/>
      </c>
    </row>
    <row r="7736" spans="1:2">
      <c r="A7736" s="136" t="str">
        <f t="shared" si="86"/>
        <v/>
      </c>
      <c r="B7736" s="136" t="str">
        <f t="shared" si="87"/>
        <v/>
      </c>
    </row>
    <row r="7737" spans="1:2">
      <c r="A7737" s="136" t="str">
        <f t="shared" si="86"/>
        <v/>
      </c>
      <c r="B7737" s="136" t="str">
        <f t="shared" si="87"/>
        <v/>
      </c>
    </row>
    <row r="7738" spans="1:2">
      <c r="A7738" s="136" t="str">
        <f t="shared" si="86"/>
        <v/>
      </c>
      <c r="B7738" s="136" t="str">
        <f t="shared" si="87"/>
        <v/>
      </c>
    </row>
    <row r="7739" spans="1:2">
      <c r="A7739" s="136" t="str">
        <f t="shared" si="86"/>
        <v/>
      </c>
      <c r="B7739" s="136" t="str">
        <f t="shared" si="87"/>
        <v/>
      </c>
    </row>
    <row r="7740" spans="1:2">
      <c r="A7740" s="136" t="str">
        <f t="shared" si="86"/>
        <v/>
      </c>
      <c r="B7740" s="136" t="str">
        <f t="shared" si="87"/>
        <v/>
      </c>
    </row>
    <row r="7741" spans="1:2">
      <c r="A7741" s="136" t="str">
        <f t="shared" si="86"/>
        <v/>
      </c>
      <c r="B7741" s="136" t="str">
        <f t="shared" si="87"/>
        <v/>
      </c>
    </row>
    <row r="7742" spans="1:2">
      <c r="A7742" s="136" t="str">
        <f t="shared" si="86"/>
        <v/>
      </c>
      <c r="B7742" s="136" t="str">
        <f t="shared" si="87"/>
        <v/>
      </c>
    </row>
    <row r="7743" spans="1:2">
      <c r="A7743" s="136" t="str">
        <f t="shared" si="86"/>
        <v/>
      </c>
      <c r="B7743" s="136" t="str">
        <f t="shared" si="87"/>
        <v/>
      </c>
    </row>
    <row r="7744" spans="1:2">
      <c r="A7744" s="136" t="str">
        <f t="shared" si="86"/>
        <v/>
      </c>
      <c r="B7744" s="136" t="str">
        <f t="shared" si="87"/>
        <v/>
      </c>
    </row>
    <row r="7745" spans="1:2">
      <c r="A7745" s="136" t="str">
        <f t="shared" si="86"/>
        <v/>
      </c>
      <c r="B7745" s="136" t="str">
        <f t="shared" si="87"/>
        <v/>
      </c>
    </row>
    <row r="7746" spans="1:2">
      <c r="A7746" s="136" t="str">
        <f t="shared" si="86"/>
        <v/>
      </c>
      <c r="B7746" s="136" t="str">
        <f t="shared" si="87"/>
        <v/>
      </c>
    </row>
    <row r="7747" spans="1:2">
      <c r="A7747" s="136" t="str">
        <f t="shared" si="86"/>
        <v/>
      </c>
      <c r="B7747" s="136" t="str">
        <f t="shared" si="87"/>
        <v/>
      </c>
    </row>
    <row r="7748" spans="1:2">
      <c r="A7748" s="136" t="str">
        <f t="shared" si="86"/>
        <v/>
      </c>
      <c r="B7748" s="136" t="str">
        <f t="shared" si="87"/>
        <v/>
      </c>
    </row>
    <row r="7749" spans="1:2">
      <c r="A7749" s="136" t="str">
        <f t="shared" si="86"/>
        <v/>
      </c>
      <c r="B7749" s="136" t="str">
        <f t="shared" si="87"/>
        <v/>
      </c>
    </row>
    <row r="7750" spans="1:2">
      <c r="A7750" s="136" t="str">
        <f t="shared" si="86"/>
        <v/>
      </c>
      <c r="B7750" s="136" t="str">
        <f t="shared" si="87"/>
        <v/>
      </c>
    </row>
    <row r="7751" spans="1:2">
      <c r="A7751" s="136" t="str">
        <f t="shared" si="86"/>
        <v/>
      </c>
      <c r="B7751" s="136" t="str">
        <f t="shared" si="87"/>
        <v/>
      </c>
    </row>
    <row r="7752" spans="1:2">
      <c r="A7752" s="136" t="str">
        <f t="shared" si="86"/>
        <v/>
      </c>
      <c r="B7752" s="136" t="str">
        <f t="shared" si="87"/>
        <v/>
      </c>
    </row>
    <row r="7753" spans="1:2">
      <c r="A7753" s="136" t="str">
        <f t="shared" si="86"/>
        <v/>
      </c>
      <c r="B7753" s="136" t="str">
        <f t="shared" si="87"/>
        <v/>
      </c>
    </row>
    <row r="7754" spans="1:2">
      <c r="A7754" s="136" t="str">
        <f t="shared" si="86"/>
        <v/>
      </c>
      <c r="B7754" s="136" t="str">
        <f t="shared" si="87"/>
        <v/>
      </c>
    </row>
    <row r="7755" spans="1:2">
      <c r="A7755" s="136" t="str">
        <f t="shared" si="86"/>
        <v/>
      </c>
      <c r="B7755" s="136" t="str">
        <f t="shared" si="87"/>
        <v/>
      </c>
    </row>
    <row r="7756" spans="1:2">
      <c r="A7756" s="136" t="str">
        <f t="shared" si="86"/>
        <v/>
      </c>
      <c r="B7756" s="136" t="str">
        <f t="shared" si="87"/>
        <v/>
      </c>
    </row>
    <row r="7757" spans="1:2">
      <c r="A7757" s="136" t="str">
        <f t="shared" si="86"/>
        <v/>
      </c>
      <c r="B7757" s="136" t="str">
        <f t="shared" si="87"/>
        <v/>
      </c>
    </row>
    <row r="7758" spans="1:2">
      <c r="A7758" s="136" t="str">
        <f t="shared" si="86"/>
        <v/>
      </c>
      <c r="B7758" s="136" t="str">
        <f t="shared" si="87"/>
        <v/>
      </c>
    </row>
    <row r="7759" spans="1:2">
      <c r="A7759" s="136" t="str">
        <f t="shared" si="86"/>
        <v/>
      </c>
      <c r="B7759" s="136" t="str">
        <f t="shared" si="87"/>
        <v/>
      </c>
    </row>
    <row r="7760" spans="1:2">
      <c r="A7760" s="136" t="str">
        <f t="shared" si="86"/>
        <v/>
      </c>
      <c r="B7760" s="136" t="str">
        <f t="shared" si="87"/>
        <v/>
      </c>
    </row>
    <row r="7761" spans="1:2">
      <c r="A7761" s="136" t="str">
        <f t="shared" si="86"/>
        <v/>
      </c>
      <c r="B7761" s="136" t="str">
        <f t="shared" si="87"/>
        <v/>
      </c>
    </row>
    <row r="7762" spans="1:2">
      <c r="A7762" s="136" t="str">
        <f t="shared" si="86"/>
        <v/>
      </c>
      <c r="B7762" s="136" t="str">
        <f t="shared" si="87"/>
        <v/>
      </c>
    </row>
    <row r="7763" spans="1:2">
      <c r="A7763" s="136" t="str">
        <f t="shared" si="86"/>
        <v/>
      </c>
      <c r="B7763" s="136" t="str">
        <f t="shared" si="87"/>
        <v/>
      </c>
    </row>
    <row r="7764" spans="1:2">
      <c r="A7764" s="136" t="str">
        <f t="shared" si="86"/>
        <v/>
      </c>
      <c r="B7764" s="136" t="str">
        <f t="shared" si="87"/>
        <v/>
      </c>
    </row>
    <row r="7765" spans="1:2">
      <c r="A7765" s="136" t="str">
        <f t="shared" ref="A7765:A7828" si="88">HYPERLINK("http://tw.stock.yahoo.com/q/ta?s=","")</f>
        <v/>
      </c>
      <c r="B7765" s="136" t="str">
        <f t="shared" ref="B7765:B7828" si="89">HYPERLINK("http://tw.stock.yahoo.com/d/s/earning_.html","")</f>
        <v/>
      </c>
    </row>
    <row r="7766" spans="1:2">
      <c r="A7766" s="136" t="str">
        <f t="shared" si="88"/>
        <v/>
      </c>
      <c r="B7766" s="136" t="str">
        <f t="shared" si="89"/>
        <v/>
      </c>
    </row>
    <row r="7767" spans="1:2">
      <c r="A7767" s="136" t="str">
        <f t="shared" si="88"/>
        <v/>
      </c>
      <c r="B7767" s="136" t="str">
        <f t="shared" si="89"/>
        <v/>
      </c>
    </row>
    <row r="7768" spans="1:2">
      <c r="A7768" s="136" t="str">
        <f t="shared" si="88"/>
        <v/>
      </c>
      <c r="B7768" s="136" t="str">
        <f t="shared" si="89"/>
        <v/>
      </c>
    </row>
    <row r="7769" spans="1:2">
      <c r="A7769" s="136" t="str">
        <f t="shared" si="88"/>
        <v/>
      </c>
      <c r="B7769" s="136" t="str">
        <f t="shared" si="89"/>
        <v/>
      </c>
    </row>
    <row r="7770" spans="1:2">
      <c r="A7770" s="136" t="str">
        <f t="shared" si="88"/>
        <v/>
      </c>
      <c r="B7770" s="136" t="str">
        <f t="shared" si="89"/>
        <v/>
      </c>
    </row>
    <row r="7771" spans="1:2">
      <c r="A7771" s="136" t="str">
        <f t="shared" si="88"/>
        <v/>
      </c>
      <c r="B7771" s="136" t="str">
        <f t="shared" si="89"/>
        <v/>
      </c>
    </row>
    <row r="7772" spans="1:2">
      <c r="A7772" s="136" t="str">
        <f t="shared" si="88"/>
        <v/>
      </c>
      <c r="B7772" s="136" t="str">
        <f t="shared" si="89"/>
        <v/>
      </c>
    </row>
    <row r="7773" spans="1:2">
      <c r="A7773" s="136" t="str">
        <f t="shared" si="88"/>
        <v/>
      </c>
      <c r="B7773" s="136" t="str">
        <f t="shared" si="89"/>
        <v/>
      </c>
    </row>
    <row r="7774" spans="1:2">
      <c r="A7774" s="136" t="str">
        <f t="shared" si="88"/>
        <v/>
      </c>
      <c r="B7774" s="136" t="str">
        <f t="shared" si="89"/>
        <v/>
      </c>
    </row>
    <row r="7775" spans="1:2">
      <c r="A7775" s="136" t="str">
        <f t="shared" si="88"/>
        <v/>
      </c>
      <c r="B7775" s="136" t="str">
        <f t="shared" si="89"/>
        <v/>
      </c>
    </row>
    <row r="7776" spans="1:2">
      <c r="A7776" s="136" t="str">
        <f t="shared" si="88"/>
        <v/>
      </c>
      <c r="B7776" s="136" t="str">
        <f t="shared" si="89"/>
        <v/>
      </c>
    </row>
    <row r="7777" spans="1:2">
      <c r="A7777" s="136" t="str">
        <f t="shared" si="88"/>
        <v/>
      </c>
      <c r="B7777" s="136" t="str">
        <f t="shared" si="89"/>
        <v/>
      </c>
    </row>
    <row r="7778" spans="1:2">
      <c r="A7778" s="136" t="str">
        <f t="shared" si="88"/>
        <v/>
      </c>
      <c r="B7778" s="136" t="str">
        <f t="shared" si="89"/>
        <v/>
      </c>
    </row>
    <row r="7779" spans="1:2">
      <c r="A7779" s="136" t="str">
        <f t="shared" si="88"/>
        <v/>
      </c>
      <c r="B7779" s="136" t="str">
        <f t="shared" si="89"/>
        <v/>
      </c>
    </row>
    <row r="7780" spans="1:2">
      <c r="A7780" s="136" t="str">
        <f t="shared" si="88"/>
        <v/>
      </c>
      <c r="B7780" s="136" t="str">
        <f t="shared" si="89"/>
        <v/>
      </c>
    </row>
    <row r="7781" spans="1:2">
      <c r="A7781" s="136" t="str">
        <f t="shared" si="88"/>
        <v/>
      </c>
      <c r="B7781" s="136" t="str">
        <f t="shared" si="89"/>
        <v/>
      </c>
    </row>
    <row r="7782" spans="1:2">
      <c r="A7782" s="136" t="str">
        <f t="shared" si="88"/>
        <v/>
      </c>
      <c r="B7782" s="136" t="str">
        <f t="shared" si="89"/>
        <v/>
      </c>
    </row>
    <row r="7783" spans="1:2">
      <c r="A7783" s="136" t="str">
        <f t="shared" si="88"/>
        <v/>
      </c>
      <c r="B7783" s="136" t="str">
        <f t="shared" si="89"/>
        <v/>
      </c>
    </row>
    <row r="7784" spans="1:2">
      <c r="A7784" s="136" t="str">
        <f t="shared" si="88"/>
        <v/>
      </c>
      <c r="B7784" s="136" t="str">
        <f t="shared" si="89"/>
        <v/>
      </c>
    </row>
    <row r="7785" spans="1:2">
      <c r="A7785" s="136" t="str">
        <f t="shared" si="88"/>
        <v/>
      </c>
      <c r="B7785" s="136" t="str">
        <f t="shared" si="89"/>
        <v/>
      </c>
    </row>
    <row r="7786" spans="1:2">
      <c r="A7786" s="136" t="str">
        <f t="shared" si="88"/>
        <v/>
      </c>
      <c r="B7786" s="136" t="str">
        <f t="shared" si="89"/>
        <v/>
      </c>
    </row>
    <row r="7787" spans="1:2">
      <c r="A7787" s="136" t="str">
        <f t="shared" si="88"/>
        <v/>
      </c>
      <c r="B7787" s="136" t="str">
        <f t="shared" si="89"/>
        <v/>
      </c>
    </row>
    <row r="7788" spans="1:2">
      <c r="A7788" s="136" t="str">
        <f t="shared" si="88"/>
        <v/>
      </c>
      <c r="B7788" s="136" t="str">
        <f t="shared" si="89"/>
        <v/>
      </c>
    </row>
    <row r="7789" spans="1:2">
      <c r="A7789" s="136" t="str">
        <f t="shared" si="88"/>
        <v/>
      </c>
      <c r="B7789" s="136" t="str">
        <f t="shared" si="89"/>
        <v/>
      </c>
    </row>
    <row r="7790" spans="1:2">
      <c r="A7790" s="136" t="str">
        <f t="shared" si="88"/>
        <v/>
      </c>
      <c r="B7790" s="136" t="str">
        <f t="shared" si="89"/>
        <v/>
      </c>
    </row>
    <row r="7791" spans="1:2">
      <c r="A7791" s="136" t="str">
        <f t="shared" si="88"/>
        <v/>
      </c>
      <c r="B7791" s="136" t="str">
        <f t="shared" si="89"/>
        <v/>
      </c>
    </row>
    <row r="7792" spans="1:2">
      <c r="A7792" s="136" t="str">
        <f t="shared" si="88"/>
        <v/>
      </c>
      <c r="B7792" s="136" t="str">
        <f t="shared" si="89"/>
        <v/>
      </c>
    </row>
    <row r="7793" spans="1:2">
      <c r="A7793" s="136" t="str">
        <f t="shared" si="88"/>
        <v/>
      </c>
      <c r="B7793" s="136" t="str">
        <f t="shared" si="89"/>
        <v/>
      </c>
    </row>
    <row r="7794" spans="1:2">
      <c r="A7794" s="136" t="str">
        <f t="shared" si="88"/>
        <v/>
      </c>
      <c r="B7794" s="136" t="str">
        <f t="shared" si="89"/>
        <v/>
      </c>
    </row>
    <row r="7795" spans="1:2">
      <c r="A7795" s="136" t="str">
        <f t="shared" si="88"/>
        <v/>
      </c>
      <c r="B7795" s="136" t="str">
        <f t="shared" si="89"/>
        <v/>
      </c>
    </row>
    <row r="7796" spans="1:2">
      <c r="A7796" s="136" t="str">
        <f t="shared" si="88"/>
        <v/>
      </c>
      <c r="B7796" s="136" t="str">
        <f t="shared" si="89"/>
        <v/>
      </c>
    </row>
    <row r="7797" spans="1:2">
      <c r="A7797" s="136" t="str">
        <f t="shared" si="88"/>
        <v/>
      </c>
      <c r="B7797" s="136" t="str">
        <f t="shared" si="89"/>
        <v/>
      </c>
    </row>
    <row r="7798" spans="1:2">
      <c r="A7798" s="136" t="str">
        <f t="shared" si="88"/>
        <v/>
      </c>
      <c r="B7798" s="136" t="str">
        <f t="shared" si="89"/>
        <v/>
      </c>
    </row>
    <row r="7799" spans="1:2">
      <c r="A7799" s="136" t="str">
        <f t="shared" si="88"/>
        <v/>
      </c>
      <c r="B7799" s="136" t="str">
        <f t="shared" si="89"/>
        <v/>
      </c>
    </row>
    <row r="7800" spans="1:2">
      <c r="A7800" s="136" t="str">
        <f t="shared" si="88"/>
        <v/>
      </c>
      <c r="B7800" s="136" t="str">
        <f t="shared" si="89"/>
        <v/>
      </c>
    </row>
    <row r="7801" spans="1:2">
      <c r="A7801" s="136" t="str">
        <f t="shared" si="88"/>
        <v/>
      </c>
      <c r="B7801" s="136" t="str">
        <f t="shared" si="89"/>
        <v/>
      </c>
    </row>
    <row r="7802" spans="1:2">
      <c r="A7802" s="136" t="str">
        <f t="shared" si="88"/>
        <v/>
      </c>
      <c r="B7802" s="136" t="str">
        <f t="shared" si="89"/>
        <v/>
      </c>
    </row>
    <row r="7803" spans="1:2">
      <c r="A7803" s="136" t="str">
        <f t="shared" si="88"/>
        <v/>
      </c>
      <c r="B7803" s="136" t="str">
        <f t="shared" si="89"/>
        <v/>
      </c>
    </row>
    <row r="7804" spans="1:2">
      <c r="A7804" s="136" t="str">
        <f t="shared" si="88"/>
        <v/>
      </c>
      <c r="B7804" s="136" t="str">
        <f t="shared" si="89"/>
        <v/>
      </c>
    </row>
    <row r="7805" spans="1:2">
      <c r="A7805" s="136" t="str">
        <f t="shared" si="88"/>
        <v/>
      </c>
      <c r="B7805" s="136" t="str">
        <f t="shared" si="89"/>
        <v/>
      </c>
    </row>
    <row r="7806" spans="1:2">
      <c r="A7806" s="136" t="str">
        <f t="shared" si="88"/>
        <v/>
      </c>
      <c r="B7806" s="136" t="str">
        <f t="shared" si="89"/>
        <v/>
      </c>
    </row>
    <row r="7807" spans="1:2">
      <c r="A7807" s="136" t="str">
        <f t="shared" si="88"/>
        <v/>
      </c>
      <c r="B7807" s="136" t="str">
        <f t="shared" si="89"/>
        <v/>
      </c>
    </row>
    <row r="7808" spans="1:2">
      <c r="A7808" s="136" t="str">
        <f t="shared" si="88"/>
        <v/>
      </c>
      <c r="B7808" s="136" t="str">
        <f t="shared" si="89"/>
        <v/>
      </c>
    </row>
    <row r="7809" spans="1:2">
      <c r="A7809" s="136" t="str">
        <f t="shared" si="88"/>
        <v/>
      </c>
      <c r="B7809" s="136" t="str">
        <f t="shared" si="89"/>
        <v/>
      </c>
    </row>
    <row r="7810" spans="1:2">
      <c r="A7810" s="136" t="str">
        <f t="shared" si="88"/>
        <v/>
      </c>
      <c r="B7810" s="136" t="str">
        <f t="shared" si="89"/>
        <v/>
      </c>
    </row>
    <row r="7811" spans="1:2">
      <c r="A7811" s="136" t="str">
        <f t="shared" si="88"/>
        <v/>
      </c>
      <c r="B7811" s="136" t="str">
        <f t="shared" si="89"/>
        <v/>
      </c>
    </row>
    <row r="7812" spans="1:2">
      <c r="A7812" s="136" t="str">
        <f t="shared" si="88"/>
        <v/>
      </c>
      <c r="B7812" s="136" t="str">
        <f t="shared" si="89"/>
        <v/>
      </c>
    </row>
    <row r="7813" spans="1:2">
      <c r="A7813" s="136" t="str">
        <f t="shared" si="88"/>
        <v/>
      </c>
      <c r="B7813" s="136" t="str">
        <f t="shared" si="89"/>
        <v/>
      </c>
    </row>
    <row r="7814" spans="1:2">
      <c r="A7814" s="136" t="str">
        <f t="shared" si="88"/>
        <v/>
      </c>
      <c r="B7814" s="136" t="str">
        <f t="shared" si="89"/>
        <v/>
      </c>
    </row>
    <row r="7815" spans="1:2">
      <c r="A7815" s="136" t="str">
        <f t="shared" si="88"/>
        <v/>
      </c>
      <c r="B7815" s="136" t="str">
        <f t="shared" si="89"/>
        <v/>
      </c>
    </row>
    <row r="7816" spans="1:2">
      <c r="A7816" s="136" t="str">
        <f t="shared" si="88"/>
        <v/>
      </c>
      <c r="B7816" s="136" t="str">
        <f t="shared" si="89"/>
        <v/>
      </c>
    </row>
    <row r="7817" spans="1:2">
      <c r="A7817" s="136" t="str">
        <f t="shared" si="88"/>
        <v/>
      </c>
      <c r="B7817" s="136" t="str">
        <f t="shared" si="89"/>
        <v/>
      </c>
    </row>
    <row r="7818" spans="1:2">
      <c r="A7818" s="136" t="str">
        <f t="shared" si="88"/>
        <v/>
      </c>
      <c r="B7818" s="136" t="str">
        <f t="shared" si="89"/>
        <v/>
      </c>
    </row>
    <row r="7819" spans="1:2">
      <c r="A7819" s="136" t="str">
        <f t="shared" si="88"/>
        <v/>
      </c>
      <c r="B7819" s="136" t="str">
        <f t="shared" si="89"/>
        <v/>
      </c>
    </row>
    <row r="7820" spans="1:2">
      <c r="A7820" s="136" t="str">
        <f t="shared" si="88"/>
        <v/>
      </c>
      <c r="B7820" s="136" t="str">
        <f t="shared" si="89"/>
        <v/>
      </c>
    </row>
    <row r="7821" spans="1:2">
      <c r="A7821" s="136" t="str">
        <f t="shared" si="88"/>
        <v/>
      </c>
      <c r="B7821" s="136" t="str">
        <f t="shared" si="89"/>
        <v/>
      </c>
    </row>
    <row r="7822" spans="1:2">
      <c r="A7822" s="136" t="str">
        <f t="shared" si="88"/>
        <v/>
      </c>
      <c r="B7822" s="136" t="str">
        <f t="shared" si="89"/>
        <v/>
      </c>
    </row>
    <row r="7823" spans="1:2">
      <c r="A7823" s="136" t="str">
        <f t="shared" si="88"/>
        <v/>
      </c>
      <c r="B7823" s="136" t="str">
        <f t="shared" si="89"/>
        <v/>
      </c>
    </row>
    <row r="7824" spans="1:2">
      <c r="A7824" s="136" t="str">
        <f t="shared" si="88"/>
        <v/>
      </c>
      <c r="B7824" s="136" t="str">
        <f t="shared" si="89"/>
        <v/>
      </c>
    </row>
    <row r="7825" spans="1:2">
      <c r="A7825" s="136" t="str">
        <f t="shared" si="88"/>
        <v/>
      </c>
      <c r="B7825" s="136" t="str">
        <f t="shared" si="89"/>
        <v/>
      </c>
    </row>
    <row r="7826" spans="1:2">
      <c r="A7826" s="136" t="str">
        <f t="shared" si="88"/>
        <v/>
      </c>
      <c r="B7826" s="136" t="str">
        <f t="shared" si="89"/>
        <v/>
      </c>
    </row>
    <row r="7827" spans="1:2">
      <c r="A7827" s="136" t="str">
        <f t="shared" si="88"/>
        <v/>
      </c>
      <c r="B7827" s="136" t="str">
        <f t="shared" si="89"/>
        <v/>
      </c>
    </row>
    <row r="7828" spans="1:2">
      <c r="A7828" s="136" t="str">
        <f t="shared" si="88"/>
        <v/>
      </c>
      <c r="B7828" s="136" t="str">
        <f t="shared" si="89"/>
        <v/>
      </c>
    </row>
    <row r="7829" spans="1:2">
      <c r="A7829" s="136" t="str">
        <f t="shared" ref="A7829:A7892" si="90">HYPERLINK("http://tw.stock.yahoo.com/q/ta?s=","")</f>
        <v/>
      </c>
      <c r="B7829" s="136" t="str">
        <f t="shared" ref="B7829:B7892" si="91">HYPERLINK("http://tw.stock.yahoo.com/d/s/earning_.html","")</f>
        <v/>
      </c>
    </row>
    <row r="7830" spans="1:2">
      <c r="A7830" s="136" t="str">
        <f t="shared" si="90"/>
        <v/>
      </c>
      <c r="B7830" s="136" t="str">
        <f t="shared" si="91"/>
        <v/>
      </c>
    </row>
    <row r="7831" spans="1:2">
      <c r="A7831" s="136" t="str">
        <f t="shared" si="90"/>
        <v/>
      </c>
      <c r="B7831" s="136" t="str">
        <f t="shared" si="91"/>
        <v/>
      </c>
    </row>
    <row r="7832" spans="1:2">
      <c r="A7832" s="136" t="str">
        <f t="shared" si="90"/>
        <v/>
      </c>
      <c r="B7832" s="136" t="str">
        <f t="shared" si="91"/>
        <v/>
      </c>
    </row>
    <row r="7833" spans="1:2">
      <c r="A7833" s="136" t="str">
        <f t="shared" si="90"/>
        <v/>
      </c>
      <c r="B7833" s="136" t="str">
        <f t="shared" si="91"/>
        <v/>
      </c>
    </row>
    <row r="7834" spans="1:2">
      <c r="A7834" s="136" t="str">
        <f t="shared" si="90"/>
        <v/>
      </c>
      <c r="B7834" s="136" t="str">
        <f t="shared" si="91"/>
        <v/>
      </c>
    </row>
    <row r="7835" spans="1:2">
      <c r="A7835" s="136" t="str">
        <f t="shared" si="90"/>
        <v/>
      </c>
      <c r="B7835" s="136" t="str">
        <f t="shared" si="91"/>
        <v/>
      </c>
    </row>
    <row r="7836" spans="1:2">
      <c r="A7836" s="136" t="str">
        <f t="shared" si="90"/>
        <v/>
      </c>
      <c r="B7836" s="136" t="str">
        <f t="shared" si="91"/>
        <v/>
      </c>
    </row>
    <row r="7837" spans="1:2">
      <c r="A7837" s="136" t="str">
        <f t="shared" si="90"/>
        <v/>
      </c>
      <c r="B7837" s="136" t="str">
        <f t="shared" si="91"/>
        <v/>
      </c>
    </row>
    <row r="7838" spans="1:2">
      <c r="A7838" s="136" t="str">
        <f t="shared" si="90"/>
        <v/>
      </c>
      <c r="B7838" s="136" t="str">
        <f t="shared" si="91"/>
        <v/>
      </c>
    </row>
    <row r="7839" spans="1:2">
      <c r="A7839" s="136" t="str">
        <f t="shared" si="90"/>
        <v/>
      </c>
      <c r="B7839" s="136" t="str">
        <f t="shared" si="91"/>
        <v/>
      </c>
    </row>
    <row r="7840" spans="1:2">
      <c r="A7840" s="136" t="str">
        <f t="shared" si="90"/>
        <v/>
      </c>
      <c r="B7840" s="136" t="str">
        <f t="shared" si="91"/>
        <v/>
      </c>
    </row>
    <row r="7841" spans="1:2">
      <c r="A7841" s="136" t="str">
        <f t="shared" si="90"/>
        <v/>
      </c>
      <c r="B7841" s="136" t="str">
        <f t="shared" si="91"/>
        <v/>
      </c>
    </row>
    <row r="7842" spans="1:2">
      <c r="A7842" s="136" t="str">
        <f t="shared" si="90"/>
        <v/>
      </c>
      <c r="B7842" s="136" t="str">
        <f t="shared" si="91"/>
        <v/>
      </c>
    </row>
    <row r="7843" spans="1:2">
      <c r="A7843" s="136" t="str">
        <f t="shared" si="90"/>
        <v/>
      </c>
      <c r="B7843" s="136" t="str">
        <f t="shared" si="91"/>
        <v/>
      </c>
    </row>
    <row r="7844" spans="1:2">
      <c r="A7844" s="136" t="str">
        <f t="shared" si="90"/>
        <v/>
      </c>
      <c r="B7844" s="136" t="str">
        <f t="shared" si="91"/>
        <v/>
      </c>
    </row>
    <row r="7845" spans="1:2">
      <c r="A7845" s="136" t="str">
        <f t="shared" si="90"/>
        <v/>
      </c>
      <c r="B7845" s="136" t="str">
        <f t="shared" si="91"/>
        <v/>
      </c>
    </row>
    <row r="7846" spans="1:2">
      <c r="A7846" s="136" t="str">
        <f t="shared" si="90"/>
        <v/>
      </c>
      <c r="B7846" s="136" t="str">
        <f t="shared" si="91"/>
        <v/>
      </c>
    </row>
    <row r="7847" spans="1:2">
      <c r="A7847" s="136" t="str">
        <f t="shared" si="90"/>
        <v/>
      </c>
      <c r="B7847" s="136" t="str">
        <f t="shared" si="91"/>
        <v/>
      </c>
    </row>
    <row r="7848" spans="1:2">
      <c r="A7848" s="136" t="str">
        <f t="shared" si="90"/>
        <v/>
      </c>
      <c r="B7848" s="136" t="str">
        <f t="shared" si="91"/>
        <v/>
      </c>
    </row>
    <row r="7849" spans="1:2">
      <c r="A7849" s="136" t="str">
        <f t="shared" si="90"/>
        <v/>
      </c>
      <c r="B7849" s="136" t="str">
        <f t="shared" si="91"/>
        <v/>
      </c>
    </row>
    <row r="7850" spans="1:2">
      <c r="A7850" s="136" t="str">
        <f t="shared" si="90"/>
        <v/>
      </c>
      <c r="B7850" s="136" t="str">
        <f t="shared" si="91"/>
        <v/>
      </c>
    </row>
    <row r="7851" spans="1:2">
      <c r="A7851" s="136" t="str">
        <f t="shared" si="90"/>
        <v/>
      </c>
      <c r="B7851" s="136" t="str">
        <f t="shared" si="91"/>
        <v/>
      </c>
    </row>
    <row r="7852" spans="1:2">
      <c r="A7852" s="136" t="str">
        <f t="shared" si="90"/>
        <v/>
      </c>
      <c r="B7852" s="136" t="str">
        <f t="shared" si="91"/>
        <v/>
      </c>
    </row>
    <row r="7853" spans="1:2">
      <c r="A7853" s="136" t="str">
        <f t="shared" si="90"/>
        <v/>
      </c>
      <c r="B7853" s="136" t="str">
        <f t="shared" si="91"/>
        <v/>
      </c>
    </row>
    <row r="7854" spans="1:2">
      <c r="A7854" s="136" t="str">
        <f t="shared" si="90"/>
        <v/>
      </c>
      <c r="B7854" s="136" t="str">
        <f t="shared" si="91"/>
        <v/>
      </c>
    </row>
    <row r="7855" spans="1:2">
      <c r="A7855" s="136" t="str">
        <f t="shared" si="90"/>
        <v/>
      </c>
      <c r="B7855" s="136" t="str">
        <f t="shared" si="91"/>
        <v/>
      </c>
    </row>
    <row r="7856" spans="1:2">
      <c r="A7856" s="136" t="str">
        <f t="shared" si="90"/>
        <v/>
      </c>
      <c r="B7856" s="136" t="str">
        <f t="shared" si="91"/>
        <v/>
      </c>
    </row>
    <row r="7857" spans="1:2">
      <c r="A7857" s="136" t="str">
        <f t="shared" si="90"/>
        <v/>
      </c>
      <c r="B7857" s="136" t="str">
        <f t="shared" si="91"/>
        <v/>
      </c>
    </row>
    <row r="7858" spans="1:2">
      <c r="A7858" s="136" t="str">
        <f t="shared" si="90"/>
        <v/>
      </c>
      <c r="B7858" s="136" t="str">
        <f t="shared" si="91"/>
        <v/>
      </c>
    </row>
    <row r="7859" spans="1:2">
      <c r="A7859" s="136" t="str">
        <f t="shared" si="90"/>
        <v/>
      </c>
      <c r="B7859" s="136" t="str">
        <f t="shared" si="91"/>
        <v/>
      </c>
    </row>
    <row r="7860" spans="1:2">
      <c r="A7860" s="136" t="str">
        <f t="shared" si="90"/>
        <v/>
      </c>
      <c r="B7860" s="136" t="str">
        <f t="shared" si="91"/>
        <v/>
      </c>
    </row>
    <row r="7861" spans="1:2">
      <c r="A7861" s="136" t="str">
        <f t="shared" si="90"/>
        <v/>
      </c>
      <c r="B7861" s="136" t="str">
        <f t="shared" si="91"/>
        <v/>
      </c>
    </row>
    <row r="7862" spans="1:2">
      <c r="A7862" s="136" t="str">
        <f t="shared" si="90"/>
        <v/>
      </c>
      <c r="B7862" s="136" t="str">
        <f t="shared" si="91"/>
        <v/>
      </c>
    </row>
    <row r="7863" spans="1:2">
      <c r="A7863" s="136" t="str">
        <f t="shared" si="90"/>
        <v/>
      </c>
      <c r="B7863" s="136" t="str">
        <f t="shared" si="91"/>
        <v/>
      </c>
    </row>
    <row r="7864" spans="1:2">
      <c r="A7864" s="136" t="str">
        <f t="shared" si="90"/>
        <v/>
      </c>
      <c r="B7864" s="136" t="str">
        <f t="shared" si="91"/>
        <v/>
      </c>
    </row>
    <row r="7865" spans="1:2">
      <c r="A7865" s="136" t="str">
        <f t="shared" si="90"/>
        <v/>
      </c>
      <c r="B7865" s="136" t="str">
        <f t="shared" si="91"/>
        <v/>
      </c>
    </row>
    <row r="7866" spans="1:2">
      <c r="A7866" s="136" t="str">
        <f t="shared" si="90"/>
        <v/>
      </c>
      <c r="B7866" s="136" t="str">
        <f t="shared" si="91"/>
        <v/>
      </c>
    </row>
    <row r="7867" spans="1:2">
      <c r="A7867" s="136" t="str">
        <f t="shared" si="90"/>
        <v/>
      </c>
      <c r="B7867" s="136" t="str">
        <f t="shared" si="91"/>
        <v/>
      </c>
    </row>
    <row r="7868" spans="1:2">
      <c r="A7868" s="136" t="str">
        <f t="shared" si="90"/>
        <v/>
      </c>
      <c r="B7868" s="136" t="str">
        <f t="shared" si="91"/>
        <v/>
      </c>
    </row>
    <row r="7869" spans="1:2">
      <c r="A7869" s="136" t="str">
        <f t="shared" si="90"/>
        <v/>
      </c>
      <c r="B7869" s="136" t="str">
        <f t="shared" si="91"/>
        <v/>
      </c>
    </row>
    <row r="7870" spans="1:2">
      <c r="A7870" s="136" t="str">
        <f t="shared" si="90"/>
        <v/>
      </c>
      <c r="B7870" s="136" t="str">
        <f t="shared" si="91"/>
        <v/>
      </c>
    </row>
    <row r="7871" spans="1:2">
      <c r="A7871" s="136" t="str">
        <f t="shared" si="90"/>
        <v/>
      </c>
      <c r="B7871" s="136" t="str">
        <f t="shared" si="91"/>
        <v/>
      </c>
    </row>
    <row r="7872" spans="1:2">
      <c r="A7872" s="136" t="str">
        <f t="shared" si="90"/>
        <v/>
      </c>
      <c r="B7872" s="136" t="str">
        <f t="shared" si="91"/>
        <v/>
      </c>
    </row>
    <row r="7873" spans="1:2">
      <c r="A7873" s="136" t="str">
        <f t="shared" si="90"/>
        <v/>
      </c>
      <c r="B7873" s="136" t="str">
        <f t="shared" si="91"/>
        <v/>
      </c>
    </row>
    <row r="7874" spans="1:2">
      <c r="A7874" s="136" t="str">
        <f t="shared" si="90"/>
        <v/>
      </c>
      <c r="B7874" s="136" t="str">
        <f t="shared" si="91"/>
        <v/>
      </c>
    </row>
    <row r="7875" spans="1:2">
      <c r="A7875" s="136" t="str">
        <f t="shared" si="90"/>
        <v/>
      </c>
      <c r="B7875" s="136" t="str">
        <f t="shared" si="91"/>
        <v/>
      </c>
    </row>
    <row r="7876" spans="1:2">
      <c r="A7876" s="136" t="str">
        <f t="shared" si="90"/>
        <v/>
      </c>
      <c r="B7876" s="136" t="str">
        <f t="shared" si="91"/>
        <v/>
      </c>
    </row>
    <row r="7877" spans="1:2">
      <c r="A7877" s="136" t="str">
        <f t="shared" si="90"/>
        <v/>
      </c>
      <c r="B7877" s="136" t="str">
        <f t="shared" si="91"/>
        <v/>
      </c>
    </row>
    <row r="7878" spans="1:2">
      <c r="A7878" s="136" t="str">
        <f t="shared" si="90"/>
        <v/>
      </c>
      <c r="B7878" s="136" t="str">
        <f t="shared" si="91"/>
        <v/>
      </c>
    </row>
    <row r="7879" spans="1:2">
      <c r="A7879" s="136" t="str">
        <f t="shared" si="90"/>
        <v/>
      </c>
      <c r="B7879" s="136" t="str">
        <f t="shared" si="91"/>
        <v/>
      </c>
    </row>
    <row r="7880" spans="1:2">
      <c r="A7880" s="136" t="str">
        <f t="shared" si="90"/>
        <v/>
      </c>
      <c r="B7880" s="136" t="str">
        <f t="shared" si="91"/>
        <v/>
      </c>
    </row>
    <row r="7881" spans="1:2">
      <c r="A7881" s="136" t="str">
        <f t="shared" si="90"/>
        <v/>
      </c>
      <c r="B7881" s="136" t="str">
        <f t="shared" si="91"/>
        <v/>
      </c>
    </row>
    <row r="7882" spans="1:2">
      <c r="A7882" s="136" t="str">
        <f t="shared" si="90"/>
        <v/>
      </c>
      <c r="B7882" s="136" t="str">
        <f t="shared" si="91"/>
        <v/>
      </c>
    </row>
    <row r="7883" spans="1:2">
      <c r="A7883" s="136" t="str">
        <f t="shared" si="90"/>
        <v/>
      </c>
      <c r="B7883" s="136" t="str">
        <f t="shared" si="91"/>
        <v/>
      </c>
    </row>
    <row r="7884" spans="1:2">
      <c r="A7884" s="136" t="str">
        <f t="shared" si="90"/>
        <v/>
      </c>
      <c r="B7884" s="136" t="str">
        <f t="shared" si="91"/>
        <v/>
      </c>
    </row>
    <row r="7885" spans="1:2">
      <c r="A7885" s="136" t="str">
        <f t="shared" si="90"/>
        <v/>
      </c>
      <c r="B7885" s="136" t="str">
        <f t="shared" si="91"/>
        <v/>
      </c>
    </row>
    <row r="7886" spans="1:2">
      <c r="A7886" s="136" t="str">
        <f t="shared" si="90"/>
        <v/>
      </c>
      <c r="B7886" s="136" t="str">
        <f t="shared" si="91"/>
        <v/>
      </c>
    </row>
    <row r="7887" spans="1:2">
      <c r="A7887" s="136" t="str">
        <f t="shared" si="90"/>
        <v/>
      </c>
      <c r="B7887" s="136" t="str">
        <f t="shared" si="91"/>
        <v/>
      </c>
    </row>
    <row r="7888" spans="1:2">
      <c r="A7888" s="136" t="str">
        <f t="shared" si="90"/>
        <v/>
      </c>
      <c r="B7888" s="136" t="str">
        <f t="shared" si="91"/>
        <v/>
      </c>
    </row>
    <row r="7889" spans="1:2">
      <c r="A7889" s="136" t="str">
        <f t="shared" si="90"/>
        <v/>
      </c>
      <c r="B7889" s="136" t="str">
        <f t="shared" si="91"/>
        <v/>
      </c>
    </row>
    <row r="7890" spans="1:2">
      <c r="A7890" s="136" t="str">
        <f t="shared" si="90"/>
        <v/>
      </c>
      <c r="B7890" s="136" t="str">
        <f t="shared" si="91"/>
        <v/>
      </c>
    </row>
    <row r="7891" spans="1:2">
      <c r="A7891" s="136" t="str">
        <f t="shared" si="90"/>
        <v/>
      </c>
      <c r="B7891" s="136" t="str">
        <f t="shared" si="91"/>
        <v/>
      </c>
    </row>
    <row r="7892" spans="1:2">
      <c r="A7892" s="136" t="str">
        <f t="shared" si="90"/>
        <v/>
      </c>
      <c r="B7892" s="136" t="str">
        <f t="shared" si="91"/>
        <v/>
      </c>
    </row>
    <row r="7893" spans="1:2">
      <c r="A7893" s="136" t="str">
        <f t="shared" ref="A7893:A7956" si="92">HYPERLINK("http://tw.stock.yahoo.com/q/ta?s=","")</f>
        <v/>
      </c>
      <c r="B7893" s="136" t="str">
        <f t="shared" ref="B7893:B7956" si="93">HYPERLINK("http://tw.stock.yahoo.com/d/s/earning_.html","")</f>
        <v/>
      </c>
    </row>
    <row r="7894" spans="1:2">
      <c r="A7894" s="136" t="str">
        <f t="shared" si="92"/>
        <v/>
      </c>
      <c r="B7894" s="136" t="str">
        <f t="shared" si="93"/>
        <v/>
      </c>
    </row>
    <row r="7895" spans="1:2">
      <c r="A7895" s="136" t="str">
        <f t="shared" si="92"/>
        <v/>
      </c>
      <c r="B7895" s="136" t="str">
        <f t="shared" si="93"/>
        <v/>
      </c>
    </row>
    <row r="7896" spans="1:2">
      <c r="A7896" s="136" t="str">
        <f t="shared" si="92"/>
        <v/>
      </c>
      <c r="B7896" s="136" t="str">
        <f t="shared" si="93"/>
        <v/>
      </c>
    </row>
    <row r="7897" spans="1:2">
      <c r="A7897" s="136" t="str">
        <f t="shared" si="92"/>
        <v/>
      </c>
      <c r="B7897" s="136" t="str">
        <f t="shared" si="93"/>
        <v/>
      </c>
    </row>
    <row r="7898" spans="1:2">
      <c r="A7898" s="136" t="str">
        <f t="shared" si="92"/>
        <v/>
      </c>
      <c r="B7898" s="136" t="str">
        <f t="shared" si="93"/>
        <v/>
      </c>
    </row>
    <row r="7899" spans="1:2">
      <c r="A7899" s="136" t="str">
        <f t="shared" si="92"/>
        <v/>
      </c>
      <c r="B7899" s="136" t="str">
        <f t="shared" si="93"/>
        <v/>
      </c>
    </row>
    <row r="7900" spans="1:2">
      <c r="A7900" s="136" t="str">
        <f t="shared" si="92"/>
        <v/>
      </c>
      <c r="B7900" s="136" t="str">
        <f t="shared" si="93"/>
        <v/>
      </c>
    </row>
    <row r="7901" spans="1:2">
      <c r="A7901" s="136" t="str">
        <f t="shared" si="92"/>
        <v/>
      </c>
      <c r="B7901" s="136" t="str">
        <f t="shared" si="93"/>
        <v/>
      </c>
    </row>
    <row r="7902" spans="1:2">
      <c r="A7902" s="136" t="str">
        <f t="shared" si="92"/>
        <v/>
      </c>
      <c r="B7902" s="136" t="str">
        <f t="shared" si="93"/>
        <v/>
      </c>
    </row>
    <row r="7903" spans="1:2">
      <c r="A7903" s="136" t="str">
        <f t="shared" si="92"/>
        <v/>
      </c>
      <c r="B7903" s="136" t="str">
        <f t="shared" si="93"/>
        <v/>
      </c>
    </row>
    <row r="7904" spans="1:2">
      <c r="A7904" s="136" t="str">
        <f t="shared" si="92"/>
        <v/>
      </c>
      <c r="B7904" s="136" t="str">
        <f t="shared" si="93"/>
        <v/>
      </c>
    </row>
    <row r="7905" spans="1:2">
      <c r="A7905" s="136" t="str">
        <f t="shared" si="92"/>
        <v/>
      </c>
      <c r="B7905" s="136" t="str">
        <f t="shared" si="93"/>
        <v/>
      </c>
    </row>
    <row r="7906" spans="1:2">
      <c r="A7906" s="136" t="str">
        <f t="shared" si="92"/>
        <v/>
      </c>
      <c r="B7906" s="136" t="str">
        <f t="shared" si="93"/>
        <v/>
      </c>
    </row>
    <row r="7907" spans="1:2">
      <c r="A7907" s="136" t="str">
        <f t="shared" si="92"/>
        <v/>
      </c>
      <c r="B7907" s="136" t="str">
        <f t="shared" si="93"/>
        <v/>
      </c>
    </row>
    <row r="7908" spans="1:2">
      <c r="A7908" s="136" t="str">
        <f t="shared" si="92"/>
        <v/>
      </c>
      <c r="B7908" s="136" t="str">
        <f t="shared" si="93"/>
        <v/>
      </c>
    </row>
    <row r="7909" spans="1:2">
      <c r="A7909" s="136" t="str">
        <f t="shared" si="92"/>
        <v/>
      </c>
      <c r="B7909" s="136" t="str">
        <f t="shared" si="93"/>
        <v/>
      </c>
    </row>
    <row r="7910" spans="1:2">
      <c r="A7910" s="136" t="str">
        <f t="shared" si="92"/>
        <v/>
      </c>
      <c r="B7910" s="136" t="str">
        <f t="shared" si="93"/>
        <v/>
      </c>
    </row>
    <row r="7911" spans="1:2">
      <c r="A7911" s="136" t="str">
        <f t="shared" si="92"/>
        <v/>
      </c>
      <c r="B7911" s="136" t="str">
        <f t="shared" si="93"/>
        <v/>
      </c>
    </row>
    <row r="7912" spans="1:2">
      <c r="A7912" s="136" t="str">
        <f t="shared" si="92"/>
        <v/>
      </c>
      <c r="B7912" s="136" t="str">
        <f t="shared" si="93"/>
        <v/>
      </c>
    </row>
    <row r="7913" spans="1:2">
      <c r="A7913" s="136" t="str">
        <f t="shared" si="92"/>
        <v/>
      </c>
      <c r="B7913" s="136" t="str">
        <f t="shared" si="93"/>
        <v/>
      </c>
    </row>
    <row r="7914" spans="1:2">
      <c r="A7914" s="136" t="str">
        <f t="shared" si="92"/>
        <v/>
      </c>
      <c r="B7914" s="136" t="str">
        <f t="shared" si="93"/>
        <v/>
      </c>
    </row>
    <row r="7915" spans="1:2">
      <c r="A7915" s="136" t="str">
        <f t="shared" si="92"/>
        <v/>
      </c>
      <c r="B7915" s="136" t="str">
        <f t="shared" si="93"/>
        <v/>
      </c>
    </row>
    <row r="7916" spans="1:2">
      <c r="A7916" s="136" t="str">
        <f t="shared" si="92"/>
        <v/>
      </c>
      <c r="B7916" s="136" t="str">
        <f t="shared" si="93"/>
        <v/>
      </c>
    </row>
    <row r="7917" spans="1:2">
      <c r="A7917" s="136" t="str">
        <f t="shared" si="92"/>
        <v/>
      </c>
      <c r="B7917" s="136" t="str">
        <f t="shared" si="93"/>
        <v/>
      </c>
    </row>
    <row r="7918" spans="1:2">
      <c r="A7918" s="136" t="str">
        <f t="shared" si="92"/>
        <v/>
      </c>
      <c r="B7918" s="136" t="str">
        <f t="shared" si="93"/>
        <v/>
      </c>
    </row>
    <row r="7919" spans="1:2">
      <c r="A7919" s="136" t="str">
        <f t="shared" si="92"/>
        <v/>
      </c>
      <c r="B7919" s="136" t="str">
        <f t="shared" si="93"/>
        <v/>
      </c>
    </row>
    <row r="7920" spans="1:2">
      <c r="A7920" s="136" t="str">
        <f t="shared" si="92"/>
        <v/>
      </c>
      <c r="B7920" s="136" t="str">
        <f t="shared" si="93"/>
        <v/>
      </c>
    </row>
    <row r="7921" spans="1:2">
      <c r="A7921" s="136" t="str">
        <f t="shared" si="92"/>
        <v/>
      </c>
      <c r="B7921" s="136" t="str">
        <f t="shared" si="93"/>
        <v/>
      </c>
    </row>
    <row r="7922" spans="1:2">
      <c r="A7922" s="136" t="str">
        <f t="shared" si="92"/>
        <v/>
      </c>
      <c r="B7922" s="136" t="str">
        <f t="shared" si="93"/>
        <v/>
      </c>
    </row>
    <row r="7923" spans="1:2">
      <c r="A7923" s="136" t="str">
        <f t="shared" si="92"/>
        <v/>
      </c>
      <c r="B7923" s="136" t="str">
        <f t="shared" si="93"/>
        <v/>
      </c>
    </row>
    <row r="7924" spans="1:2">
      <c r="A7924" s="136" t="str">
        <f t="shared" si="92"/>
        <v/>
      </c>
      <c r="B7924" s="136" t="str">
        <f t="shared" si="93"/>
        <v/>
      </c>
    </row>
    <row r="7925" spans="1:2">
      <c r="A7925" s="136" t="str">
        <f t="shared" si="92"/>
        <v/>
      </c>
      <c r="B7925" s="136" t="str">
        <f t="shared" si="93"/>
        <v/>
      </c>
    </row>
    <row r="7926" spans="1:2">
      <c r="A7926" s="136" t="str">
        <f t="shared" si="92"/>
        <v/>
      </c>
      <c r="B7926" s="136" t="str">
        <f t="shared" si="93"/>
        <v/>
      </c>
    </row>
    <row r="7927" spans="1:2">
      <c r="A7927" s="136" t="str">
        <f t="shared" si="92"/>
        <v/>
      </c>
      <c r="B7927" s="136" t="str">
        <f t="shared" si="93"/>
        <v/>
      </c>
    </row>
    <row r="7928" spans="1:2">
      <c r="A7928" s="136" t="str">
        <f t="shared" si="92"/>
        <v/>
      </c>
      <c r="B7928" s="136" t="str">
        <f t="shared" si="93"/>
        <v/>
      </c>
    </row>
    <row r="7929" spans="1:2">
      <c r="A7929" s="136" t="str">
        <f t="shared" si="92"/>
        <v/>
      </c>
      <c r="B7929" s="136" t="str">
        <f t="shared" si="93"/>
        <v/>
      </c>
    </row>
    <row r="7930" spans="1:2">
      <c r="A7930" s="136" t="str">
        <f t="shared" si="92"/>
        <v/>
      </c>
      <c r="B7930" s="136" t="str">
        <f t="shared" si="93"/>
        <v/>
      </c>
    </row>
    <row r="7931" spans="1:2">
      <c r="A7931" s="136" t="str">
        <f t="shared" si="92"/>
        <v/>
      </c>
      <c r="B7931" s="136" t="str">
        <f t="shared" si="93"/>
        <v/>
      </c>
    </row>
    <row r="7932" spans="1:2">
      <c r="A7932" s="136" t="str">
        <f t="shared" si="92"/>
        <v/>
      </c>
      <c r="B7932" s="136" t="str">
        <f t="shared" si="93"/>
        <v/>
      </c>
    </row>
    <row r="7933" spans="1:2">
      <c r="A7933" s="136" t="str">
        <f t="shared" si="92"/>
        <v/>
      </c>
      <c r="B7933" s="136" t="str">
        <f t="shared" si="93"/>
        <v/>
      </c>
    </row>
    <row r="7934" spans="1:2">
      <c r="A7934" s="136" t="str">
        <f t="shared" si="92"/>
        <v/>
      </c>
      <c r="B7934" s="136" t="str">
        <f t="shared" si="93"/>
        <v/>
      </c>
    </row>
    <row r="7935" spans="1:2">
      <c r="A7935" s="136" t="str">
        <f t="shared" si="92"/>
        <v/>
      </c>
      <c r="B7935" s="136" t="str">
        <f t="shared" si="93"/>
        <v/>
      </c>
    </row>
    <row r="7936" spans="1:2">
      <c r="A7936" s="136" t="str">
        <f t="shared" si="92"/>
        <v/>
      </c>
      <c r="B7936" s="136" t="str">
        <f t="shared" si="93"/>
        <v/>
      </c>
    </row>
    <row r="7937" spans="1:2">
      <c r="A7937" s="136" t="str">
        <f t="shared" si="92"/>
        <v/>
      </c>
      <c r="B7937" s="136" t="str">
        <f t="shared" si="93"/>
        <v/>
      </c>
    </row>
    <row r="7938" spans="1:2">
      <c r="A7938" s="136" t="str">
        <f t="shared" si="92"/>
        <v/>
      </c>
      <c r="B7938" s="136" t="str">
        <f t="shared" si="93"/>
        <v/>
      </c>
    </row>
    <row r="7939" spans="1:2">
      <c r="A7939" s="136" t="str">
        <f t="shared" si="92"/>
        <v/>
      </c>
      <c r="B7939" s="136" t="str">
        <f t="shared" si="93"/>
        <v/>
      </c>
    </row>
    <row r="7940" spans="1:2">
      <c r="A7940" s="136" t="str">
        <f t="shared" si="92"/>
        <v/>
      </c>
      <c r="B7940" s="136" t="str">
        <f t="shared" si="93"/>
        <v/>
      </c>
    </row>
    <row r="7941" spans="1:2">
      <c r="A7941" s="136" t="str">
        <f t="shared" si="92"/>
        <v/>
      </c>
      <c r="B7941" s="136" t="str">
        <f t="shared" si="93"/>
        <v/>
      </c>
    </row>
    <row r="7942" spans="1:2">
      <c r="A7942" s="136" t="str">
        <f t="shared" si="92"/>
        <v/>
      </c>
      <c r="B7942" s="136" t="str">
        <f t="shared" si="93"/>
        <v/>
      </c>
    </row>
    <row r="7943" spans="1:2">
      <c r="A7943" s="136" t="str">
        <f t="shared" si="92"/>
        <v/>
      </c>
      <c r="B7943" s="136" t="str">
        <f t="shared" si="93"/>
        <v/>
      </c>
    </row>
    <row r="7944" spans="1:2">
      <c r="A7944" s="136" t="str">
        <f t="shared" si="92"/>
        <v/>
      </c>
      <c r="B7944" s="136" t="str">
        <f t="shared" si="93"/>
        <v/>
      </c>
    </row>
    <row r="7945" spans="1:2">
      <c r="A7945" s="136" t="str">
        <f t="shared" si="92"/>
        <v/>
      </c>
      <c r="B7945" s="136" t="str">
        <f t="shared" si="93"/>
        <v/>
      </c>
    </row>
    <row r="7946" spans="1:2">
      <c r="A7946" s="136" t="str">
        <f t="shared" si="92"/>
        <v/>
      </c>
      <c r="B7946" s="136" t="str">
        <f t="shared" si="93"/>
        <v/>
      </c>
    </row>
    <row r="7947" spans="1:2">
      <c r="A7947" s="136" t="str">
        <f t="shared" si="92"/>
        <v/>
      </c>
      <c r="B7947" s="136" t="str">
        <f t="shared" si="93"/>
        <v/>
      </c>
    </row>
    <row r="7948" spans="1:2">
      <c r="A7948" s="136" t="str">
        <f t="shared" si="92"/>
        <v/>
      </c>
      <c r="B7948" s="136" t="str">
        <f t="shared" si="93"/>
        <v/>
      </c>
    </row>
    <row r="7949" spans="1:2">
      <c r="A7949" s="136" t="str">
        <f t="shared" si="92"/>
        <v/>
      </c>
      <c r="B7949" s="136" t="str">
        <f t="shared" si="93"/>
        <v/>
      </c>
    </row>
    <row r="7950" spans="1:2">
      <c r="A7950" s="136" t="str">
        <f t="shared" si="92"/>
        <v/>
      </c>
      <c r="B7950" s="136" t="str">
        <f t="shared" si="93"/>
        <v/>
      </c>
    </row>
    <row r="7951" spans="1:2">
      <c r="A7951" s="136" t="str">
        <f t="shared" si="92"/>
        <v/>
      </c>
      <c r="B7951" s="136" t="str">
        <f t="shared" si="93"/>
        <v/>
      </c>
    </row>
    <row r="7952" spans="1:2">
      <c r="A7952" s="136" t="str">
        <f t="shared" si="92"/>
        <v/>
      </c>
      <c r="B7952" s="136" t="str">
        <f t="shared" si="93"/>
        <v/>
      </c>
    </row>
    <row r="7953" spans="1:2">
      <c r="A7953" s="136" t="str">
        <f t="shared" si="92"/>
        <v/>
      </c>
      <c r="B7953" s="136" t="str">
        <f t="shared" si="93"/>
        <v/>
      </c>
    </row>
    <row r="7954" spans="1:2">
      <c r="A7954" s="136" t="str">
        <f t="shared" si="92"/>
        <v/>
      </c>
      <c r="B7954" s="136" t="str">
        <f t="shared" si="93"/>
        <v/>
      </c>
    </row>
    <row r="7955" spans="1:2">
      <c r="A7955" s="136" t="str">
        <f t="shared" si="92"/>
        <v/>
      </c>
      <c r="B7955" s="136" t="str">
        <f t="shared" si="93"/>
        <v/>
      </c>
    </row>
    <row r="7956" spans="1:2">
      <c r="A7956" s="136" t="str">
        <f t="shared" si="92"/>
        <v/>
      </c>
      <c r="B7956" s="136" t="str">
        <f t="shared" si="93"/>
        <v/>
      </c>
    </row>
    <row r="7957" spans="1:2">
      <c r="A7957" s="136" t="str">
        <f t="shared" ref="A7957:A8020" si="94">HYPERLINK("http://tw.stock.yahoo.com/q/ta?s=","")</f>
        <v/>
      </c>
      <c r="B7957" s="136" t="str">
        <f t="shared" ref="B7957:B8020" si="95">HYPERLINK("http://tw.stock.yahoo.com/d/s/earning_.html","")</f>
        <v/>
      </c>
    </row>
    <row r="7958" spans="1:2">
      <c r="A7958" s="136" t="str">
        <f t="shared" si="94"/>
        <v/>
      </c>
      <c r="B7958" s="136" t="str">
        <f t="shared" si="95"/>
        <v/>
      </c>
    </row>
    <row r="7959" spans="1:2">
      <c r="A7959" s="136" t="str">
        <f t="shared" si="94"/>
        <v/>
      </c>
      <c r="B7959" s="136" t="str">
        <f t="shared" si="95"/>
        <v/>
      </c>
    </row>
    <row r="7960" spans="1:2">
      <c r="A7960" s="136" t="str">
        <f t="shared" si="94"/>
        <v/>
      </c>
      <c r="B7960" s="136" t="str">
        <f t="shared" si="95"/>
        <v/>
      </c>
    </row>
    <row r="7961" spans="1:2">
      <c r="A7961" s="136" t="str">
        <f t="shared" si="94"/>
        <v/>
      </c>
      <c r="B7961" s="136" t="str">
        <f t="shared" si="95"/>
        <v/>
      </c>
    </row>
    <row r="7962" spans="1:2">
      <c r="A7962" s="136" t="str">
        <f t="shared" si="94"/>
        <v/>
      </c>
      <c r="B7962" s="136" t="str">
        <f t="shared" si="95"/>
        <v/>
      </c>
    </row>
    <row r="7963" spans="1:2">
      <c r="A7963" s="136" t="str">
        <f t="shared" si="94"/>
        <v/>
      </c>
      <c r="B7963" s="136" t="str">
        <f t="shared" si="95"/>
        <v/>
      </c>
    </row>
    <row r="7964" spans="1:2">
      <c r="A7964" s="136" t="str">
        <f t="shared" si="94"/>
        <v/>
      </c>
      <c r="B7964" s="136" t="str">
        <f t="shared" si="95"/>
        <v/>
      </c>
    </row>
    <row r="7965" spans="1:2">
      <c r="A7965" s="136" t="str">
        <f t="shared" si="94"/>
        <v/>
      </c>
      <c r="B7965" s="136" t="str">
        <f t="shared" si="95"/>
        <v/>
      </c>
    </row>
    <row r="7966" spans="1:2">
      <c r="A7966" s="136" t="str">
        <f t="shared" si="94"/>
        <v/>
      </c>
      <c r="B7966" s="136" t="str">
        <f t="shared" si="95"/>
        <v/>
      </c>
    </row>
    <row r="7967" spans="1:2">
      <c r="A7967" s="136" t="str">
        <f t="shared" si="94"/>
        <v/>
      </c>
      <c r="B7967" s="136" t="str">
        <f t="shared" si="95"/>
        <v/>
      </c>
    </row>
    <row r="7968" spans="1:2">
      <c r="A7968" s="136" t="str">
        <f t="shared" si="94"/>
        <v/>
      </c>
      <c r="B7968" s="136" t="str">
        <f t="shared" si="95"/>
        <v/>
      </c>
    </row>
    <row r="7969" spans="1:2">
      <c r="A7969" s="136" t="str">
        <f t="shared" si="94"/>
        <v/>
      </c>
      <c r="B7969" s="136" t="str">
        <f t="shared" si="95"/>
        <v/>
      </c>
    </row>
    <row r="7970" spans="1:2">
      <c r="A7970" s="136" t="str">
        <f t="shared" si="94"/>
        <v/>
      </c>
      <c r="B7970" s="136" t="str">
        <f t="shared" si="95"/>
        <v/>
      </c>
    </row>
    <row r="7971" spans="1:2">
      <c r="A7971" s="136" t="str">
        <f t="shared" si="94"/>
        <v/>
      </c>
      <c r="B7971" s="136" t="str">
        <f t="shared" si="95"/>
        <v/>
      </c>
    </row>
    <row r="7972" spans="1:2">
      <c r="A7972" s="136" t="str">
        <f t="shared" si="94"/>
        <v/>
      </c>
      <c r="B7972" s="136" t="str">
        <f t="shared" si="95"/>
        <v/>
      </c>
    </row>
    <row r="7973" spans="1:2">
      <c r="A7973" s="136" t="str">
        <f t="shared" si="94"/>
        <v/>
      </c>
      <c r="B7973" s="136" t="str">
        <f t="shared" si="95"/>
        <v/>
      </c>
    </row>
    <row r="7974" spans="1:2">
      <c r="A7974" s="136" t="str">
        <f t="shared" si="94"/>
        <v/>
      </c>
      <c r="B7974" s="136" t="str">
        <f t="shared" si="95"/>
        <v/>
      </c>
    </row>
    <row r="7975" spans="1:2">
      <c r="A7975" s="136" t="str">
        <f t="shared" si="94"/>
        <v/>
      </c>
      <c r="B7975" s="136" t="str">
        <f t="shared" si="95"/>
        <v/>
      </c>
    </row>
    <row r="7976" spans="1:2">
      <c r="A7976" s="136" t="str">
        <f t="shared" si="94"/>
        <v/>
      </c>
      <c r="B7976" s="136" t="str">
        <f t="shared" si="95"/>
        <v/>
      </c>
    </row>
    <row r="7977" spans="1:2">
      <c r="A7977" s="136" t="str">
        <f t="shared" si="94"/>
        <v/>
      </c>
      <c r="B7977" s="136" t="str">
        <f t="shared" si="95"/>
        <v/>
      </c>
    </row>
    <row r="7978" spans="1:2">
      <c r="A7978" s="136" t="str">
        <f t="shared" si="94"/>
        <v/>
      </c>
      <c r="B7978" s="136" t="str">
        <f t="shared" si="95"/>
        <v/>
      </c>
    </row>
    <row r="7979" spans="1:2">
      <c r="A7979" s="136" t="str">
        <f t="shared" si="94"/>
        <v/>
      </c>
      <c r="B7979" s="136" t="str">
        <f t="shared" si="95"/>
        <v/>
      </c>
    </row>
    <row r="7980" spans="1:2">
      <c r="A7980" s="136" t="str">
        <f t="shared" si="94"/>
        <v/>
      </c>
      <c r="B7980" s="136" t="str">
        <f t="shared" si="95"/>
        <v/>
      </c>
    </row>
    <row r="7981" spans="1:2">
      <c r="A7981" s="136" t="str">
        <f t="shared" si="94"/>
        <v/>
      </c>
      <c r="B7981" s="136" t="str">
        <f t="shared" si="95"/>
        <v/>
      </c>
    </row>
    <row r="7982" spans="1:2">
      <c r="A7982" s="136" t="str">
        <f t="shared" si="94"/>
        <v/>
      </c>
      <c r="B7982" s="136" t="str">
        <f t="shared" si="95"/>
        <v/>
      </c>
    </row>
    <row r="7983" spans="1:2">
      <c r="A7983" s="136" t="str">
        <f t="shared" si="94"/>
        <v/>
      </c>
      <c r="B7983" s="136" t="str">
        <f t="shared" si="95"/>
        <v/>
      </c>
    </row>
    <row r="7984" spans="1:2">
      <c r="A7984" s="136" t="str">
        <f t="shared" si="94"/>
        <v/>
      </c>
      <c r="B7984" s="136" t="str">
        <f t="shared" si="95"/>
        <v/>
      </c>
    </row>
    <row r="7985" spans="1:2">
      <c r="A7985" s="136" t="str">
        <f t="shared" si="94"/>
        <v/>
      </c>
      <c r="B7985" s="136" t="str">
        <f t="shared" si="95"/>
        <v/>
      </c>
    </row>
    <row r="7986" spans="1:2">
      <c r="A7986" s="136" t="str">
        <f t="shared" si="94"/>
        <v/>
      </c>
      <c r="B7986" s="136" t="str">
        <f t="shared" si="95"/>
        <v/>
      </c>
    </row>
    <row r="7987" spans="1:2">
      <c r="A7987" s="136" t="str">
        <f t="shared" si="94"/>
        <v/>
      </c>
      <c r="B7987" s="136" t="str">
        <f t="shared" si="95"/>
        <v/>
      </c>
    </row>
    <row r="7988" spans="1:2">
      <c r="A7988" s="136" t="str">
        <f t="shared" si="94"/>
        <v/>
      </c>
      <c r="B7988" s="136" t="str">
        <f t="shared" si="95"/>
        <v/>
      </c>
    </row>
    <row r="7989" spans="1:2">
      <c r="A7989" s="136" t="str">
        <f t="shared" si="94"/>
        <v/>
      </c>
      <c r="B7989" s="136" t="str">
        <f t="shared" si="95"/>
        <v/>
      </c>
    </row>
    <row r="7990" spans="1:2">
      <c r="A7990" s="136" t="str">
        <f t="shared" si="94"/>
        <v/>
      </c>
      <c r="B7990" s="136" t="str">
        <f t="shared" si="95"/>
        <v/>
      </c>
    </row>
    <row r="7991" spans="1:2">
      <c r="A7991" s="136" t="str">
        <f t="shared" si="94"/>
        <v/>
      </c>
      <c r="B7991" s="136" t="str">
        <f t="shared" si="95"/>
        <v/>
      </c>
    </row>
    <row r="7992" spans="1:2">
      <c r="A7992" s="136" t="str">
        <f t="shared" si="94"/>
        <v/>
      </c>
      <c r="B7992" s="136" t="str">
        <f t="shared" si="95"/>
        <v/>
      </c>
    </row>
    <row r="7993" spans="1:2">
      <c r="A7993" s="136" t="str">
        <f t="shared" si="94"/>
        <v/>
      </c>
      <c r="B7993" s="136" t="str">
        <f t="shared" si="95"/>
        <v/>
      </c>
    </row>
    <row r="7994" spans="1:2">
      <c r="A7994" s="136" t="str">
        <f t="shared" si="94"/>
        <v/>
      </c>
      <c r="B7994" s="136" t="str">
        <f t="shared" si="95"/>
        <v/>
      </c>
    </row>
    <row r="7995" spans="1:2">
      <c r="A7995" s="136" t="str">
        <f t="shared" si="94"/>
        <v/>
      </c>
      <c r="B7995" s="136" t="str">
        <f t="shared" si="95"/>
        <v/>
      </c>
    </row>
    <row r="7996" spans="1:2">
      <c r="A7996" s="136" t="str">
        <f t="shared" si="94"/>
        <v/>
      </c>
      <c r="B7996" s="136" t="str">
        <f t="shared" si="95"/>
        <v/>
      </c>
    </row>
    <row r="7997" spans="1:2">
      <c r="A7997" s="136" t="str">
        <f t="shared" si="94"/>
        <v/>
      </c>
      <c r="B7997" s="136" t="str">
        <f t="shared" si="95"/>
        <v/>
      </c>
    </row>
    <row r="7998" spans="1:2">
      <c r="A7998" s="136" t="str">
        <f t="shared" si="94"/>
        <v/>
      </c>
      <c r="B7998" s="136" t="str">
        <f t="shared" si="95"/>
        <v/>
      </c>
    </row>
    <row r="7999" spans="1:2">
      <c r="A7999" s="136" t="str">
        <f t="shared" si="94"/>
        <v/>
      </c>
      <c r="B7999" s="136" t="str">
        <f t="shared" si="95"/>
        <v/>
      </c>
    </row>
    <row r="8000" spans="1:2">
      <c r="A8000" s="136" t="str">
        <f t="shared" si="94"/>
        <v/>
      </c>
      <c r="B8000" s="136" t="str">
        <f t="shared" si="95"/>
        <v/>
      </c>
    </row>
    <row r="8001" spans="1:2">
      <c r="A8001" s="136" t="str">
        <f t="shared" si="94"/>
        <v/>
      </c>
      <c r="B8001" s="136" t="str">
        <f t="shared" si="95"/>
        <v/>
      </c>
    </row>
    <row r="8002" spans="1:2">
      <c r="A8002" s="136" t="str">
        <f t="shared" si="94"/>
        <v/>
      </c>
      <c r="B8002" s="136" t="str">
        <f t="shared" si="95"/>
        <v/>
      </c>
    </row>
    <row r="8003" spans="1:2">
      <c r="A8003" s="136" t="str">
        <f t="shared" si="94"/>
        <v/>
      </c>
      <c r="B8003" s="136" t="str">
        <f t="shared" si="95"/>
        <v/>
      </c>
    </row>
    <row r="8004" spans="1:2">
      <c r="A8004" s="136" t="str">
        <f t="shared" si="94"/>
        <v/>
      </c>
      <c r="B8004" s="136" t="str">
        <f t="shared" si="95"/>
        <v/>
      </c>
    </row>
    <row r="8005" spans="1:2">
      <c r="A8005" s="136" t="str">
        <f t="shared" si="94"/>
        <v/>
      </c>
      <c r="B8005" s="136" t="str">
        <f t="shared" si="95"/>
        <v/>
      </c>
    </row>
    <row r="8006" spans="1:2">
      <c r="A8006" s="136" t="str">
        <f t="shared" si="94"/>
        <v/>
      </c>
      <c r="B8006" s="136" t="str">
        <f t="shared" si="95"/>
        <v/>
      </c>
    </row>
    <row r="8007" spans="1:2">
      <c r="A8007" s="136" t="str">
        <f t="shared" si="94"/>
        <v/>
      </c>
      <c r="B8007" s="136" t="str">
        <f t="shared" si="95"/>
        <v/>
      </c>
    </row>
    <row r="8008" spans="1:2">
      <c r="A8008" s="136" t="str">
        <f t="shared" si="94"/>
        <v/>
      </c>
      <c r="B8008" s="136" t="str">
        <f t="shared" si="95"/>
        <v/>
      </c>
    </row>
    <row r="8009" spans="1:2">
      <c r="A8009" s="136" t="str">
        <f t="shared" si="94"/>
        <v/>
      </c>
      <c r="B8009" s="136" t="str">
        <f t="shared" si="95"/>
        <v/>
      </c>
    </row>
    <row r="8010" spans="1:2">
      <c r="A8010" s="136" t="str">
        <f t="shared" si="94"/>
        <v/>
      </c>
      <c r="B8010" s="136" t="str">
        <f t="shared" si="95"/>
        <v/>
      </c>
    </row>
    <row r="8011" spans="1:2">
      <c r="A8011" s="136" t="str">
        <f t="shared" si="94"/>
        <v/>
      </c>
      <c r="B8011" s="136" t="str">
        <f t="shared" si="95"/>
        <v/>
      </c>
    </row>
    <row r="8012" spans="1:2">
      <c r="A8012" s="136" t="str">
        <f t="shared" si="94"/>
        <v/>
      </c>
      <c r="B8012" s="136" t="str">
        <f t="shared" si="95"/>
        <v/>
      </c>
    </row>
    <row r="8013" spans="1:2">
      <c r="A8013" s="136" t="str">
        <f t="shared" si="94"/>
        <v/>
      </c>
      <c r="B8013" s="136" t="str">
        <f t="shared" si="95"/>
        <v/>
      </c>
    </row>
    <row r="8014" spans="1:2">
      <c r="A8014" s="136" t="str">
        <f t="shared" si="94"/>
        <v/>
      </c>
      <c r="B8014" s="136" t="str">
        <f t="shared" si="95"/>
        <v/>
      </c>
    </row>
    <row r="8015" spans="1:2">
      <c r="A8015" s="136" t="str">
        <f t="shared" si="94"/>
        <v/>
      </c>
      <c r="B8015" s="136" t="str">
        <f t="shared" si="95"/>
        <v/>
      </c>
    </row>
    <row r="8016" spans="1:2">
      <c r="A8016" s="136" t="str">
        <f t="shared" si="94"/>
        <v/>
      </c>
      <c r="B8016" s="136" t="str">
        <f t="shared" si="95"/>
        <v/>
      </c>
    </row>
    <row r="8017" spans="1:2">
      <c r="A8017" s="136" t="str">
        <f t="shared" si="94"/>
        <v/>
      </c>
      <c r="B8017" s="136" t="str">
        <f t="shared" si="95"/>
        <v/>
      </c>
    </row>
    <row r="8018" spans="1:2">
      <c r="A8018" s="136" t="str">
        <f t="shared" si="94"/>
        <v/>
      </c>
      <c r="B8018" s="136" t="str">
        <f t="shared" si="95"/>
        <v/>
      </c>
    </row>
    <row r="8019" spans="1:2">
      <c r="A8019" s="136" t="str">
        <f t="shared" si="94"/>
        <v/>
      </c>
      <c r="B8019" s="136" t="str">
        <f t="shared" si="95"/>
        <v/>
      </c>
    </row>
    <row r="8020" spans="1:2">
      <c r="A8020" s="136" t="str">
        <f t="shared" si="94"/>
        <v/>
      </c>
      <c r="B8020" s="136" t="str">
        <f t="shared" si="95"/>
        <v/>
      </c>
    </row>
    <row r="8021" spans="1:2">
      <c r="A8021" s="136" t="str">
        <f t="shared" ref="A8021:A8084" si="96">HYPERLINK("http://tw.stock.yahoo.com/q/ta?s=","")</f>
        <v/>
      </c>
      <c r="B8021" s="136" t="str">
        <f t="shared" ref="B8021:B8083" si="97">HYPERLINK("http://tw.stock.yahoo.com/d/s/earning_.html","")</f>
        <v/>
      </c>
    </row>
    <row r="8022" spans="1:2">
      <c r="A8022" s="136" t="str">
        <f t="shared" si="96"/>
        <v/>
      </c>
      <c r="B8022" s="136" t="str">
        <f t="shared" si="97"/>
        <v/>
      </c>
    </row>
    <row r="8023" spans="1:2">
      <c r="A8023" s="136" t="str">
        <f t="shared" si="96"/>
        <v/>
      </c>
      <c r="B8023" s="136" t="str">
        <f t="shared" si="97"/>
        <v/>
      </c>
    </row>
    <row r="8024" spans="1:2">
      <c r="A8024" s="136" t="str">
        <f t="shared" si="96"/>
        <v/>
      </c>
      <c r="B8024" s="136" t="str">
        <f t="shared" si="97"/>
        <v/>
      </c>
    </row>
    <row r="8025" spans="1:2">
      <c r="A8025" s="136" t="str">
        <f t="shared" si="96"/>
        <v/>
      </c>
      <c r="B8025" s="136" t="str">
        <f t="shared" si="97"/>
        <v/>
      </c>
    </row>
    <row r="8026" spans="1:2">
      <c r="A8026" s="136" t="str">
        <f t="shared" si="96"/>
        <v/>
      </c>
      <c r="B8026" s="136" t="str">
        <f t="shared" si="97"/>
        <v/>
      </c>
    </row>
    <row r="8027" spans="1:2">
      <c r="A8027" s="136" t="str">
        <f t="shared" si="96"/>
        <v/>
      </c>
      <c r="B8027" s="136" t="str">
        <f t="shared" si="97"/>
        <v/>
      </c>
    </row>
    <row r="8028" spans="1:2">
      <c r="A8028" s="136" t="str">
        <f t="shared" si="96"/>
        <v/>
      </c>
      <c r="B8028" s="136" t="str">
        <f t="shared" si="97"/>
        <v/>
      </c>
    </row>
    <row r="8029" spans="1:2">
      <c r="A8029" s="136" t="str">
        <f t="shared" si="96"/>
        <v/>
      </c>
      <c r="B8029" s="136" t="str">
        <f t="shared" si="97"/>
        <v/>
      </c>
    </row>
    <row r="8030" spans="1:2">
      <c r="A8030" s="136" t="str">
        <f t="shared" si="96"/>
        <v/>
      </c>
      <c r="B8030" s="136" t="str">
        <f t="shared" si="97"/>
        <v/>
      </c>
    </row>
    <row r="8031" spans="1:2">
      <c r="A8031" s="136" t="str">
        <f t="shared" si="96"/>
        <v/>
      </c>
      <c r="B8031" s="136" t="str">
        <f t="shared" si="97"/>
        <v/>
      </c>
    </row>
    <row r="8032" spans="1:2">
      <c r="A8032" s="136" t="str">
        <f t="shared" si="96"/>
        <v/>
      </c>
      <c r="B8032" s="136" t="str">
        <f t="shared" si="97"/>
        <v/>
      </c>
    </row>
    <row r="8033" spans="1:2">
      <c r="A8033" s="136" t="str">
        <f t="shared" si="96"/>
        <v/>
      </c>
      <c r="B8033" s="136" t="str">
        <f t="shared" si="97"/>
        <v/>
      </c>
    </row>
    <row r="8034" spans="1:2">
      <c r="A8034" s="136" t="str">
        <f t="shared" si="96"/>
        <v/>
      </c>
      <c r="B8034" s="136" t="str">
        <f t="shared" si="97"/>
        <v/>
      </c>
    </row>
    <row r="8035" spans="1:2">
      <c r="A8035" s="136" t="str">
        <f t="shared" si="96"/>
        <v/>
      </c>
      <c r="B8035" s="136" t="str">
        <f t="shared" si="97"/>
        <v/>
      </c>
    </row>
    <row r="8036" spans="1:2">
      <c r="A8036" s="136" t="str">
        <f t="shared" si="96"/>
        <v/>
      </c>
      <c r="B8036" s="136" t="str">
        <f t="shared" si="97"/>
        <v/>
      </c>
    </row>
    <row r="8037" spans="1:2">
      <c r="A8037" s="136" t="str">
        <f t="shared" si="96"/>
        <v/>
      </c>
      <c r="B8037" s="136" t="str">
        <f t="shared" si="97"/>
        <v/>
      </c>
    </row>
    <row r="8038" spans="1:2">
      <c r="A8038" s="136" t="str">
        <f t="shared" si="96"/>
        <v/>
      </c>
      <c r="B8038" s="136" t="str">
        <f t="shared" si="97"/>
        <v/>
      </c>
    </row>
    <row r="8039" spans="1:2">
      <c r="A8039" s="136" t="str">
        <f t="shared" si="96"/>
        <v/>
      </c>
      <c r="B8039" s="136" t="str">
        <f t="shared" si="97"/>
        <v/>
      </c>
    </row>
    <row r="8040" spans="1:2">
      <c r="A8040" s="136" t="str">
        <f t="shared" si="96"/>
        <v/>
      </c>
      <c r="B8040" s="136" t="str">
        <f t="shared" si="97"/>
        <v/>
      </c>
    </row>
    <row r="8041" spans="1:2">
      <c r="A8041" s="136" t="str">
        <f t="shared" si="96"/>
        <v/>
      </c>
      <c r="B8041" s="136" t="str">
        <f t="shared" si="97"/>
        <v/>
      </c>
    </row>
    <row r="8042" spans="1:2">
      <c r="A8042" s="136" t="str">
        <f t="shared" si="96"/>
        <v/>
      </c>
      <c r="B8042" s="136" t="str">
        <f t="shared" si="97"/>
        <v/>
      </c>
    </row>
    <row r="8043" spans="1:2">
      <c r="A8043" s="136" t="str">
        <f t="shared" si="96"/>
        <v/>
      </c>
      <c r="B8043" s="136" t="str">
        <f t="shared" si="97"/>
        <v/>
      </c>
    </row>
    <row r="8044" spans="1:2">
      <c r="A8044" s="136" t="str">
        <f t="shared" si="96"/>
        <v/>
      </c>
      <c r="B8044" s="136" t="str">
        <f t="shared" si="97"/>
        <v/>
      </c>
    </row>
    <row r="8045" spans="1:2">
      <c r="A8045" s="136" t="str">
        <f t="shared" si="96"/>
        <v/>
      </c>
      <c r="B8045" s="136" t="str">
        <f t="shared" si="97"/>
        <v/>
      </c>
    </row>
    <row r="8046" spans="1:2">
      <c r="A8046" s="136" t="str">
        <f t="shared" si="96"/>
        <v/>
      </c>
      <c r="B8046" s="136" t="str">
        <f t="shared" si="97"/>
        <v/>
      </c>
    </row>
    <row r="8047" spans="1:2">
      <c r="A8047" s="136" t="str">
        <f t="shared" si="96"/>
        <v/>
      </c>
      <c r="B8047" s="136" t="str">
        <f t="shared" si="97"/>
        <v/>
      </c>
    </row>
    <row r="8048" spans="1:2">
      <c r="A8048" s="136" t="str">
        <f t="shared" si="96"/>
        <v/>
      </c>
      <c r="B8048" s="136" t="str">
        <f t="shared" si="97"/>
        <v/>
      </c>
    </row>
    <row r="8049" spans="1:2">
      <c r="A8049" s="136" t="str">
        <f t="shared" si="96"/>
        <v/>
      </c>
      <c r="B8049" s="136" t="str">
        <f t="shared" si="97"/>
        <v/>
      </c>
    </row>
    <row r="8050" spans="1:2">
      <c r="A8050" s="136" t="str">
        <f t="shared" si="96"/>
        <v/>
      </c>
      <c r="B8050" s="136" t="str">
        <f t="shared" si="97"/>
        <v/>
      </c>
    </row>
    <row r="8051" spans="1:2">
      <c r="A8051" s="136" t="str">
        <f t="shared" si="96"/>
        <v/>
      </c>
      <c r="B8051" s="136" t="str">
        <f t="shared" si="97"/>
        <v/>
      </c>
    </row>
    <row r="8052" spans="1:2">
      <c r="A8052" s="136" t="str">
        <f t="shared" si="96"/>
        <v/>
      </c>
      <c r="B8052" s="136" t="str">
        <f t="shared" si="97"/>
        <v/>
      </c>
    </row>
    <row r="8053" spans="1:2">
      <c r="A8053" s="136" t="str">
        <f t="shared" si="96"/>
        <v/>
      </c>
      <c r="B8053" s="136" t="str">
        <f t="shared" si="97"/>
        <v/>
      </c>
    </row>
    <row r="8054" spans="1:2">
      <c r="A8054" s="136" t="str">
        <f t="shared" si="96"/>
        <v/>
      </c>
      <c r="B8054" s="136" t="str">
        <f t="shared" si="97"/>
        <v/>
      </c>
    </row>
    <row r="8055" spans="1:2">
      <c r="A8055" s="136" t="str">
        <f t="shared" si="96"/>
        <v/>
      </c>
      <c r="B8055" s="136" t="str">
        <f t="shared" si="97"/>
        <v/>
      </c>
    </row>
    <row r="8056" spans="1:2">
      <c r="A8056" s="136" t="str">
        <f t="shared" si="96"/>
        <v/>
      </c>
      <c r="B8056" s="136" t="str">
        <f t="shared" si="97"/>
        <v/>
      </c>
    </row>
    <row r="8057" spans="1:2">
      <c r="A8057" s="136" t="str">
        <f t="shared" si="96"/>
        <v/>
      </c>
      <c r="B8057" s="136" t="str">
        <f t="shared" si="97"/>
        <v/>
      </c>
    </row>
    <row r="8058" spans="1:2">
      <c r="A8058" s="136" t="str">
        <f t="shared" si="96"/>
        <v/>
      </c>
      <c r="B8058" s="136" t="str">
        <f t="shared" si="97"/>
        <v/>
      </c>
    </row>
    <row r="8059" spans="1:2">
      <c r="A8059" s="136" t="str">
        <f t="shared" si="96"/>
        <v/>
      </c>
      <c r="B8059" s="136" t="str">
        <f t="shared" si="97"/>
        <v/>
      </c>
    </row>
    <row r="8060" spans="1:2">
      <c r="A8060" s="136" t="str">
        <f t="shared" si="96"/>
        <v/>
      </c>
      <c r="B8060" s="136" t="str">
        <f t="shared" si="97"/>
        <v/>
      </c>
    </row>
    <row r="8061" spans="1:2">
      <c r="A8061" s="136" t="str">
        <f t="shared" si="96"/>
        <v/>
      </c>
      <c r="B8061" s="136" t="str">
        <f t="shared" si="97"/>
        <v/>
      </c>
    </row>
    <row r="8062" spans="1:2">
      <c r="A8062" s="136" t="str">
        <f t="shared" si="96"/>
        <v/>
      </c>
      <c r="B8062" s="136" t="str">
        <f t="shared" si="97"/>
        <v/>
      </c>
    </row>
    <row r="8063" spans="1:2">
      <c r="A8063" s="136" t="str">
        <f t="shared" si="96"/>
        <v/>
      </c>
      <c r="B8063" s="136" t="str">
        <f t="shared" si="97"/>
        <v/>
      </c>
    </row>
    <row r="8064" spans="1:2">
      <c r="A8064" s="136" t="str">
        <f t="shared" si="96"/>
        <v/>
      </c>
      <c r="B8064" s="136" t="str">
        <f t="shared" si="97"/>
        <v/>
      </c>
    </row>
    <row r="8065" spans="1:2">
      <c r="A8065" s="136" t="str">
        <f t="shared" si="96"/>
        <v/>
      </c>
      <c r="B8065" s="136" t="str">
        <f t="shared" si="97"/>
        <v/>
      </c>
    </row>
    <row r="8066" spans="1:2">
      <c r="A8066" s="136" t="str">
        <f t="shared" si="96"/>
        <v/>
      </c>
      <c r="B8066" s="136" t="str">
        <f t="shared" si="97"/>
        <v/>
      </c>
    </row>
    <row r="8067" spans="1:2">
      <c r="A8067" s="136" t="str">
        <f t="shared" si="96"/>
        <v/>
      </c>
      <c r="B8067" s="136" t="str">
        <f t="shared" si="97"/>
        <v/>
      </c>
    </row>
    <row r="8068" spans="1:2">
      <c r="A8068" s="136" t="str">
        <f t="shared" si="96"/>
        <v/>
      </c>
      <c r="B8068" s="136" t="str">
        <f t="shared" si="97"/>
        <v/>
      </c>
    </row>
    <row r="8069" spans="1:2">
      <c r="A8069" s="136" t="str">
        <f t="shared" si="96"/>
        <v/>
      </c>
      <c r="B8069" s="136" t="str">
        <f t="shared" si="97"/>
        <v/>
      </c>
    </row>
    <row r="8070" spans="1:2">
      <c r="A8070" s="136" t="str">
        <f t="shared" si="96"/>
        <v/>
      </c>
      <c r="B8070" s="136" t="str">
        <f t="shared" si="97"/>
        <v/>
      </c>
    </row>
    <row r="8071" spans="1:2">
      <c r="A8071" s="136" t="str">
        <f t="shared" si="96"/>
        <v/>
      </c>
      <c r="B8071" s="136" t="str">
        <f t="shared" si="97"/>
        <v/>
      </c>
    </row>
    <row r="8072" spans="1:2">
      <c r="A8072" s="136" t="str">
        <f t="shared" si="96"/>
        <v/>
      </c>
      <c r="B8072" s="136" t="str">
        <f t="shared" si="97"/>
        <v/>
      </c>
    </row>
    <row r="8073" spans="1:2">
      <c r="A8073" s="136" t="str">
        <f t="shared" si="96"/>
        <v/>
      </c>
      <c r="B8073" s="136" t="str">
        <f t="shared" si="97"/>
        <v/>
      </c>
    </row>
    <row r="8074" spans="1:2">
      <c r="A8074" s="136" t="str">
        <f t="shared" si="96"/>
        <v/>
      </c>
      <c r="B8074" s="136" t="str">
        <f t="shared" si="97"/>
        <v/>
      </c>
    </row>
    <row r="8075" spans="1:2">
      <c r="A8075" s="136" t="str">
        <f t="shared" si="96"/>
        <v/>
      </c>
      <c r="B8075" s="136" t="str">
        <f t="shared" si="97"/>
        <v/>
      </c>
    </row>
    <row r="8076" spans="1:2">
      <c r="A8076" s="136" t="str">
        <f t="shared" si="96"/>
        <v/>
      </c>
      <c r="B8076" s="136" t="str">
        <f t="shared" si="97"/>
        <v/>
      </c>
    </row>
    <row r="8077" spans="1:2">
      <c r="A8077" s="136" t="str">
        <f t="shared" si="96"/>
        <v/>
      </c>
      <c r="B8077" s="136" t="str">
        <f t="shared" si="97"/>
        <v/>
      </c>
    </row>
    <row r="8078" spans="1:2">
      <c r="A8078" s="136" t="str">
        <f t="shared" si="96"/>
        <v/>
      </c>
      <c r="B8078" s="136" t="str">
        <f t="shared" si="97"/>
        <v/>
      </c>
    </row>
    <row r="8079" spans="1:2">
      <c r="A8079" s="136" t="str">
        <f t="shared" si="96"/>
        <v/>
      </c>
      <c r="B8079" s="136" t="str">
        <f t="shared" si="97"/>
        <v/>
      </c>
    </row>
    <row r="8080" spans="1:2">
      <c r="A8080" s="136" t="str">
        <f t="shared" si="96"/>
        <v/>
      </c>
      <c r="B8080" s="136" t="str">
        <f t="shared" si="97"/>
        <v/>
      </c>
    </row>
    <row r="8081" spans="1:2">
      <c r="A8081" s="136" t="str">
        <f t="shared" si="96"/>
        <v/>
      </c>
      <c r="B8081" s="136" t="str">
        <f t="shared" si="97"/>
        <v/>
      </c>
    </row>
    <row r="8082" spans="1:2">
      <c r="A8082" s="136" t="str">
        <f t="shared" si="96"/>
        <v/>
      </c>
      <c r="B8082" s="136" t="str">
        <f t="shared" si="97"/>
        <v/>
      </c>
    </row>
    <row r="8083" spans="1:2">
      <c r="A8083" s="136" t="str">
        <f t="shared" si="96"/>
        <v/>
      </c>
      <c r="B8083" s="136" t="str">
        <f t="shared" si="97"/>
        <v/>
      </c>
    </row>
    <row r="8084" spans="1:2">
      <c r="A8084" s="136" t="str">
        <f t="shared" si="96"/>
        <v/>
      </c>
    </row>
    <row r="8121" spans="1:2">
      <c r="A8121" s="136" t="str">
        <f t="shared" ref="A8121:A8184" si="98">HYPERLINK("http://tw.stock.yahoo.com/q/ta?s=","")</f>
        <v/>
      </c>
      <c r="B8121" s="136" t="str">
        <f t="shared" ref="B8121:B8184" si="99">HYPERLINK("http://tw.stock.yahoo.com/d/s/earning_.html","")</f>
        <v/>
      </c>
    </row>
    <row r="8122" spans="1:2">
      <c r="A8122" s="136" t="str">
        <f t="shared" si="98"/>
        <v/>
      </c>
      <c r="B8122" s="136" t="str">
        <f t="shared" si="99"/>
        <v/>
      </c>
    </row>
    <row r="8123" spans="1:2">
      <c r="A8123" s="136" t="str">
        <f t="shared" si="98"/>
        <v/>
      </c>
      <c r="B8123" s="136" t="str">
        <f t="shared" si="99"/>
        <v/>
      </c>
    </row>
    <row r="8124" spans="1:2">
      <c r="A8124" s="136" t="str">
        <f t="shared" si="98"/>
        <v/>
      </c>
      <c r="B8124" s="136" t="str">
        <f t="shared" si="99"/>
        <v/>
      </c>
    </row>
    <row r="8125" spans="1:2">
      <c r="A8125" s="136" t="str">
        <f t="shared" si="98"/>
        <v/>
      </c>
      <c r="B8125" s="136" t="str">
        <f t="shared" si="99"/>
        <v/>
      </c>
    </row>
    <row r="8126" spans="1:2">
      <c r="A8126" s="136" t="str">
        <f t="shared" si="98"/>
        <v/>
      </c>
      <c r="B8126" s="136" t="str">
        <f t="shared" si="99"/>
        <v/>
      </c>
    </row>
    <row r="8127" spans="1:2">
      <c r="A8127" s="136" t="str">
        <f t="shared" si="98"/>
        <v/>
      </c>
      <c r="B8127" s="136" t="str">
        <f t="shared" si="99"/>
        <v/>
      </c>
    </row>
    <row r="8128" spans="1:2">
      <c r="A8128" s="136" t="str">
        <f t="shared" si="98"/>
        <v/>
      </c>
      <c r="B8128" s="136" t="str">
        <f t="shared" si="99"/>
        <v/>
      </c>
    </row>
    <row r="8129" spans="1:2">
      <c r="A8129" s="136" t="str">
        <f t="shared" si="98"/>
        <v/>
      </c>
      <c r="B8129" s="136" t="str">
        <f t="shared" si="99"/>
        <v/>
      </c>
    </row>
    <row r="8130" spans="1:2">
      <c r="A8130" s="136" t="str">
        <f t="shared" si="98"/>
        <v/>
      </c>
      <c r="B8130" s="136" t="str">
        <f t="shared" si="99"/>
        <v/>
      </c>
    </row>
    <row r="8131" spans="1:2">
      <c r="A8131" s="136" t="str">
        <f t="shared" si="98"/>
        <v/>
      </c>
      <c r="B8131" s="136" t="str">
        <f t="shared" si="99"/>
        <v/>
      </c>
    </row>
    <row r="8132" spans="1:2">
      <c r="A8132" s="136" t="str">
        <f t="shared" si="98"/>
        <v/>
      </c>
      <c r="B8132" s="136" t="str">
        <f t="shared" si="99"/>
        <v/>
      </c>
    </row>
    <row r="8133" spans="1:2">
      <c r="A8133" s="136" t="str">
        <f t="shared" si="98"/>
        <v/>
      </c>
      <c r="B8133" s="136" t="str">
        <f t="shared" si="99"/>
        <v/>
      </c>
    </row>
    <row r="8134" spans="1:2">
      <c r="A8134" s="136" t="str">
        <f t="shared" si="98"/>
        <v/>
      </c>
      <c r="B8134" s="136" t="str">
        <f t="shared" si="99"/>
        <v/>
      </c>
    </row>
    <row r="8135" spans="1:2">
      <c r="A8135" s="136" t="str">
        <f t="shared" si="98"/>
        <v/>
      </c>
      <c r="B8135" s="136" t="str">
        <f t="shared" si="99"/>
        <v/>
      </c>
    </row>
    <row r="8136" spans="1:2">
      <c r="A8136" s="136" t="str">
        <f t="shared" si="98"/>
        <v/>
      </c>
      <c r="B8136" s="136" t="str">
        <f t="shared" si="99"/>
        <v/>
      </c>
    </row>
    <row r="8137" spans="1:2">
      <c r="A8137" s="136" t="str">
        <f t="shared" si="98"/>
        <v/>
      </c>
      <c r="B8137" s="136" t="str">
        <f t="shared" si="99"/>
        <v/>
      </c>
    </row>
    <row r="8138" spans="1:2">
      <c r="A8138" s="136" t="str">
        <f t="shared" si="98"/>
        <v/>
      </c>
      <c r="B8138" s="136" t="str">
        <f t="shared" si="99"/>
        <v/>
      </c>
    </row>
    <row r="8139" spans="1:2">
      <c r="A8139" s="136" t="str">
        <f t="shared" si="98"/>
        <v/>
      </c>
      <c r="B8139" s="136" t="str">
        <f t="shared" si="99"/>
        <v/>
      </c>
    </row>
    <row r="8140" spans="1:2">
      <c r="A8140" s="136" t="str">
        <f t="shared" si="98"/>
        <v/>
      </c>
      <c r="B8140" s="136" t="str">
        <f t="shared" si="99"/>
        <v/>
      </c>
    </row>
    <row r="8141" spans="1:2">
      <c r="A8141" s="136" t="str">
        <f t="shared" si="98"/>
        <v/>
      </c>
      <c r="B8141" s="136" t="str">
        <f t="shared" si="99"/>
        <v/>
      </c>
    </row>
    <row r="8142" spans="1:2">
      <c r="A8142" s="136" t="str">
        <f t="shared" si="98"/>
        <v/>
      </c>
      <c r="B8142" s="136" t="str">
        <f t="shared" si="99"/>
        <v/>
      </c>
    </row>
    <row r="8143" spans="1:2">
      <c r="A8143" s="136" t="str">
        <f t="shared" si="98"/>
        <v/>
      </c>
      <c r="B8143" s="136" t="str">
        <f t="shared" si="99"/>
        <v/>
      </c>
    </row>
    <row r="8144" spans="1:2">
      <c r="A8144" s="136" t="str">
        <f t="shared" si="98"/>
        <v/>
      </c>
      <c r="B8144" s="136" t="str">
        <f t="shared" si="99"/>
        <v/>
      </c>
    </row>
    <row r="8145" spans="1:2">
      <c r="A8145" s="136" t="str">
        <f t="shared" si="98"/>
        <v/>
      </c>
      <c r="B8145" s="136" t="str">
        <f t="shared" si="99"/>
        <v/>
      </c>
    </row>
    <row r="8146" spans="1:2">
      <c r="A8146" s="136" t="str">
        <f t="shared" si="98"/>
        <v/>
      </c>
      <c r="B8146" s="136" t="str">
        <f t="shared" si="99"/>
        <v/>
      </c>
    </row>
    <row r="8147" spans="1:2">
      <c r="A8147" s="136" t="str">
        <f t="shared" si="98"/>
        <v/>
      </c>
      <c r="B8147" s="136" t="str">
        <f t="shared" si="99"/>
        <v/>
      </c>
    </row>
    <row r="8148" spans="1:2">
      <c r="A8148" s="136" t="str">
        <f t="shared" si="98"/>
        <v/>
      </c>
      <c r="B8148" s="136" t="str">
        <f t="shared" si="99"/>
        <v/>
      </c>
    </row>
    <row r="8149" spans="1:2">
      <c r="A8149" s="136" t="str">
        <f t="shared" si="98"/>
        <v/>
      </c>
      <c r="B8149" s="136" t="str">
        <f t="shared" si="99"/>
        <v/>
      </c>
    </row>
    <row r="8150" spans="1:2">
      <c r="A8150" s="136" t="str">
        <f t="shared" si="98"/>
        <v/>
      </c>
      <c r="B8150" s="136" t="str">
        <f t="shared" si="99"/>
        <v/>
      </c>
    </row>
    <row r="8151" spans="1:2">
      <c r="A8151" s="136" t="str">
        <f t="shared" si="98"/>
        <v/>
      </c>
      <c r="B8151" s="136" t="str">
        <f t="shared" si="99"/>
        <v/>
      </c>
    </row>
    <row r="8152" spans="1:2">
      <c r="A8152" s="136" t="str">
        <f t="shared" si="98"/>
        <v/>
      </c>
      <c r="B8152" s="136" t="str">
        <f t="shared" si="99"/>
        <v/>
      </c>
    </row>
    <row r="8153" spans="1:2">
      <c r="A8153" s="136" t="str">
        <f t="shared" si="98"/>
        <v/>
      </c>
      <c r="B8153" s="136" t="str">
        <f t="shared" si="99"/>
        <v/>
      </c>
    </row>
    <row r="8154" spans="1:2">
      <c r="A8154" s="136" t="str">
        <f t="shared" si="98"/>
        <v/>
      </c>
      <c r="B8154" s="136" t="str">
        <f t="shared" si="99"/>
        <v/>
      </c>
    </row>
    <row r="8155" spans="1:2">
      <c r="A8155" s="136" t="str">
        <f t="shared" si="98"/>
        <v/>
      </c>
      <c r="B8155" s="136" t="str">
        <f t="shared" si="99"/>
        <v/>
      </c>
    </row>
    <row r="8156" spans="1:2">
      <c r="A8156" s="136" t="str">
        <f t="shared" si="98"/>
        <v/>
      </c>
      <c r="B8156" s="136" t="str">
        <f t="shared" si="99"/>
        <v/>
      </c>
    </row>
    <row r="8157" spans="1:2">
      <c r="A8157" s="136" t="str">
        <f t="shared" si="98"/>
        <v/>
      </c>
      <c r="B8157" s="136" t="str">
        <f t="shared" si="99"/>
        <v/>
      </c>
    </row>
    <row r="8158" spans="1:2">
      <c r="A8158" s="136" t="str">
        <f t="shared" si="98"/>
        <v/>
      </c>
      <c r="B8158" s="136" t="str">
        <f t="shared" si="99"/>
        <v/>
      </c>
    </row>
    <row r="8159" spans="1:2">
      <c r="A8159" s="136" t="str">
        <f t="shared" si="98"/>
        <v/>
      </c>
      <c r="B8159" s="136" t="str">
        <f t="shared" si="99"/>
        <v/>
      </c>
    </row>
    <row r="8160" spans="1:2">
      <c r="A8160" s="136" t="str">
        <f t="shared" si="98"/>
        <v/>
      </c>
      <c r="B8160" s="136" t="str">
        <f t="shared" si="99"/>
        <v/>
      </c>
    </row>
    <row r="8161" spans="1:2">
      <c r="A8161" s="136" t="str">
        <f t="shared" si="98"/>
        <v/>
      </c>
      <c r="B8161" s="136" t="str">
        <f t="shared" si="99"/>
        <v/>
      </c>
    </row>
    <row r="8162" spans="1:2">
      <c r="A8162" s="136" t="str">
        <f t="shared" si="98"/>
        <v/>
      </c>
      <c r="B8162" s="136" t="str">
        <f t="shared" si="99"/>
        <v/>
      </c>
    </row>
    <row r="8163" spans="1:2">
      <c r="A8163" s="136" t="str">
        <f t="shared" si="98"/>
        <v/>
      </c>
      <c r="B8163" s="136" t="str">
        <f t="shared" si="99"/>
        <v/>
      </c>
    </row>
    <row r="8164" spans="1:2">
      <c r="A8164" s="136" t="str">
        <f t="shared" si="98"/>
        <v/>
      </c>
      <c r="B8164" s="136" t="str">
        <f t="shared" si="99"/>
        <v/>
      </c>
    </row>
    <row r="8165" spans="1:2">
      <c r="A8165" s="136" t="str">
        <f t="shared" si="98"/>
        <v/>
      </c>
      <c r="B8165" s="136" t="str">
        <f t="shared" si="99"/>
        <v/>
      </c>
    </row>
    <row r="8166" spans="1:2">
      <c r="A8166" s="136" t="str">
        <f t="shared" si="98"/>
        <v/>
      </c>
      <c r="B8166" s="136" t="str">
        <f t="shared" si="99"/>
        <v/>
      </c>
    </row>
    <row r="8167" spans="1:2">
      <c r="A8167" s="136" t="str">
        <f t="shared" si="98"/>
        <v/>
      </c>
      <c r="B8167" s="136" t="str">
        <f t="shared" si="99"/>
        <v/>
      </c>
    </row>
    <row r="8168" spans="1:2">
      <c r="A8168" s="136" t="str">
        <f t="shared" si="98"/>
        <v/>
      </c>
      <c r="B8168" s="136" t="str">
        <f t="shared" si="99"/>
        <v/>
      </c>
    </row>
    <row r="8169" spans="1:2">
      <c r="A8169" s="136" t="str">
        <f t="shared" si="98"/>
        <v/>
      </c>
      <c r="B8169" s="136" t="str">
        <f t="shared" si="99"/>
        <v/>
      </c>
    </row>
    <row r="8170" spans="1:2">
      <c r="A8170" s="136" t="str">
        <f t="shared" si="98"/>
        <v/>
      </c>
      <c r="B8170" s="136" t="str">
        <f t="shared" si="99"/>
        <v/>
      </c>
    </row>
    <row r="8171" spans="1:2">
      <c r="A8171" s="136" t="str">
        <f t="shared" si="98"/>
        <v/>
      </c>
      <c r="B8171" s="136" t="str">
        <f t="shared" si="99"/>
        <v/>
      </c>
    </row>
    <row r="8172" spans="1:2">
      <c r="A8172" s="136" t="str">
        <f t="shared" si="98"/>
        <v/>
      </c>
      <c r="B8172" s="136" t="str">
        <f t="shared" si="99"/>
        <v/>
      </c>
    </row>
    <row r="8173" spans="1:2">
      <c r="A8173" s="136" t="str">
        <f t="shared" si="98"/>
        <v/>
      </c>
      <c r="B8173" s="136" t="str">
        <f t="shared" si="99"/>
        <v/>
      </c>
    </row>
    <row r="8174" spans="1:2">
      <c r="A8174" s="136" t="str">
        <f t="shared" si="98"/>
        <v/>
      </c>
      <c r="B8174" s="136" t="str">
        <f t="shared" si="99"/>
        <v/>
      </c>
    </row>
    <row r="8175" spans="1:2">
      <c r="A8175" s="136" t="str">
        <f t="shared" si="98"/>
        <v/>
      </c>
      <c r="B8175" s="136" t="str">
        <f t="shared" si="99"/>
        <v/>
      </c>
    </row>
    <row r="8176" spans="1:2">
      <c r="A8176" s="136" t="str">
        <f t="shared" si="98"/>
        <v/>
      </c>
      <c r="B8176" s="136" t="str">
        <f t="shared" si="99"/>
        <v/>
      </c>
    </row>
    <row r="8177" spans="1:2">
      <c r="A8177" s="136" t="str">
        <f t="shared" si="98"/>
        <v/>
      </c>
      <c r="B8177" s="136" t="str">
        <f t="shared" si="99"/>
        <v/>
      </c>
    </row>
    <row r="8178" spans="1:2">
      <c r="A8178" s="136" t="str">
        <f t="shared" si="98"/>
        <v/>
      </c>
      <c r="B8178" s="136" t="str">
        <f t="shared" si="99"/>
        <v/>
      </c>
    </row>
    <row r="8179" spans="1:2">
      <c r="A8179" s="136" t="str">
        <f t="shared" si="98"/>
        <v/>
      </c>
      <c r="B8179" s="136" t="str">
        <f t="shared" si="99"/>
        <v/>
      </c>
    </row>
    <row r="8180" spans="1:2">
      <c r="A8180" s="136" t="str">
        <f t="shared" si="98"/>
        <v/>
      </c>
      <c r="B8180" s="136" t="str">
        <f t="shared" si="99"/>
        <v/>
      </c>
    </row>
    <row r="8181" spans="1:2">
      <c r="A8181" s="136" t="str">
        <f t="shared" si="98"/>
        <v/>
      </c>
      <c r="B8181" s="136" t="str">
        <f t="shared" si="99"/>
        <v/>
      </c>
    </row>
    <row r="8182" spans="1:2">
      <c r="A8182" s="136" t="str">
        <f t="shared" si="98"/>
        <v/>
      </c>
      <c r="B8182" s="136" t="str">
        <f t="shared" si="99"/>
        <v/>
      </c>
    </row>
    <row r="8183" spans="1:2">
      <c r="A8183" s="136" t="str">
        <f t="shared" si="98"/>
        <v/>
      </c>
      <c r="B8183" s="136" t="str">
        <f t="shared" si="99"/>
        <v/>
      </c>
    </row>
    <row r="8184" spans="1:2">
      <c r="A8184" s="136" t="str">
        <f t="shared" si="98"/>
        <v/>
      </c>
      <c r="B8184" s="136" t="str">
        <f t="shared" si="99"/>
        <v/>
      </c>
    </row>
    <row r="8185" spans="1:2">
      <c r="A8185" s="136" t="str">
        <f t="shared" ref="A8185:A8248" si="100">HYPERLINK("http://tw.stock.yahoo.com/q/ta?s=","")</f>
        <v/>
      </c>
      <c r="B8185" s="136" t="str">
        <f t="shared" ref="B8185:B8248" si="101">HYPERLINK("http://tw.stock.yahoo.com/d/s/earning_.html","")</f>
        <v/>
      </c>
    </row>
    <row r="8186" spans="1:2">
      <c r="A8186" s="136" t="str">
        <f t="shared" si="100"/>
        <v/>
      </c>
      <c r="B8186" s="136" t="str">
        <f t="shared" si="101"/>
        <v/>
      </c>
    </row>
    <row r="8187" spans="1:2">
      <c r="A8187" s="136" t="str">
        <f t="shared" si="100"/>
        <v/>
      </c>
      <c r="B8187" s="136" t="str">
        <f t="shared" si="101"/>
        <v/>
      </c>
    </row>
    <row r="8188" spans="1:2">
      <c r="A8188" s="136" t="str">
        <f t="shared" si="100"/>
        <v/>
      </c>
      <c r="B8188" s="136" t="str">
        <f t="shared" si="101"/>
        <v/>
      </c>
    </row>
    <row r="8189" spans="1:2">
      <c r="A8189" s="136" t="str">
        <f t="shared" si="100"/>
        <v/>
      </c>
      <c r="B8189" s="136" t="str">
        <f t="shared" si="101"/>
        <v/>
      </c>
    </row>
    <row r="8190" spans="1:2">
      <c r="A8190" s="136" t="str">
        <f t="shared" si="100"/>
        <v/>
      </c>
      <c r="B8190" s="136" t="str">
        <f t="shared" si="101"/>
        <v/>
      </c>
    </row>
    <row r="8191" spans="1:2">
      <c r="A8191" s="136" t="str">
        <f t="shared" si="100"/>
        <v/>
      </c>
      <c r="B8191" s="136" t="str">
        <f t="shared" si="101"/>
        <v/>
      </c>
    </row>
    <row r="8192" spans="1:2">
      <c r="A8192" s="136" t="str">
        <f t="shared" si="100"/>
        <v/>
      </c>
      <c r="B8192" s="136" t="str">
        <f t="shared" si="101"/>
        <v/>
      </c>
    </row>
    <row r="8193" spans="1:2">
      <c r="A8193" s="136" t="str">
        <f t="shared" si="100"/>
        <v/>
      </c>
      <c r="B8193" s="136" t="str">
        <f t="shared" si="101"/>
        <v/>
      </c>
    </row>
    <row r="8194" spans="1:2">
      <c r="A8194" s="136" t="str">
        <f t="shared" si="100"/>
        <v/>
      </c>
      <c r="B8194" s="136" t="str">
        <f t="shared" si="101"/>
        <v/>
      </c>
    </row>
    <row r="8195" spans="1:2">
      <c r="A8195" s="136" t="str">
        <f t="shared" si="100"/>
        <v/>
      </c>
      <c r="B8195" s="136" t="str">
        <f t="shared" si="101"/>
        <v/>
      </c>
    </row>
    <row r="8196" spans="1:2">
      <c r="A8196" s="136" t="str">
        <f t="shared" si="100"/>
        <v/>
      </c>
      <c r="B8196" s="136" t="str">
        <f t="shared" si="101"/>
        <v/>
      </c>
    </row>
    <row r="8197" spans="1:2">
      <c r="A8197" s="136" t="str">
        <f t="shared" si="100"/>
        <v/>
      </c>
      <c r="B8197" s="136" t="str">
        <f t="shared" si="101"/>
        <v/>
      </c>
    </row>
    <row r="8198" spans="1:2">
      <c r="A8198" s="136" t="str">
        <f t="shared" si="100"/>
        <v/>
      </c>
      <c r="B8198" s="136" t="str">
        <f t="shared" si="101"/>
        <v/>
      </c>
    </row>
    <row r="8199" spans="1:2">
      <c r="A8199" s="136" t="str">
        <f t="shared" si="100"/>
        <v/>
      </c>
      <c r="B8199" s="136" t="str">
        <f t="shared" si="101"/>
        <v/>
      </c>
    </row>
    <row r="8200" spans="1:2">
      <c r="A8200" s="136" t="str">
        <f t="shared" si="100"/>
        <v/>
      </c>
      <c r="B8200" s="136" t="str">
        <f t="shared" si="101"/>
        <v/>
      </c>
    </row>
    <row r="8201" spans="1:2">
      <c r="A8201" s="136" t="str">
        <f t="shared" si="100"/>
        <v/>
      </c>
      <c r="B8201" s="136" t="str">
        <f t="shared" si="101"/>
        <v/>
      </c>
    </row>
    <row r="8202" spans="1:2">
      <c r="A8202" s="136" t="str">
        <f t="shared" si="100"/>
        <v/>
      </c>
      <c r="B8202" s="136" t="str">
        <f t="shared" si="101"/>
        <v/>
      </c>
    </row>
    <row r="8203" spans="1:2">
      <c r="A8203" s="136" t="str">
        <f t="shared" si="100"/>
        <v/>
      </c>
      <c r="B8203" s="136" t="str">
        <f t="shared" si="101"/>
        <v/>
      </c>
    </row>
    <row r="8204" spans="1:2">
      <c r="A8204" s="136" t="str">
        <f t="shared" si="100"/>
        <v/>
      </c>
      <c r="B8204" s="136" t="str">
        <f t="shared" si="101"/>
        <v/>
      </c>
    </row>
    <row r="8205" spans="1:2">
      <c r="A8205" s="136" t="str">
        <f t="shared" si="100"/>
        <v/>
      </c>
      <c r="B8205" s="136" t="str">
        <f t="shared" si="101"/>
        <v/>
      </c>
    </row>
    <row r="8206" spans="1:2">
      <c r="A8206" s="136" t="str">
        <f t="shared" si="100"/>
        <v/>
      </c>
      <c r="B8206" s="136" t="str">
        <f t="shared" si="101"/>
        <v/>
      </c>
    </row>
    <row r="8207" spans="1:2">
      <c r="A8207" s="136" t="str">
        <f t="shared" si="100"/>
        <v/>
      </c>
      <c r="B8207" s="136" t="str">
        <f t="shared" si="101"/>
        <v/>
      </c>
    </row>
    <row r="8208" spans="1:2">
      <c r="A8208" s="136" t="str">
        <f t="shared" si="100"/>
        <v/>
      </c>
      <c r="B8208" s="136" t="str">
        <f t="shared" si="101"/>
        <v/>
      </c>
    </row>
    <row r="8209" spans="1:2">
      <c r="A8209" s="136" t="str">
        <f t="shared" si="100"/>
        <v/>
      </c>
      <c r="B8209" s="136" t="str">
        <f t="shared" si="101"/>
        <v/>
      </c>
    </row>
    <row r="8210" spans="1:2">
      <c r="A8210" s="136" t="str">
        <f t="shared" si="100"/>
        <v/>
      </c>
      <c r="B8210" s="136" t="str">
        <f t="shared" si="101"/>
        <v/>
      </c>
    </row>
    <row r="8211" spans="1:2">
      <c r="A8211" s="136" t="str">
        <f t="shared" si="100"/>
        <v/>
      </c>
      <c r="B8211" s="136" t="str">
        <f t="shared" si="101"/>
        <v/>
      </c>
    </row>
    <row r="8212" spans="1:2">
      <c r="A8212" s="136" t="str">
        <f t="shared" si="100"/>
        <v/>
      </c>
      <c r="B8212" s="136" t="str">
        <f t="shared" si="101"/>
        <v/>
      </c>
    </row>
    <row r="8213" spans="1:2">
      <c r="A8213" s="136" t="str">
        <f t="shared" si="100"/>
        <v/>
      </c>
      <c r="B8213" s="136" t="str">
        <f t="shared" si="101"/>
        <v/>
      </c>
    </row>
    <row r="8214" spans="1:2">
      <c r="A8214" s="136" t="str">
        <f t="shared" si="100"/>
        <v/>
      </c>
      <c r="B8214" s="136" t="str">
        <f t="shared" si="101"/>
        <v/>
      </c>
    </row>
    <row r="8215" spans="1:2">
      <c r="A8215" s="136" t="str">
        <f t="shared" si="100"/>
        <v/>
      </c>
      <c r="B8215" s="136" t="str">
        <f t="shared" si="101"/>
        <v/>
      </c>
    </row>
    <row r="8216" spans="1:2">
      <c r="A8216" s="136" t="str">
        <f t="shared" si="100"/>
        <v/>
      </c>
      <c r="B8216" s="136" t="str">
        <f t="shared" si="101"/>
        <v/>
      </c>
    </row>
    <row r="8217" spans="1:2">
      <c r="A8217" s="136" t="str">
        <f t="shared" si="100"/>
        <v/>
      </c>
      <c r="B8217" s="136" t="str">
        <f t="shared" si="101"/>
        <v/>
      </c>
    </row>
    <row r="8218" spans="1:2">
      <c r="A8218" s="136" t="str">
        <f t="shared" si="100"/>
        <v/>
      </c>
      <c r="B8218" s="136" t="str">
        <f t="shared" si="101"/>
        <v/>
      </c>
    </row>
    <row r="8219" spans="1:2">
      <c r="A8219" s="136" t="str">
        <f t="shared" si="100"/>
        <v/>
      </c>
      <c r="B8219" s="136" t="str">
        <f t="shared" si="101"/>
        <v/>
      </c>
    </row>
    <row r="8220" spans="1:2">
      <c r="A8220" s="136" t="str">
        <f t="shared" si="100"/>
        <v/>
      </c>
      <c r="B8220" s="136" t="str">
        <f t="shared" si="101"/>
        <v/>
      </c>
    </row>
    <row r="8221" spans="1:2">
      <c r="A8221" s="136" t="str">
        <f t="shared" si="100"/>
        <v/>
      </c>
      <c r="B8221" s="136" t="str">
        <f t="shared" si="101"/>
        <v/>
      </c>
    </row>
    <row r="8222" spans="1:2">
      <c r="A8222" s="136" t="str">
        <f t="shared" si="100"/>
        <v/>
      </c>
      <c r="B8222" s="136" t="str">
        <f t="shared" si="101"/>
        <v/>
      </c>
    </row>
    <row r="8223" spans="1:2">
      <c r="A8223" s="136" t="str">
        <f t="shared" si="100"/>
        <v/>
      </c>
      <c r="B8223" s="136" t="str">
        <f t="shared" si="101"/>
        <v/>
      </c>
    </row>
    <row r="8224" spans="1:2">
      <c r="A8224" s="136" t="str">
        <f t="shared" si="100"/>
        <v/>
      </c>
      <c r="B8224" s="136" t="str">
        <f t="shared" si="101"/>
        <v/>
      </c>
    </row>
    <row r="8225" spans="1:2">
      <c r="A8225" s="136" t="str">
        <f t="shared" si="100"/>
        <v/>
      </c>
      <c r="B8225" s="136" t="str">
        <f t="shared" si="101"/>
        <v/>
      </c>
    </row>
    <row r="8226" spans="1:2">
      <c r="A8226" s="136" t="str">
        <f t="shared" si="100"/>
        <v/>
      </c>
      <c r="B8226" s="136" t="str">
        <f t="shared" si="101"/>
        <v/>
      </c>
    </row>
    <row r="8227" spans="1:2">
      <c r="A8227" s="136" t="str">
        <f t="shared" si="100"/>
        <v/>
      </c>
      <c r="B8227" s="136" t="str">
        <f t="shared" si="101"/>
        <v/>
      </c>
    </row>
    <row r="8228" spans="1:2">
      <c r="A8228" s="136" t="str">
        <f t="shared" si="100"/>
        <v/>
      </c>
      <c r="B8228" s="136" t="str">
        <f t="shared" si="101"/>
        <v/>
      </c>
    </row>
    <row r="8229" spans="1:2">
      <c r="A8229" s="136" t="str">
        <f t="shared" si="100"/>
        <v/>
      </c>
      <c r="B8229" s="136" t="str">
        <f t="shared" si="101"/>
        <v/>
      </c>
    </row>
    <row r="8230" spans="1:2">
      <c r="A8230" s="136" t="str">
        <f t="shared" si="100"/>
        <v/>
      </c>
      <c r="B8230" s="136" t="str">
        <f t="shared" si="101"/>
        <v/>
      </c>
    </row>
    <row r="8231" spans="1:2">
      <c r="A8231" s="136" t="str">
        <f t="shared" si="100"/>
        <v/>
      </c>
      <c r="B8231" s="136" t="str">
        <f t="shared" si="101"/>
        <v/>
      </c>
    </row>
    <row r="8232" spans="1:2">
      <c r="A8232" s="136" t="str">
        <f t="shared" si="100"/>
        <v/>
      </c>
      <c r="B8232" s="136" t="str">
        <f t="shared" si="101"/>
        <v/>
      </c>
    </row>
    <row r="8233" spans="1:2">
      <c r="A8233" s="136" t="str">
        <f t="shared" si="100"/>
        <v/>
      </c>
      <c r="B8233" s="136" t="str">
        <f t="shared" si="101"/>
        <v/>
      </c>
    </row>
    <row r="8234" spans="1:2">
      <c r="A8234" s="136" t="str">
        <f t="shared" si="100"/>
        <v/>
      </c>
      <c r="B8234" s="136" t="str">
        <f t="shared" si="101"/>
        <v/>
      </c>
    </row>
    <row r="8235" spans="1:2">
      <c r="A8235" s="136" t="str">
        <f t="shared" si="100"/>
        <v/>
      </c>
      <c r="B8235" s="136" t="str">
        <f t="shared" si="101"/>
        <v/>
      </c>
    </row>
    <row r="8236" spans="1:2">
      <c r="A8236" s="136" t="str">
        <f t="shared" si="100"/>
        <v/>
      </c>
      <c r="B8236" s="136" t="str">
        <f t="shared" si="101"/>
        <v/>
      </c>
    </row>
    <row r="8237" spans="1:2">
      <c r="A8237" s="136" t="str">
        <f t="shared" si="100"/>
        <v/>
      </c>
      <c r="B8237" s="136" t="str">
        <f t="shared" si="101"/>
        <v/>
      </c>
    </row>
    <row r="8238" spans="1:2">
      <c r="A8238" s="136" t="str">
        <f t="shared" si="100"/>
        <v/>
      </c>
      <c r="B8238" s="136" t="str">
        <f t="shared" si="101"/>
        <v/>
      </c>
    </row>
    <row r="8239" spans="1:2">
      <c r="A8239" s="136" t="str">
        <f t="shared" si="100"/>
        <v/>
      </c>
      <c r="B8239" s="136" t="str">
        <f t="shared" si="101"/>
        <v/>
      </c>
    </row>
    <row r="8240" spans="1:2">
      <c r="A8240" s="136" t="str">
        <f t="shared" si="100"/>
        <v/>
      </c>
      <c r="B8240" s="136" t="str">
        <f t="shared" si="101"/>
        <v/>
      </c>
    </row>
    <row r="8241" spans="1:2">
      <c r="A8241" s="136" t="str">
        <f t="shared" si="100"/>
        <v/>
      </c>
      <c r="B8241" s="136" t="str">
        <f t="shared" si="101"/>
        <v/>
      </c>
    </row>
    <row r="8242" spans="1:2">
      <c r="A8242" s="136" t="str">
        <f t="shared" si="100"/>
        <v/>
      </c>
      <c r="B8242" s="136" t="str">
        <f t="shared" si="101"/>
        <v/>
      </c>
    </row>
    <row r="8243" spans="1:2">
      <c r="A8243" s="136" t="str">
        <f t="shared" si="100"/>
        <v/>
      </c>
      <c r="B8243" s="136" t="str">
        <f t="shared" si="101"/>
        <v/>
      </c>
    </row>
    <row r="8244" spans="1:2">
      <c r="A8244" s="136" t="str">
        <f t="shared" si="100"/>
        <v/>
      </c>
      <c r="B8244" s="136" t="str">
        <f t="shared" si="101"/>
        <v/>
      </c>
    </row>
    <row r="8245" spans="1:2">
      <c r="A8245" s="136" t="str">
        <f t="shared" si="100"/>
        <v/>
      </c>
      <c r="B8245" s="136" t="str">
        <f t="shared" si="101"/>
        <v/>
      </c>
    </row>
    <row r="8246" spans="1:2">
      <c r="A8246" s="136" t="str">
        <f t="shared" si="100"/>
        <v/>
      </c>
      <c r="B8246" s="136" t="str">
        <f t="shared" si="101"/>
        <v/>
      </c>
    </row>
    <row r="8247" spans="1:2">
      <c r="A8247" s="136" t="str">
        <f t="shared" si="100"/>
        <v/>
      </c>
      <c r="B8247" s="136" t="str">
        <f t="shared" si="101"/>
        <v/>
      </c>
    </row>
    <row r="8248" spans="1:2">
      <c r="A8248" s="136" t="str">
        <f t="shared" si="100"/>
        <v/>
      </c>
      <c r="B8248" s="136" t="str">
        <f t="shared" si="101"/>
        <v/>
      </c>
    </row>
    <row r="8249" spans="1:2">
      <c r="A8249" s="136" t="str">
        <f t="shared" ref="A8249:A8312" si="102">HYPERLINK("http://tw.stock.yahoo.com/q/ta?s=","")</f>
        <v/>
      </c>
      <c r="B8249" s="136" t="str">
        <f t="shared" ref="B8249:B8312" si="103">HYPERLINK("http://tw.stock.yahoo.com/d/s/earning_.html","")</f>
        <v/>
      </c>
    </row>
    <row r="8250" spans="1:2">
      <c r="A8250" s="136" t="str">
        <f t="shared" si="102"/>
        <v/>
      </c>
      <c r="B8250" s="136" t="str">
        <f t="shared" si="103"/>
        <v/>
      </c>
    </row>
    <row r="8251" spans="1:2">
      <c r="A8251" s="136" t="str">
        <f t="shared" si="102"/>
        <v/>
      </c>
      <c r="B8251" s="136" t="str">
        <f t="shared" si="103"/>
        <v/>
      </c>
    </row>
    <row r="8252" spans="1:2">
      <c r="A8252" s="136" t="str">
        <f t="shared" si="102"/>
        <v/>
      </c>
      <c r="B8252" s="136" t="str">
        <f t="shared" si="103"/>
        <v/>
      </c>
    </row>
    <row r="8253" spans="1:2">
      <c r="A8253" s="136" t="str">
        <f t="shared" si="102"/>
        <v/>
      </c>
      <c r="B8253" s="136" t="str">
        <f t="shared" si="103"/>
        <v/>
      </c>
    </row>
    <row r="8254" spans="1:2">
      <c r="A8254" s="136" t="str">
        <f t="shared" si="102"/>
        <v/>
      </c>
      <c r="B8254" s="136" t="str">
        <f t="shared" si="103"/>
        <v/>
      </c>
    </row>
    <row r="8255" spans="1:2">
      <c r="A8255" s="136" t="str">
        <f t="shared" si="102"/>
        <v/>
      </c>
      <c r="B8255" s="136" t="str">
        <f t="shared" si="103"/>
        <v/>
      </c>
    </row>
    <row r="8256" spans="1:2">
      <c r="A8256" s="136" t="str">
        <f t="shared" si="102"/>
        <v/>
      </c>
      <c r="B8256" s="136" t="str">
        <f t="shared" si="103"/>
        <v/>
      </c>
    </row>
    <row r="8257" spans="1:2">
      <c r="A8257" s="136" t="str">
        <f t="shared" si="102"/>
        <v/>
      </c>
      <c r="B8257" s="136" t="str">
        <f t="shared" si="103"/>
        <v/>
      </c>
    </row>
    <row r="8258" spans="1:2">
      <c r="A8258" s="136" t="str">
        <f t="shared" si="102"/>
        <v/>
      </c>
      <c r="B8258" s="136" t="str">
        <f t="shared" si="103"/>
        <v/>
      </c>
    </row>
    <row r="8259" spans="1:2">
      <c r="A8259" s="136" t="str">
        <f t="shared" si="102"/>
        <v/>
      </c>
      <c r="B8259" s="136" t="str">
        <f t="shared" si="103"/>
        <v/>
      </c>
    </row>
    <row r="8260" spans="1:2">
      <c r="A8260" s="136" t="str">
        <f t="shared" si="102"/>
        <v/>
      </c>
      <c r="B8260" s="136" t="str">
        <f t="shared" si="103"/>
        <v/>
      </c>
    </row>
    <row r="8261" spans="1:2">
      <c r="A8261" s="136" t="str">
        <f t="shared" si="102"/>
        <v/>
      </c>
      <c r="B8261" s="136" t="str">
        <f t="shared" si="103"/>
        <v/>
      </c>
    </row>
    <row r="8262" spans="1:2">
      <c r="A8262" s="136" t="str">
        <f t="shared" si="102"/>
        <v/>
      </c>
      <c r="B8262" s="136" t="str">
        <f t="shared" si="103"/>
        <v/>
      </c>
    </row>
    <row r="8263" spans="1:2">
      <c r="A8263" s="136" t="str">
        <f t="shared" si="102"/>
        <v/>
      </c>
      <c r="B8263" s="136" t="str">
        <f t="shared" si="103"/>
        <v/>
      </c>
    </row>
    <row r="8264" spans="1:2">
      <c r="A8264" s="136" t="str">
        <f t="shared" si="102"/>
        <v/>
      </c>
      <c r="B8264" s="136" t="str">
        <f t="shared" si="103"/>
        <v/>
      </c>
    </row>
    <row r="8265" spans="1:2">
      <c r="A8265" s="136" t="str">
        <f t="shared" si="102"/>
        <v/>
      </c>
      <c r="B8265" s="136" t="str">
        <f t="shared" si="103"/>
        <v/>
      </c>
    </row>
    <row r="8266" spans="1:2">
      <c r="A8266" s="136" t="str">
        <f t="shared" si="102"/>
        <v/>
      </c>
      <c r="B8266" s="136" t="str">
        <f t="shared" si="103"/>
        <v/>
      </c>
    </row>
    <row r="8267" spans="1:2">
      <c r="A8267" s="136" t="str">
        <f t="shared" si="102"/>
        <v/>
      </c>
      <c r="B8267" s="136" t="str">
        <f t="shared" si="103"/>
        <v/>
      </c>
    </row>
    <row r="8268" spans="1:2">
      <c r="A8268" s="136" t="str">
        <f t="shared" si="102"/>
        <v/>
      </c>
      <c r="B8268" s="136" t="str">
        <f t="shared" si="103"/>
        <v/>
      </c>
    </row>
    <row r="8269" spans="1:2">
      <c r="A8269" s="136" t="str">
        <f t="shared" si="102"/>
        <v/>
      </c>
      <c r="B8269" s="136" t="str">
        <f t="shared" si="103"/>
        <v/>
      </c>
    </row>
    <row r="8270" spans="1:2">
      <c r="A8270" s="136" t="str">
        <f t="shared" si="102"/>
        <v/>
      </c>
      <c r="B8270" s="136" t="str">
        <f t="shared" si="103"/>
        <v/>
      </c>
    </row>
    <row r="8271" spans="1:2">
      <c r="A8271" s="136" t="str">
        <f t="shared" si="102"/>
        <v/>
      </c>
      <c r="B8271" s="136" t="str">
        <f t="shared" si="103"/>
        <v/>
      </c>
    </row>
    <row r="8272" spans="1:2">
      <c r="A8272" s="136" t="str">
        <f t="shared" si="102"/>
        <v/>
      </c>
      <c r="B8272" s="136" t="str">
        <f t="shared" si="103"/>
        <v/>
      </c>
    </row>
    <row r="8273" spans="1:2">
      <c r="A8273" s="136" t="str">
        <f t="shared" si="102"/>
        <v/>
      </c>
      <c r="B8273" s="136" t="str">
        <f t="shared" si="103"/>
        <v/>
      </c>
    </row>
    <row r="8274" spans="1:2">
      <c r="A8274" s="136" t="str">
        <f t="shared" si="102"/>
        <v/>
      </c>
      <c r="B8274" s="136" t="str">
        <f t="shared" si="103"/>
        <v/>
      </c>
    </row>
    <row r="8275" spans="1:2">
      <c r="A8275" s="136" t="str">
        <f t="shared" si="102"/>
        <v/>
      </c>
      <c r="B8275" s="136" t="str">
        <f t="shared" si="103"/>
        <v/>
      </c>
    </row>
    <row r="8276" spans="1:2">
      <c r="A8276" s="136" t="str">
        <f t="shared" si="102"/>
        <v/>
      </c>
      <c r="B8276" s="136" t="str">
        <f t="shared" si="103"/>
        <v/>
      </c>
    </row>
    <row r="8277" spans="1:2">
      <c r="A8277" s="136" t="str">
        <f t="shared" si="102"/>
        <v/>
      </c>
      <c r="B8277" s="136" t="str">
        <f t="shared" si="103"/>
        <v/>
      </c>
    </row>
    <row r="8278" spans="1:2">
      <c r="A8278" s="136" t="str">
        <f t="shared" si="102"/>
        <v/>
      </c>
      <c r="B8278" s="136" t="str">
        <f t="shared" si="103"/>
        <v/>
      </c>
    </row>
    <row r="8279" spans="1:2">
      <c r="A8279" s="136" t="str">
        <f t="shared" si="102"/>
        <v/>
      </c>
      <c r="B8279" s="136" t="str">
        <f t="shared" si="103"/>
        <v/>
      </c>
    </row>
    <row r="8280" spans="1:2">
      <c r="A8280" s="136" t="str">
        <f t="shared" si="102"/>
        <v/>
      </c>
      <c r="B8280" s="136" t="str">
        <f t="shared" si="103"/>
        <v/>
      </c>
    </row>
    <row r="8281" spans="1:2">
      <c r="A8281" s="136" t="str">
        <f t="shared" si="102"/>
        <v/>
      </c>
      <c r="B8281" s="136" t="str">
        <f t="shared" si="103"/>
        <v/>
      </c>
    </row>
    <row r="8282" spans="1:2">
      <c r="A8282" s="136" t="str">
        <f t="shared" si="102"/>
        <v/>
      </c>
      <c r="B8282" s="136" t="str">
        <f t="shared" si="103"/>
        <v/>
      </c>
    </row>
    <row r="8283" spans="1:2">
      <c r="A8283" s="136" t="str">
        <f t="shared" si="102"/>
        <v/>
      </c>
      <c r="B8283" s="136" t="str">
        <f t="shared" si="103"/>
        <v/>
      </c>
    </row>
    <row r="8284" spans="1:2">
      <c r="A8284" s="136" t="str">
        <f t="shared" si="102"/>
        <v/>
      </c>
      <c r="B8284" s="136" t="str">
        <f t="shared" si="103"/>
        <v/>
      </c>
    </row>
    <row r="8285" spans="1:2">
      <c r="A8285" s="136" t="str">
        <f t="shared" si="102"/>
        <v/>
      </c>
      <c r="B8285" s="136" t="str">
        <f t="shared" si="103"/>
        <v/>
      </c>
    </row>
    <row r="8286" spans="1:2">
      <c r="A8286" s="136" t="str">
        <f t="shared" si="102"/>
        <v/>
      </c>
      <c r="B8286" s="136" t="str">
        <f t="shared" si="103"/>
        <v/>
      </c>
    </row>
    <row r="8287" spans="1:2">
      <c r="A8287" s="136" t="str">
        <f t="shared" si="102"/>
        <v/>
      </c>
      <c r="B8287" s="136" t="str">
        <f t="shared" si="103"/>
        <v/>
      </c>
    </row>
    <row r="8288" spans="1:2">
      <c r="A8288" s="136" t="str">
        <f t="shared" si="102"/>
        <v/>
      </c>
      <c r="B8288" s="136" t="str">
        <f t="shared" si="103"/>
        <v/>
      </c>
    </row>
    <row r="8289" spans="1:2">
      <c r="A8289" s="136" t="str">
        <f t="shared" si="102"/>
        <v/>
      </c>
      <c r="B8289" s="136" t="str">
        <f t="shared" si="103"/>
        <v/>
      </c>
    </row>
    <row r="8290" spans="1:2">
      <c r="A8290" s="136" t="str">
        <f t="shared" si="102"/>
        <v/>
      </c>
      <c r="B8290" s="136" t="str">
        <f t="shared" si="103"/>
        <v/>
      </c>
    </row>
    <row r="8291" spans="1:2">
      <c r="A8291" s="136" t="str">
        <f t="shared" si="102"/>
        <v/>
      </c>
      <c r="B8291" s="136" t="str">
        <f t="shared" si="103"/>
        <v/>
      </c>
    </row>
    <row r="8292" spans="1:2">
      <c r="A8292" s="136" t="str">
        <f t="shared" si="102"/>
        <v/>
      </c>
      <c r="B8292" s="136" t="str">
        <f t="shared" si="103"/>
        <v/>
      </c>
    </row>
    <row r="8293" spans="1:2">
      <c r="A8293" s="136" t="str">
        <f t="shared" si="102"/>
        <v/>
      </c>
      <c r="B8293" s="136" t="str">
        <f t="shared" si="103"/>
        <v/>
      </c>
    </row>
    <row r="8294" spans="1:2">
      <c r="A8294" s="136" t="str">
        <f t="shared" si="102"/>
        <v/>
      </c>
      <c r="B8294" s="136" t="str">
        <f t="shared" si="103"/>
        <v/>
      </c>
    </row>
    <row r="8295" spans="1:2">
      <c r="A8295" s="136" t="str">
        <f t="shared" si="102"/>
        <v/>
      </c>
      <c r="B8295" s="136" t="str">
        <f t="shared" si="103"/>
        <v/>
      </c>
    </row>
    <row r="8296" spans="1:2">
      <c r="A8296" s="136" t="str">
        <f t="shared" si="102"/>
        <v/>
      </c>
      <c r="B8296" s="136" t="str">
        <f t="shared" si="103"/>
        <v/>
      </c>
    </row>
    <row r="8297" spans="1:2">
      <c r="A8297" s="136" t="str">
        <f t="shared" si="102"/>
        <v/>
      </c>
      <c r="B8297" s="136" t="str">
        <f t="shared" si="103"/>
        <v/>
      </c>
    </row>
    <row r="8298" spans="1:2">
      <c r="A8298" s="136" t="str">
        <f t="shared" si="102"/>
        <v/>
      </c>
      <c r="B8298" s="136" t="str">
        <f t="shared" si="103"/>
        <v/>
      </c>
    </row>
    <row r="8299" spans="1:2">
      <c r="A8299" s="136" t="str">
        <f t="shared" si="102"/>
        <v/>
      </c>
      <c r="B8299" s="136" t="str">
        <f t="shared" si="103"/>
        <v/>
      </c>
    </row>
    <row r="8300" spans="1:2">
      <c r="A8300" s="136" t="str">
        <f t="shared" si="102"/>
        <v/>
      </c>
      <c r="B8300" s="136" t="str">
        <f t="shared" si="103"/>
        <v/>
      </c>
    </row>
    <row r="8301" spans="1:2">
      <c r="A8301" s="136" t="str">
        <f t="shared" si="102"/>
        <v/>
      </c>
      <c r="B8301" s="136" t="str">
        <f t="shared" si="103"/>
        <v/>
      </c>
    </row>
    <row r="8302" spans="1:2">
      <c r="A8302" s="136" t="str">
        <f t="shared" si="102"/>
        <v/>
      </c>
      <c r="B8302" s="136" t="str">
        <f t="shared" si="103"/>
        <v/>
      </c>
    </row>
    <row r="8303" spans="1:2">
      <c r="A8303" s="136" t="str">
        <f t="shared" si="102"/>
        <v/>
      </c>
      <c r="B8303" s="136" t="str">
        <f t="shared" si="103"/>
        <v/>
      </c>
    </row>
    <row r="8304" spans="1:2">
      <c r="A8304" s="136" t="str">
        <f t="shared" si="102"/>
        <v/>
      </c>
      <c r="B8304" s="136" t="str">
        <f t="shared" si="103"/>
        <v/>
      </c>
    </row>
    <row r="8305" spans="1:2">
      <c r="A8305" s="136" t="str">
        <f t="shared" si="102"/>
        <v/>
      </c>
      <c r="B8305" s="136" t="str">
        <f t="shared" si="103"/>
        <v/>
      </c>
    </row>
    <row r="8306" spans="1:2">
      <c r="A8306" s="136" t="str">
        <f t="shared" si="102"/>
        <v/>
      </c>
      <c r="B8306" s="136" t="str">
        <f t="shared" si="103"/>
        <v/>
      </c>
    </row>
    <row r="8307" spans="1:2">
      <c r="A8307" s="136" t="str">
        <f t="shared" si="102"/>
        <v/>
      </c>
      <c r="B8307" s="136" t="str">
        <f t="shared" si="103"/>
        <v/>
      </c>
    </row>
    <row r="8308" spans="1:2">
      <c r="A8308" s="136" t="str">
        <f t="shared" si="102"/>
        <v/>
      </c>
      <c r="B8308" s="136" t="str">
        <f t="shared" si="103"/>
        <v/>
      </c>
    </row>
    <row r="8309" spans="1:2">
      <c r="A8309" s="136" t="str">
        <f t="shared" si="102"/>
        <v/>
      </c>
      <c r="B8309" s="136" t="str">
        <f t="shared" si="103"/>
        <v/>
      </c>
    </row>
    <row r="8310" spans="1:2">
      <c r="A8310" s="136" t="str">
        <f t="shared" si="102"/>
        <v/>
      </c>
      <c r="B8310" s="136" t="str">
        <f t="shared" si="103"/>
        <v/>
      </c>
    </row>
    <row r="8311" spans="1:2">
      <c r="A8311" s="136" t="str">
        <f t="shared" si="102"/>
        <v/>
      </c>
      <c r="B8311" s="136" t="str">
        <f t="shared" si="103"/>
        <v/>
      </c>
    </row>
    <row r="8312" spans="1:2">
      <c r="A8312" s="136" t="str">
        <f t="shared" si="102"/>
        <v/>
      </c>
      <c r="B8312" s="136" t="str">
        <f t="shared" si="103"/>
        <v/>
      </c>
    </row>
    <row r="8313" spans="1:2">
      <c r="A8313" s="136" t="str">
        <f t="shared" ref="A8313:A8376" si="104">HYPERLINK("http://tw.stock.yahoo.com/q/ta?s=","")</f>
        <v/>
      </c>
      <c r="B8313" s="136" t="str">
        <f t="shared" ref="B8313:B8376" si="105">HYPERLINK("http://tw.stock.yahoo.com/d/s/earning_.html","")</f>
        <v/>
      </c>
    </row>
    <row r="8314" spans="1:2">
      <c r="A8314" s="136" t="str">
        <f t="shared" si="104"/>
        <v/>
      </c>
      <c r="B8314" s="136" t="str">
        <f t="shared" si="105"/>
        <v/>
      </c>
    </row>
    <row r="8315" spans="1:2">
      <c r="A8315" s="136" t="str">
        <f t="shared" si="104"/>
        <v/>
      </c>
      <c r="B8315" s="136" t="str">
        <f t="shared" si="105"/>
        <v/>
      </c>
    </row>
    <row r="8316" spans="1:2">
      <c r="A8316" s="136" t="str">
        <f t="shared" si="104"/>
        <v/>
      </c>
      <c r="B8316" s="136" t="str">
        <f t="shared" si="105"/>
        <v/>
      </c>
    </row>
    <row r="8317" spans="1:2">
      <c r="A8317" s="136" t="str">
        <f t="shared" si="104"/>
        <v/>
      </c>
      <c r="B8317" s="136" t="str">
        <f t="shared" si="105"/>
        <v/>
      </c>
    </row>
    <row r="8318" spans="1:2">
      <c r="A8318" s="136" t="str">
        <f t="shared" si="104"/>
        <v/>
      </c>
      <c r="B8318" s="136" t="str">
        <f t="shared" si="105"/>
        <v/>
      </c>
    </row>
    <row r="8319" spans="1:2">
      <c r="A8319" s="136" t="str">
        <f t="shared" si="104"/>
        <v/>
      </c>
      <c r="B8319" s="136" t="str">
        <f t="shared" si="105"/>
        <v/>
      </c>
    </row>
    <row r="8320" spans="1:2">
      <c r="A8320" s="136" t="str">
        <f t="shared" si="104"/>
        <v/>
      </c>
      <c r="B8320" s="136" t="str">
        <f t="shared" si="105"/>
        <v/>
      </c>
    </row>
    <row r="8321" spans="1:2">
      <c r="A8321" s="136" t="str">
        <f t="shared" si="104"/>
        <v/>
      </c>
      <c r="B8321" s="136" t="str">
        <f t="shared" si="105"/>
        <v/>
      </c>
    </row>
    <row r="8322" spans="1:2">
      <c r="A8322" s="136" t="str">
        <f t="shared" si="104"/>
        <v/>
      </c>
      <c r="B8322" s="136" t="str">
        <f t="shared" si="105"/>
        <v/>
      </c>
    </row>
    <row r="8323" spans="1:2">
      <c r="A8323" s="136" t="str">
        <f t="shared" si="104"/>
        <v/>
      </c>
      <c r="B8323" s="136" t="str">
        <f t="shared" si="105"/>
        <v/>
      </c>
    </row>
    <row r="8324" spans="1:2">
      <c r="A8324" s="136" t="str">
        <f t="shared" si="104"/>
        <v/>
      </c>
      <c r="B8324" s="136" t="str">
        <f t="shared" si="105"/>
        <v/>
      </c>
    </row>
    <row r="8325" spans="1:2">
      <c r="A8325" s="136" t="str">
        <f t="shared" si="104"/>
        <v/>
      </c>
      <c r="B8325" s="136" t="str">
        <f t="shared" si="105"/>
        <v/>
      </c>
    </row>
    <row r="8326" spans="1:2">
      <c r="A8326" s="136" t="str">
        <f t="shared" si="104"/>
        <v/>
      </c>
      <c r="B8326" s="136" t="str">
        <f t="shared" si="105"/>
        <v/>
      </c>
    </row>
    <row r="8327" spans="1:2">
      <c r="A8327" s="136" t="str">
        <f t="shared" si="104"/>
        <v/>
      </c>
      <c r="B8327" s="136" t="str">
        <f t="shared" si="105"/>
        <v/>
      </c>
    </row>
    <row r="8328" spans="1:2">
      <c r="A8328" s="136" t="str">
        <f t="shared" si="104"/>
        <v/>
      </c>
      <c r="B8328" s="136" t="str">
        <f t="shared" si="105"/>
        <v/>
      </c>
    </row>
    <row r="8329" spans="1:2">
      <c r="A8329" s="136" t="str">
        <f t="shared" si="104"/>
        <v/>
      </c>
      <c r="B8329" s="136" t="str">
        <f t="shared" si="105"/>
        <v/>
      </c>
    </row>
    <row r="8330" spans="1:2">
      <c r="A8330" s="136" t="str">
        <f t="shared" si="104"/>
        <v/>
      </c>
      <c r="B8330" s="136" t="str">
        <f t="shared" si="105"/>
        <v/>
      </c>
    </row>
    <row r="8331" spans="1:2">
      <c r="A8331" s="136" t="str">
        <f t="shared" si="104"/>
        <v/>
      </c>
      <c r="B8331" s="136" t="str">
        <f t="shared" si="105"/>
        <v/>
      </c>
    </row>
    <row r="8332" spans="1:2">
      <c r="A8332" s="136" t="str">
        <f t="shared" si="104"/>
        <v/>
      </c>
      <c r="B8332" s="136" t="str">
        <f t="shared" si="105"/>
        <v/>
      </c>
    </row>
    <row r="8333" spans="1:2">
      <c r="A8333" s="136" t="str">
        <f t="shared" si="104"/>
        <v/>
      </c>
      <c r="B8333" s="136" t="str">
        <f t="shared" si="105"/>
        <v/>
      </c>
    </row>
    <row r="8334" spans="1:2">
      <c r="A8334" s="136" t="str">
        <f t="shared" si="104"/>
        <v/>
      </c>
      <c r="B8334" s="136" t="str">
        <f t="shared" si="105"/>
        <v/>
      </c>
    </row>
    <row r="8335" spans="1:2">
      <c r="A8335" s="136" t="str">
        <f t="shared" si="104"/>
        <v/>
      </c>
      <c r="B8335" s="136" t="str">
        <f t="shared" si="105"/>
        <v/>
      </c>
    </row>
    <row r="8336" spans="1:2">
      <c r="A8336" s="136" t="str">
        <f t="shared" si="104"/>
        <v/>
      </c>
      <c r="B8336" s="136" t="str">
        <f t="shared" si="105"/>
        <v/>
      </c>
    </row>
    <row r="8337" spans="1:2">
      <c r="A8337" s="136" t="str">
        <f t="shared" si="104"/>
        <v/>
      </c>
      <c r="B8337" s="136" t="str">
        <f t="shared" si="105"/>
        <v/>
      </c>
    </row>
    <row r="8338" spans="1:2">
      <c r="A8338" s="136" t="str">
        <f t="shared" si="104"/>
        <v/>
      </c>
      <c r="B8338" s="136" t="str">
        <f t="shared" si="105"/>
        <v/>
      </c>
    </row>
    <row r="8339" spans="1:2">
      <c r="A8339" s="136" t="str">
        <f t="shared" si="104"/>
        <v/>
      </c>
      <c r="B8339" s="136" t="str">
        <f t="shared" si="105"/>
        <v/>
      </c>
    </row>
    <row r="8340" spans="1:2">
      <c r="A8340" s="136" t="str">
        <f t="shared" si="104"/>
        <v/>
      </c>
      <c r="B8340" s="136" t="str">
        <f t="shared" si="105"/>
        <v/>
      </c>
    </row>
    <row r="8341" spans="1:2">
      <c r="A8341" s="136" t="str">
        <f t="shared" si="104"/>
        <v/>
      </c>
      <c r="B8341" s="136" t="str">
        <f t="shared" si="105"/>
        <v/>
      </c>
    </row>
    <row r="8342" spans="1:2">
      <c r="A8342" s="136" t="str">
        <f t="shared" si="104"/>
        <v/>
      </c>
      <c r="B8342" s="136" t="str">
        <f t="shared" si="105"/>
        <v/>
      </c>
    </row>
    <row r="8343" spans="1:2">
      <c r="A8343" s="136" t="str">
        <f t="shared" si="104"/>
        <v/>
      </c>
      <c r="B8343" s="136" t="str">
        <f t="shared" si="105"/>
        <v/>
      </c>
    </row>
    <row r="8344" spans="1:2">
      <c r="A8344" s="136" t="str">
        <f t="shared" si="104"/>
        <v/>
      </c>
      <c r="B8344" s="136" t="str">
        <f t="shared" si="105"/>
        <v/>
      </c>
    </row>
    <row r="8345" spans="1:2">
      <c r="A8345" s="136" t="str">
        <f t="shared" si="104"/>
        <v/>
      </c>
      <c r="B8345" s="136" t="str">
        <f t="shared" si="105"/>
        <v/>
      </c>
    </row>
    <row r="8346" spans="1:2">
      <c r="A8346" s="136" t="str">
        <f t="shared" si="104"/>
        <v/>
      </c>
      <c r="B8346" s="136" t="str">
        <f t="shared" si="105"/>
        <v/>
      </c>
    </row>
    <row r="8347" spans="1:2">
      <c r="A8347" s="136" t="str">
        <f t="shared" si="104"/>
        <v/>
      </c>
      <c r="B8347" s="136" t="str">
        <f t="shared" si="105"/>
        <v/>
      </c>
    </row>
    <row r="8348" spans="1:2">
      <c r="A8348" s="136" t="str">
        <f t="shared" si="104"/>
        <v/>
      </c>
      <c r="B8348" s="136" t="str">
        <f t="shared" si="105"/>
        <v/>
      </c>
    </row>
    <row r="8349" spans="1:2">
      <c r="A8349" s="136" t="str">
        <f t="shared" si="104"/>
        <v/>
      </c>
      <c r="B8349" s="136" t="str">
        <f t="shared" si="105"/>
        <v/>
      </c>
    </row>
    <row r="8350" spans="1:2">
      <c r="A8350" s="136" t="str">
        <f t="shared" si="104"/>
        <v/>
      </c>
      <c r="B8350" s="136" t="str">
        <f t="shared" si="105"/>
        <v/>
      </c>
    </row>
    <row r="8351" spans="1:2">
      <c r="A8351" s="136" t="str">
        <f t="shared" si="104"/>
        <v/>
      </c>
      <c r="B8351" s="136" t="str">
        <f t="shared" si="105"/>
        <v/>
      </c>
    </row>
    <row r="8352" spans="1:2">
      <c r="A8352" s="136" t="str">
        <f t="shared" si="104"/>
        <v/>
      </c>
      <c r="B8352" s="136" t="str">
        <f t="shared" si="105"/>
        <v/>
      </c>
    </row>
    <row r="8353" spans="1:2">
      <c r="A8353" s="136" t="str">
        <f t="shared" si="104"/>
        <v/>
      </c>
      <c r="B8353" s="136" t="str">
        <f t="shared" si="105"/>
        <v/>
      </c>
    </row>
    <row r="8354" spans="1:2">
      <c r="A8354" s="136" t="str">
        <f t="shared" si="104"/>
        <v/>
      </c>
      <c r="B8354" s="136" t="str">
        <f t="shared" si="105"/>
        <v/>
      </c>
    </row>
    <row r="8355" spans="1:2">
      <c r="A8355" s="136" t="str">
        <f t="shared" si="104"/>
        <v/>
      </c>
      <c r="B8355" s="136" t="str">
        <f t="shared" si="105"/>
        <v/>
      </c>
    </row>
    <row r="8356" spans="1:2">
      <c r="A8356" s="136" t="str">
        <f t="shared" si="104"/>
        <v/>
      </c>
      <c r="B8356" s="136" t="str">
        <f t="shared" si="105"/>
        <v/>
      </c>
    </row>
    <row r="8357" spans="1:2">
      <c r="A8357" s="136" t="str">
        <f t="shared" si="104"/>
        <v/>
      </c>
      <c r="B8357" s="136" t="str">
        <f t="shared" si="105"/>
        <v/>
      </c>
    </row>
    <row r="8358" spans="1:2">
      <c r="A8358" s="136" t="str">
        <f t="shared" si="104"/>
        <v/>
      </c>
      <c r="B8358" s="136" t="str">
        <f t="shared" si="105"/>
        <v/>
      </c>
    </row>
    <row r="8359" spans="1:2">
      <c r="A8359" s="136" t="str">
        <f t="shared" si="104"/>
        <v/>
      </c>
      <c r="B8359" s="136" t="str">
        <f t="shared" si="105"/>
        <v/>
      </c>
    </row>
    <row r="8360" spans="1:2">
      <c r="A8360" s="136" t="str">
        <f t="shared" si="104"/>
        <v/>
      </c>
      <c r="B8360" s="136" t="str">
        <f t="shared" si="105"/>
        <v/>
      </c>
    </row>
    <row r="8361" spans="1:2">
      <c r="A8361" s="136" t="str">
        <f t="shared" si="104"/>
        <v/>
      </c>
      <c r="B8361" s="136" t="str">
        <f t="shared" si="105"/>
        <v/>
      </c>
    </row>
    <row r="8362" spans="1:2">
      <c r="A8362" s="136" t="str">
        <f t="shared" si="104"/>
        <v/>
      </c>
      <c r="B8362" s="136" t="str">
        <f t="shared" si="105"/>
        <v/>
      </c>
    </row>
    <row r="8363" spans="1:2">
      <c r="A8363" s="136" t="str">
        <f t="shared" si="104"/>
        <v/>
      </c>
      <c r="B8363" s="136" t="str">
        <f t="shared" si="105"/>
        <v/>
      </c>
    </row>
    <row r="8364" spans="1:2">
      <c r="A8364" s="136" t="str">
        <f t="shared" si="104"/>
        <v/>
      </c>
      <c r="B8364" s="136" t="str">
        <f t="shared" si="105"/>
        <v/>
      </c>
    </row>
    <row r="8365" spans="1:2">
      <c r="A8365" s="136" t="str">
        <f t="shared" si="104"/>
        <v/>
      </c>
      <c r="B8365" s="136" t="str">
        <f t="shared" si="105"/>
        <v/>
      </c>
    </row>
    <row r="8366" spans="1:2">
      <c r="A8366" s="136" t="str">
        <f t="shared" si="104"/>
        <v/>
      </c>
      <c r="B8366" s="136" t="str">
        <f t="shared" si="105"/>
        <v/>
      </c>
    </row>
    <row r="8367" spans="1:2">
      <c r="A8367" s="136" t="str">
        <f t="shared" si="104"/>
        <v/>
      </c>
      <c r="B8367" s="136" t="str">
        <f t="shared" si="105"/>
        <v/>
      </c>
    </row>
    <row r="8368" spans="1:2">
      <c r="A8368" s="136" t="str">
        <f t="shared" si="104"/>
        <v/>
      </c>
      <c r="B8368" s="136" t="str">
        <f t="shared" si="105"/>
        <v/>
      </c>
    </row>
    <row r="8369" spans="1:2">
      <c r="A8369" s="136" t="str">
        <f t="shared" si="104"/>
        <v/>
      </c>
      <c r="B8369" s="136" t="str">
        <f t="shared" si="105"/>
        <v/>
      </c>
    </row>
    <row r="8370" spans="1:2">
      <c r="A8370" s="136" t="str">
        <f t="shared" si="104"/>
        <v/>
      </c>
      <c r="B8370" s="136" t="str">
        <f t="shared" si="105"/>
        <v/>
      </c>
    </row>
    <row r="8371" spans="1:2">
      <c r="A8371" s="136" t="str">
        <f t="shared" si="104"/>
        <v/>
      </c>
      <c r="B8371" s="136" t="str">
        <f t="shared" si="105"/>
        <v/>
      </c>
    </row>
    <row r="8372" spans="1:2">
      <c r="A8372" s="136" t="str">
        <f t="shared" si="104"/>
        <v/>
      </c>
      <c r="B8372" s="136" t="str">
        <f t="shared" si="105"/>
        <v/>
      </c>
    </row>
    <row r="8373" spans="1:2">
      <c r="A8373" s="136" t="str">
        <f t="shared" si="104"/>
        <v/>
      </c>
      <c r="B8373" s="136" t="str">
        <f t="shared" si="105"/>
        <v/>
      </c>
    </row>
    <row r="8374" spans="1:2">
      <c r="A8374" s="136" t="str">
        <f t="shared" si="104"/>
        <v/>
      </c>
      <c r="B8374" s="136" t="str">
        <f t="shared" si="105"/>
        <v/>
      </c>
    </row>
    <row r="8375" spans="1:2">
      <c r="A8375" s="136" t="str">
        <f t="shared" si="104"/>
        <v/>
      </c>
      <c r="B8375" s="136" t="str">
        <f t="shared" si="105"/>
        <v/>
      </c>
    </row>
    <row r="8376" spans="1:2">
      <c r="A8376" s="136" t="str">
        <f t="shared" si="104"/>
        <v/>
      </c>
      <c r="B8376" s="136" t="str">
        <f t="shared" si="105"/>
        <v/>
      </c>
    </row>
    <row r="8377" spans="1:2">
      <c r="A8377" s="136" t="str">
        <f t="shared" ref="A8377:A8440" si="106">HYPERLINK("http://tw.stock.yahoo.com/q/ta?s=","")</f>
        <v/>
      </c>
      <c r="B8377" s="136" t="str">
        <f t="shared" ref="B8377:B8440" si="107">HYPERLINK("http://tw.stock.yahoo.com/d/s/earning_.html","")</f>
        <v/>
      </c>
    </row>
    <row r="8378" spans="1:2">
      <c r="A8378" s="136" t="str">
        <f t="shared" si="106"/>
        <v/>
      </c>
      <c r="B8378" s="136" t="str">
        <f t="shared" si="107"/>
        <v/>
      </c>
    </row>
    <row r="8379" spans="1:2">
      <c r="A8379" s="136" t="str">
        <f t="shared" si="106"/>
        <v/>
      </c>
      <c r="B8379" s="136" t="str">
        <f t="shared" si="107"/>
        <v/>
      </c>
    </row>
    <row r="8380" spans="1:2">
      <c r="A8380" s="136" t="str">
        <f t="shared" si="106"/>
        <v/>
      </c>
      <c r="B8380" s="136" t="str">
        <f t="shared" si="107"/>
        <v/>
      </c>
    </row>
    <row r="8381" spans="1:2">
      <c r="A8381" s="136" t="str">
        <f t="shared" si="106"/>
        <v/>
      </c>
      <c r="B8381" s="136" t="str">
        <f t="shared" si="107"/>
        <v/>
      </c>
    </row>
    <row r="8382" spans="1:2">
      <c r="A8382" s="136" t="str">
        <f t="shared" si="106"/>
        <v/>
      </c>
      <c r="B8382" s="136" t="str">
        <f t="shared" si="107"/>
        <v/>
      </c>
    </row>
    <row r="8383" spans="1:2">
      <c r="A8383" s="136" t="str">
        <f t="shared" si="106"/>
        <v/>
      </c>
      <c r="B8383" s="136" t="str">
        <f t="shared" si="107"/>
        <v/>
      </c>
    </row>
    <row r="8384" spans="1:2">
      <c r="A8384" s="136" t="str">
        <f t="shared" si="106"/>
        <v/>
      </c>
      <c r="B8384" s="136" t="str">
        <f t="shared" si="107"/>
        <v/>
      </c>
    </row>
    <row r="8385" spans="1:2">
      <c r="A8385" s="136" t="str">
        <f t="shared" si="106"/>
        <v/>
      </c>
      <c r="B8385" s="136" t="str">
        <f t="shared" si="107"/>
        <v/>
      </c>
    </row>
    <row r="8386" spans="1:2">
      <c r="A8386" s="136" t="str">
        <f t="shared" si="106"/>
        <v/>
      </c>
      <c r="B8386" s="136" t="str">
        <f t="shared" si="107"/>
        <v/>
      </c>
    </row>
    <row r="8387" spans="1:2">
      <c r="A8387" s="136" t="str">
        <f t="shared" si="106"/>
        <v/>
      </c>
      <c r="B8387" s="136" t="str">
        <f t="shared" si="107"/>
        <v/>
      </c>
    </row>
    <row r="8388" spans="1:2">
      <c r="A8388" s="136" t="str">
        <f t="shared" si="106"/>
        <v/>
      </c>
      <c r="B8388" s="136" t="str">
        <f t="shared" si="107"/>
        <v/>
      </c>
    </row>
    <row r="8389" spans="1:2">
      <c r="A8389" s="136" t="str">
        <f t="shared" si="106"/>
        <v/>
      </c>
      <c r="B8389" s="136" t="str">
        <f t="shared" si="107"/>
        <v/>
      </c>
    </row>
    <row r="8390" spans="1:2">
      <c r="A8390" s="136" t="str">
        <f t="shared" si="106"/>
        <v/>
      </c>
      <c r="B8390" s="136" t="str">
        <f t="shared" si="107"/>
        <v/>
      </c>
    </row>
    <row r="8391" spans="1:2">
      <c r="A8391" s="136" t="str">
        <f t="shared" si="106"/>
        <v/>
      </c>
      <c r="B8391" s="136" t="str">
        <f t="shared" si="107"/>
        <v/>
      </c>
    </row>
    <row r="8392" spans="1:2">
      <c r="A8392" s="136" t="str">
        <f t="shared" si="106"/>
        <v/>
      </c>
      <c r="B8392" s="136" t="str">
        <f t="shared" si="107"/>
        <v/>
      </c>
    </row>
    <row r="8393" spans="1:2">
      <c r="A8393" s="136" t="str">
        <f t="shared" si="106"/>
        <v/>
      </c>
      <c r="B8393" s="136" t="str">
        <f t="shared" si="107"/>
        <v/>
      </c>
    </row>
    <row r="8394" spans="1:2">
      <c r="A8394" s="136" t="str">
        <f t="shared" si="106"/>
        <v/>
      </c>
      <c r="B8394" s="136" t="str">
        <f t="shared" si="107"/>
        <v/>
      </c>
    </row>
    <row r="8395" spans="1:2">
      <c r="A8395" s="136" t="str">
        <f t="shared" si="106"/>
        <v/>
      </c>
      <c r="B8395" s="136" t="str">
        <f t="shared" si="107"/>
        <v/>
      </c>
    </row>
    <row r="8396" spans="1:2">
      <c r="A8396" s="136" t="str">
        <f t="shared" si="106"/>
        <v/>
      </c>
      <c r="B8396" s="136" t="str">
        <f t="shared" si="107"/>
        <v/>
      </c>
    </row>
    <row r="8397" spans="1:2">
      <c r="A8397" s="136" t="str">
        <f t="shared" si="106"/>
        <v/>
      </c>
      <c r="B8397" s="136" t="str">
        <f t="shared" si="107"/>
        <v/>
      </c>
    </row>
    <row r="8398" spans="1:2">
      <c r="A8398" s="136" t="str">
        <f t="shared" si="106"/>
        <v/>
      </c>
      <c r="B8398" s="136" t="str">
        <f t="shared" si="107"/>
        <v/>
      </c>
    </row>
    <row r="8399" spans="1:2">
      <c r="A8399" s="136" t="str">
        <f t="shared" si="106"/>
        <v/>
      </c>
      <c r="B8399" s="136" t="str">
        <f t="shared" si="107"/>
        <v/>
      </c>
    </row>
    <row r="8400" spans="1:2">
      <c r="A8400" s="136" t="str">
        <f t="shared" si="106"/>
        <v/>
      </c>
      <c r="B8400" s="136" t="str">
        <f t="shared" si="107"/>
        <v/>
      </c>
    </row>
    <row r="8401" spans="1:2">
      <c r="A8401" s="136" t="str">
        <f t="shared" si="106"/>
        <v/>
      </c>
      <c r="B8401" s="136" t="str">
        <f t="shared" si="107"/>
        <v/>
      </c>
    </row>
    <row r="8402" spans="1:2">
      <c r="A8402" s="136" t="str">
        <f t="shared" si="106"/>
        <v/>
      </c>
      <c r="B8402" s="136" t="str">
        <f t="shared" si="107"/>
        <v/>
      </c>
    </row>
    <row r="8403" spans="1:2">
      <c r="A8403" s="136" t="str">
        <f t="shared" si="106"/>
        <v/>
      </c>
      <c r="B8403" s="136" t="str">
        <f t="shared" si="107"/>
        <v/>
      </c>
    </row>
    <row r="8404" spans="1:2">
      <c r="A8404" s="136" t="str">
        <f t="shared" si="106"/>
        <v/>
      </c>
      <c r="B8404" s="136" t="str">
        <f t="shared" si="107"/>
        <v/>
      </c>
    </row>
    <row r="8405" spans="1:2">
      <c r="A8405" s="136" t="str">
        <f t="shared" si="106"/>
        <v/>
      </c>
      <c r="B8405" s="136" t="str">
        <f t="shared" si="107"/>
        <v/>
      </c>
    </row>
    <row r="8406" spans="1:2">
      <c r="A8406" s="136" t="str">
        <f t="shared" si="106"/>
        <v/>
      </c>
      <c r="B8406" s="136" t="str">
        <f t="shared" si="107"/>
        <v/>
      </c>
    </row>
    <row r="8407" spans="1:2">
      <c r="A8407" s="136" t="str">
        <f t="shared" si="106"/>
        <v/>
      </c>
      <c r="B8407" s="136" t="str">
        <f t="shared" si="107"/>
        <v/>
      </c>
    </row>
    <row r="8408" spans="1:2">
      <c r="A8408" s="136" t="str">
        <f t="shared" si="106"/>
        <v/>
      </c>
      <c r="B8408" s="136" t="str">
        <f t="shared" si="107"/>
        <v/>
      </c>
    </row>
    <row r="8409" spans="1:2">
      <c r="A8409" s="136" t="str">
        <f t="shared" si="106"/>
        <v/>
      </c>
      <c r="B8409" s="136" t="str">
        <f t="shared" si="107"/>
        <v/>
      </c>
    </row>
    <row r="8410" spans="1:2">
      <c r="A8410" s="136" t="str">
        <f t="shared" si="106"/>
        <v/>
      </c>
      <c r="B8410" s="136" t="str">
        <f t="shared" si="107"/>
        <v/>
      </c>
    </row>
    <row r="8411" spans="1:2">
      <c r="A8411" s="136" t="str">
        <f t="shared" si="106"/>
        <v/>
      </c>
      <c r="B8411" s="136" t="str">
        <f t="shared" si="107"/>
        <v/>
      </c>
    </row>
    <row r="8412" spans="1:2">
      <c r="A8412" s="136" t="str">
        <f t="shared" si="106"/>
        <v/>
      </c>
      <c r="B8412" s="136" t="str">
        <f t="shared" si="107"/>
        <v/>
      </c>
    </row>
    <row r="8413" spans="1:2">
      <c r="A8413" s="136" t="str">
        <f t="shared" si="106"/>
        <v/>
      </c>
      <c r="B8413" s="136" t="str">
        <f t="shared" si="107"/>
        <v/>
      </c>
    </row>
    <row r="8414" spans="1:2">
      <c r="A8414" s="136" t="str">
        <f t="shared" si="106"/>
        <v/>
      </c>
      <c r="B8414" s="136" t="str">
        <f t="shared" si="107"/>
        <v/>
      </c>
    </row>
    <row r="8415" spans="1:2">
      <c r="A8415" s="136" t="str">
        <f t="shared" si="106"/>
        <v/>
      </c>
      <c r="B8415" s="136" t="str">
        <f t="shared" si="107"/>
        <v/>
      </c>
    </row>
    <row r="8416" spans="1:2">
      <c r="A8416" s="136" t="str">
        <f t="shared" si="106"/>
        <v/>
      </c>
      <c r="B8416" s="136" t="str">
        <f t="shared" si="107"/>
        <v/>
      </c>
    </row>
    <row r="8417" spans="1:2">
      <c r="A8417" s="136" t="str">
        <f t="shared" si="106"/>
        <v/>
      </c>
      <c r="B8417" s="136" t="str">
        <f t="shared" si="107"/>
        <v/>
      </c>
    </row>
    <row r="8418" spans="1:2">
      <c r="A8418" s="136" t="str">
        <f t="shared" si="106"/>
        <v/>
      </c>
      <c r="B8418" s="136" t="str">
        <f t="shared" si="107"/>
        <v/>
      </c>
    </row>
    <row r="8419" spans="1:2">
      <c r="A8419" s="136" t="str">
        <f t="shared" si="106"/>
        <v/>
      </c>
      <c r="B8419" s="136" t="str">
        <f t="shared" si="107"/>
        <v/>
      </c>
    </row>
    <row r="8420" spans="1:2">
      <c r="A8420" s="136" t="str">
        <f t="shared" si="106"/>
        <v/>
      </c>
      <c r="B8420" s="136" t="str">
        <f t="shared" si="107"/>
        <v/>
      </c>
    </row>
    <row r="8421" spans="1:2">
      <c r="A8421" s="136" t="str">
        <f t="shared" si="106"/>
        <v/>
      </c>
      <c r="B8421" s="136" t="str">
        <f t="shared" si="107"/>
        <v/>
      </c>
    </row>
    <row r="8422" spans="1:2">
      <c r="A8422" s="136" t="str">
        <f t="shared" si="106"/>
        <v/>
      </c>
      <c r="B8422" s="136" t="str">
        <f t="shared" si="107"/>
        <v/>
      </c>
    </row>
    <row r="8423" spans="1:2">
      <c r="A8423" s="136" t="str">
        <f t="shared" si="106"/>
        <v/>
      </c>
      <c r="B8423" s="136" t="str">
        <f t="shared" si="107"/>
        <v/>
      </c>
    </row>
    <row r="8424" spans="1:2">
      <c r="A8424" s="136" t="str">
        <f t="shared" si="106"/>
        <v/>
      </c>
      <c r="B8424" s="136" t="str">
        <f t="shared" si="107"/>
        <v/>
      </c>
    </row>
    <row r="8425" spans="1:2">
      <c r="A8425" s="136" t="str">
        <f t="shared" si="106"/>
        <v/>
      </c>
      <c r="B8425" s="136" t="str">
        <f t="shared" si="107"/>
        <v/>
      </c>
    </row>
    <row r="8426" spans="1:2">
      <c r="A8426" s="136" t="str">
        <f t="shared" si="106"/>
        <v/>
      </c>
      <c r="B8426" s="136" t="str">
        <f t="shared" si="107"/>
        <v/>
      </c>
    </row>
    <row r="8427" spans="1:2">
      <c r="A8427" s="136" t="str">
        <f t="shared" si="106"/>
        <v/>
      </c>
      <c r="B8427" s="136" t="str">
        <f t="shared" si="107"/>
        <v/>
      </c>
    </row>
    <row r="8428" spans="1:2">
      <c r="A8428" s="136" t="str">
        <f t="shared" si="106"/>
        <v/>
      </c>
      <c r="B8428" s="136" t="str">
        <f t="shared" si="107"/>
        <v/>
      </c>
    </row>
    <row r="8429" spans="1:2">
      <c r="A8429" s="136" t="str">
        <f t="shared" si="106"/>
        <v/>
      </c>
      <c r="B8429" s="136" t="str">
        <f t="shared" si="107"/>
        <v/>
      </c>
    </row>
    <row r="8430" spans="1:2">
      <c r="A8430" s="136" t="str">
        <f t="shared" si="106"/>
        <v/>
      </c>
      <c r="B8430" s="136" t="str">
        <f t="shared" si="107"/>
        <v/>
      </c>
    </row>
    <row r="8431" spans="1:2">
      <c r="A8431" s="136" t="str">
        <f t="shared" si="106"/>
        <v/>
      </c>
      <c r="B8431" s="136" t="str">
        <f t="shared" si="107"/>
        <v/>
      </c>
    </row>
    <row r="8432" spans="1:2">
      <c r="A8432" s="136" t="str">
        <f t="shared" si="106"/>
        <v/>
      </c>
      <c r="B8432" s="136" t="str">
        <f t="shared" si="107"/>
        <v/>
      </c>
    </row>
    <row r="8433" spans="1:2">
      <c r="A8433" s="136" t="str">
        <f t="shared" si="106"/>
        <v/>
      </c>
      <c r="B8433" s="136" t="str">
        <f t="shared" si="107"/>
        <v/>
      </c>
    </row>
    <row r="8434" spans="1:2">
      <c r="A8434" s="136" t="str">
        <f t="shared" si="106"/>
        <v/>
      </c>
      <c r="B8434" s="136" t="str">
        <f t="shared" si="107"/>
        <v/>
      </c>
    </row>
    <row r="8435" spans="1:2">
      <c r="A8435" s="136" t="str">
        <f t="shared" si="106"/>
        <v/>
      </c>
      <c r="B8435" s="136" t="str">
        <f t="shared" si="107"/>
        <v/>
      </c>
    </row>
    <row r="8436" spans="1:2">
      <c r="A8436" s="136" t="str">
        <f t="shared" si="106"/>
        <v/>
      </c>
      <c r="B8436" s="136" t="str">
        <f t="shared" si="107"/>
        <v/>
      </c>
    </row>
    <row r="8437" spans="1:2">
      <c r="A8437" s="136" t="str">
        <f t="shared" si="106"/>
        <v/>
      </c>
      <c r="B8437" s="136" t="str">
        <f t="shared" si="107"/>
        <v/>
      </c>
    </row>
    <row r="8438" spans="1:2">
      <c r="A8438" s="136" t="str">
        <f t="shared" si="106"/>
        <v/>
      </c>
      <c r="B8438" s="136" t="str">
        <f t="shared" si="107"/>
        <v/>
      </c>
    </row>
    <row r="8439" spans="1:2">
      <c r="A8439" s="136" t="str">
        <f t="shared" si="106"/>
        <v/>
      </c>
      <c r="B8439" s="136" t="str">
        <f t="shared" si="107"/>
        <v/>
      </c>
    </row>
    <row r="8440" spans="1:2">
      <c r="A8440" s="136" t="str">
        <f t="shared" si="106"/>
        <v/>
      </c>
      <c r="B8440" s="136" t="str">
        <f t="shared" si="107"/>
        <v/>
      </c>
    </row>
    <row r="8441" spans="1:2">
      <c r="A8441" s="136" t="str">
        <f t="shared" ref="A8441:A8504" si="108">HYPERLINK("http://tw.stock.yahoo.com/q/ta?s=","")</f>
        <v/>
      </c>
      <c r="B8441" s="136" t="str">
        <f t="shared" ref="B8441:B8504" si="109">HYPERLINK("http://tw.stock.yahoo.com/d/s/earning_.html","")</f>
        <v/>
      </c>
    </row>
    <row r="8442" spans="1:2">
      <c r="A8442" s="136" t="str">
        <f t="shared" si="108"/>
        <v/>
      </c>
      <c r="B8442" s="136" t="str">
        <f t="shared" si="109"/>
        <v/>
      </c>
    </row>
    <row r="8443" spans="1:2">
      <c r="A8443" s="136" t="str">
        <f t="shared" si="108"/>
        <v/>
      </c>
      <c r="B8443" s="136" t="str">
        <f t="shared" si="109"/>
        <v/>
      </c>
    </row>
    <row r="8444" spans="1:2">
      <c r="A8444" s="136" t="str">
        <f t="shared" si="108"/>
        <v/>
      </c>
      <c r="B8444" s="136" t="str">
        <f t="shared" si="109"/>
        <v/>
      </c>
    </row>
    <row r="8445" spans="1:2">
      <c r="A8445" s="136" t="str">
        <f t="shared" si="108"/>
        <v/>
      </c>
      <c r="B8445" s="136" t="str">
        <f t="shared" si="109"/>
        <v/>
      </c>
    </row>
    <row r="8446" spans="1:2">
      <c r="A8446" s="136" t="str">
        <f t="shared" si="108"/>
        <v/>
      </c>
      <c r="B8446" s="136" t="str">
        <f t="shared" si="109"/>
        <v/>
      </c>
    </row>
    <row r="8447" spans="1:2">
      <c r="A8447" s="136" t="str">
        <f t="shared" si="108"/>
        <v/>
      </c>
      <c r="B8447" s="136" t="str">
        <f t="shared" si="109"/>
        <v/>
      </c>
    </row>
    <row r="8448" spans="1:2">
      <c r="A8448" s="136" t="str">
        <f t="shared" si="108"/>
        <v/>
      </c>
      <c r="B8448" s="136" t="str">
        <f t="shared" si="109"/>
        <v/>
      </c>
    </row>
    <row r="8449" spans="1:2">
      <c r="A8449" s="136" t="str">
        <f t="shared" si="108"/>
        <v/>
      </c>
      <c r="B8449" s="136" t="str">
        <f t="shared" si="109"/>
        <v/>
      </c>
    </row>
    <row r="8450" spans="1:2">
      <c r="A8450" s="136" t="str">
        <f t="shared" si="108"/>
        <v/>
      </c>
      <c r="B8450" s="136" t="str">
        <f t="shared" si="109"/>
        <v/>
      </c>
    </row>
    <row r="8451" spans="1:2">
      <c r="A8451" s="136" t="str">
        <f t="shared" si="108"/>
        <v/>
      </c>
      <c r="B8451" s="136" t="str">
        <f t="shared" si="109"/>
        <v/>
      </c>
    </row>
    <row r="8452" spans="1:2">
      <c r="A8452" s="136" t="str">
        <f t="shared" si="108"/>
        <v/>
      </c>
      <c r="B8452" s="136" t="str">
        <f t="shared" si="109"/>
        <v/>
      </c>
    </row>
    <row r="8453" spans="1:2">
      <c r="A8453" s="136" t="str">
        <f t="shared" si="108"/>
        <v/>
      </c>
      <c r="B8453" s="136" t="str">
        <f t="shared" si="109"/>
        <v/>
      </c>
    </row>
    <row r="8454" spans="1:2">
      <c r="A8454" s="136" t="str">
        <f t="shared" si="108"/>
        <v/>
      </c>
      <c r="B8454" s="136" t="str">
        <f t="shared" si="109"/>
        <v/>
      </c>
    </row>
    <row r="8455" spans="1:2">
      <c r="A8455" s="136" t="str">
        <f t="shared" si="108"/>
        <v/>
      </c>
      <c r="B8455" s="136" t="str">
        <f t="shared" si="109"/>
        <v/>
      </c>
    </row>
    <row r="8456" spans="1:2">
      <c r="A8456" s="136" t="str">
        <f t="shared" si="108"/>
        <v/>
      </c>
      <c r="B8456" s="136" t="str">
        <f t="shared" si="109"/>
        <v/>
      </c>
    </row>
    <row r="8457" spans="1:2">
      <c r="A8457" s="136" t="str">
        <f t="shared" si="108"/>
        <v/>
      </c>
      <c r="B8457" s="136" t="str">
        <f t="shared" si="109"/>
        <v/>
      </c>
    </row>
    <row r="8458" spans="1:2">
      <c r="A8458" s="136" t="str">
        <f t="shared" si="108"/>
        <v/>
      </c>
      <c r="B8458" s="136" t="str">
        <f t="shared" si="109"/>
        <v/>
      </c>
    </row>
    <row r="8459" spans="1:2">
      <c r="A8459" s="136" t="str">
        <f t="shared" si="108"/>
        <v/>
      </c>
      <c r="B8459" s="136" t="str">
        <f t="shared" si="109"/>
        <v/>
      </c>
    </row>
    <row r="8460" spans="1:2">
      <c r="A8460" s="136" t="str">
        <f t="shared" si="108"/>
        <v/>
      </c>
      <c r="B8460" s="136" t="str">
        <f t="shared" si="109"/>
        <v/>
      </c>
    </row>
    <row r="8461" spans="1:2">
      <c r="A8461" s="136" t="str">
        <f t="shared" si="108"/>
        <v/>
      </c>
      <c r="B8461" s="136" t="str">
        <f t="shared" si="109"/>
        <v/>
      </c>
    </row>
    <row r="8462" spans="1:2">
      <c r="A8462" s="136" t="str">
        <f t="shared" si="108"/>
        <v/>
      </c>
      <c r="B8462" s="136" t="str">
        <f t="shared" si="109"/>
        <v/>
      </c>
    </row>
    <row r="8463" spans="1:2">
      <c r="A8463" s="136" t="str">
        <f t="shared" si="108"/>
        <v/>
      </c>
      <c r="B8463" s="136" t="str">
        <f t="shared" si="109"/>
        <v/>
      </c>
    </row>
    <row r="8464" spans="1:2">
      <c r="A8464" s="136" t="str">
        <f t="shared" si="108"/>
        <v/>
      </c>
      <c r="B8464" s="136" t="str">
        <f t="shared" si="109"/>
        <v/>
      </c>
    </row>
    <row r="8465" spans="1:2">
      <c r="A8465" s="136" t="str">
        <f t="shared" si="108"/>
        <v/>
      </c>
      <c r="B8465" s="136" t="str">
        <f t="shared" si="109"/>
        <v/>
      </c>
    </row>
    <row r="8466" spans="1:2">
      <c r="A8466" s="136" t="str">
        <f t="shared" si="108"/>
        <v/>
      </c>
      <c r="B8466" s="136" t="str">
        <f t="shared" si="109"/>
        <v/>
      </c>
    </row>
    <row r="8467" spans="1:2">
      <c r="A8467" s="136" t="str">
        <f t="shared" si="108"/>
        <v/>
      </c>
      <c r="B8467" s="136" t="str">
        <f t="shared" si="109"/>
        <v/>
      </c>
    </row>
    <row r="8468" spans="1:2">
      <c r="A8468" s="136" t="str">
        <f t="shared" si="108"/>
        <v/>
      </c>
      <c r="B8468" s="136" t="str">
        <f t="shared" si="109"/>
        <v/>
      </c>
    </row>
    <row r="8469" spans="1:2">
      <c r="A8469" s="136" t="str">
        <f t="shared" si="108"/>
        <v/>
      </c>
      <c r="B8469" s="136" t="str">
        <f t="shared" si="109"/>
        <v/>
      </c>
    </row>
    <row r="8470" spans="1:2">
      <c r="A8470" s="136" t="str">
        <f t="shared" si="108"/>
        <v/>
      </c>
      <c r="B8470" s="136" t="str">
        <f t="shared" si="109"/>
        <v/>
      </c>
    </row>
    <row r="8471" spans="1:2">
      <c r="A8471" s="136" t="str">
        <f t="shared" si="108"/>
        <v/>
      </c>
      <c r="B8471" s="136" t="str">
        <f t="shared" si="109"/>
        <v/>
      </c>
    </row>
    <row r="8472" spans="1:2">
      <c r="A8472" s="136" t="str">
        <f t="shared" si="108"/>
        <v/>
      </c>
      <c r="B8472" s="136" t="str">
        <f t="shared" si="109"/>
        <v/>
      </c>
    </row>
    <row r="8473" spans="1:2">
      <c r="A8473" s="136" t="str">
        <f t="shared" si="108"/>
        <v/>
      </c>
      <c r="B8473" s="136" t="str">
        <f t="shared" si="109"/>
        <v/>
      </c>
    </row>
    <row r="8474" spans="1:2">
      <c r="A8474" s="136" t="str">
        <f t="shared" si="108"/>
        <v/>
      </c>
      <c r="B8474" s="136" t="str">
        <f t="shared" si="109"/>
        <v/>
      </c>
    </row>
    <row r="8475" spans="1:2">
      <c r="A8475" s="136" t="str">
        <f t="shared" si="108"/>
        <v/>
      </c>
      <c r="B8475" s="136" t="str">
        <f t="shared" si="109"/>
        <v/>
      </c>
    </row>
    <row r="8476" spans="1:2">
      <c r="A8476" s="136" t="str">
        <f t="shared" si="108"/>
        <v/>
      </c>
      <c r="B8476" s="136" t="str">
        <f t="shared" si="109"/>
        <v/>
      </c>
    </row>
    <row r="8477" spans="1:2">
      <c r="A8477" s="136" t="str">
        <f t="shared" si="108"/>
        <v/>
      </c>
      <c r="B8477" s="136" t="str">
        <f t="shared" si="109"/>
        <v/>
      </c>
    </row>
    <row r="8478" spans="1:2">
      <c r="A8478" s="136" t="str">
        <f t="shared" si="108"/>
        <v/>
      </c>
      <c r="B8478" s="136" t="str">
        <f t="shared" si="109"/>
        <v/>
      </c>
    </row>
    <row r="8479" spans="1:2">
      <c r="A8479" s="136" t="str">
        <f t="shared" si="108"/>
        <v/>
      </c>
      <c r="B8479" s="136" t="str">
        <f t="shared" si="109"/>
        <v/>
      </c>
    </row>
    <row r="8480" spans="1:2">
      <c r="A8480" s="136" t="str">
        <f t="shared" si="108"/>
        <v/>
      </c>
      <c r="B8480" s="136" t="str">
        <f t="shared" si="109"/>
        <v/>
      </c>
    </row>
    <row r="8481" spans="1:2">
      <c r="A8481" s="136" t="str">
        <f t="shared" si="108"/>
        <v/>
      </c>
      <c r="B8481" s="136" t="str">
        <f t="shared" si="109"/>
        <v/>
      </c>
    </row>
    <row r="8482" spans="1:2">
      <c r="A8482" s="136" t="str">
        <f t="shared" si="108"/>
        <v/>
      </c>
      <c r="B8482" s="136" t="str">
        <f t="shared" si="109"/>
        <v/>
      </c>
    </row>
    <row r="8483" spans="1:2">
      <c r="A8483" s="136" t="str">
        <f t="shared" si="108"/>
        <v/>
      </c>
      <c r="B8483" s="136" t="str">
        <f t="shared" si="109"/>
        <v/>
      </c>
    </row>
    <row r="8484" spans="1:2">
      <c r="A8484" s="136" t="str">
        <f t="shared" si="108"/>
        <v/>
      </c>
      <c r="B8484" s="136" t="str">
        <f t="shared" si="109"/>
        <v/>
      </c>
    </row>
    <row r="8485" spans="1:2">
      <c r="A8485" s="136" t="str">
        <f t="shared" si="108"/>
        <v/>
      </c>
      <c r="B8485" s="136" t="str">
        <f t="shared" si="109"/>
        <v/>
      </c>
    </row>
    <row r="8486" spans="1:2">
      <c r="A8486" s="136" t="str">
        <f t="shared" si="108"/>
        <v/>
      </c>
      <c r="B8486" s="136" t="str">
        <f t="shared" si="109"/>
        <v/>
      </c>
    </row>
    <row r="8487" spans="1:2">
      <c r="A8487" s="136" t="str">
        <f t="shared" si="108"/>
        <v/>
      </c>
      <c r="B8487" s="136" t="str">
        <f t="shared" si="109"/>
        <v/>
      </c>
    </row>
    <row r="8488" spans="1:2">
      <c r="A8488" s="136" t="str">
        <f t="shared" si="108"/>
        <v/>
      </c>
      <c r="B8488" s="136" t="str">
        <f t="shared" si="109"/>
        <v/>
      </c>
    </row>
    <row r="8489" spans="1:2">
      <c r="A8489" s="136" t="str">
        <f t="shared" si="108"/>
        <v/>
      </c>
      <c r="B8489" s="136" t="str">
        <f t="shared" si="109"/>
        <v/>
      </c>
    </row>
    <row r="8490" spans="1:2">
      <c r="A8490" s="136" t="str">
        <f t="shared" si="108"/>
        <v/>
      </c>
      <c r="B8490" s="136" t="str">
        <f t="shared" si="109"/>
        <v/>
      </c>
    </row>
    <row r="8491" spans="1:2">
      <c r="A8491" s="136" t="str">
        <f t="shared" si="108"/>
        <v/>
      </c>
      <c r="B8491" s="136" t="str">
        <f t="shared" si="109"/>
        <v/>
      </c>
    </row>
    <row r="8492" spans="1:2">
      <c r="A8492" s="136" t="str">
        <f t="shared" si="108"/>
        <v/>
      </c>
      <c r="B8492" s="136" t="str">
        <f t="shared" si="109"/>
        <v/>
      </c>
    </row>
    <row r="8493" spans="1:2">
      <c r="A8493" s="136" t="str">
        <f t="shared" si="108"/>
        <v/>
      </c>
      <c r="B8493" s="136" t="str">
        <f t="shared" si="109"/>
        <v/>
      </c>
    </row>
    <row r="8494" spans="1:2">
      <c r="A8494" s="136" t="str">
        <f t="shared" si="108"/>
        <v/>
      </c>
      <c r="B8494" s="136" t="str">
        <f t="shared" si="109"/>
        <v/>
      </c>
    </row>
    <row r="8495" spans="1:2">
      <c r="A8495" s="136" t="str">
        <f t="shared" si="108"/>
        <v/>
      </c>
      <c r="B8495" s="136" t="str">
        <f t="shared" si="109"/>
        <v/>
      </c>
    </row>
    <row r="8496" spans="1:2">
      <c r="A8496" s="136" t="str">
        <f t="shared" si="108"/>
        <v/>
      </c>
      <c r="B8496" s="136" t="str">
        <f t="shared" si="109"/>
        <v/>
      </c>
    </row>
    <row r="8497" spans="1:2">
      <c r="A8497" s="136" t="str">
        <f t="shared" si="108"/>
        <v/>
      </c>
      <c r="B8497" s="136" t="str">
        <f t="shared" si="109"/>
        <v/>
      </c>
    </row>
    <row r="8498" spans="1:2">
      <c r="A8498" s="136" t="str">
        <f t="shared" si="108"/>
        <v/>
      </c>
      <c r="B8498" s="136" t="str">
        <f t="shared" si="109"/>
        <v/>
      </c>
    </row>
    <row r="8499" spans="1:2">
      <c r="A8499" s="136" t="str">
        <f t="shared" si="108"/>
        <v/>
      </c>
      <c r="B8499" s="136" t="str">
        <f t="shared" si="109"/>
        <v/>
      </c>
    </row>
    <row r="8500" spans="1:2">
      <c r="A8500" s="136" t="str">
        <f t="shared" si="108"/>
        <v/>
      </c>
      <c r="B8500" s="136" t="str">
        <f t="shared" si="109"/>
        <v/>
      </c>
    </row>
    <row r="8501" spans="1:2">
      <c r="A8501" s="136" t="str">
        <f t="shared" si="108"/>
        <v/>
      </c>
      <c r="B8501" s="136" t="str">
        <f t="shared" si="109"/>
        <v/>
      </c>
    </row>
    <row r="8502" spans="1:2">
      <c r="A8502" s="136" t="str">
        <f t="shared" si="108"/>
        <v/>
      </c>
      <c r="B8502" s="136" t="str">
        <f t="shared" si="109"/>
        <v/>
      </c>
    </row>
    <row r="8503" spans="1:2">
      <c r="A8503" s="136" t="str">
        <f t="shared" si="108"/>
        <v/>
      </c>
      <c r="B8503" s="136" t="str">
        <f t="shared" si="109"/>
        <v/>
      </c>
    </row>
    <row r="8504" spans="1:2">
      <c r="A8504" s="136" t="str">
        <f t="shared" si="108"/>
        <v/>
      </c>
      <c r="B8504" s="136" t="str">
        <f t="shared" si="109"/>
        <v/>
      </c>
    </row>
    <row r="8505" spans="1:2">
      <c r="A8505" s="136" t="str">
        <f t="shared" ref="A8505:A8568" si="110">HYPERLINK("http://tw.stock.yahoo.com/q/ta?s=","")</f>
        <v/>
      </c>
      <c r="B8505" s="136" t="str">
        <f t="shared" ref="B8505:B8568" si="111">HYPERLINK("http://tw.stock.yahoo.com/d/s/earning_.html","")</f>
        <v/>
      </c>
    </row>
    <row r="8506" spans="1:2">
      <c r="A8506" s="136" t="str">
        <f t="shared" si="110"/>
        <v/>
      </c>
      <c r="B8506" s="136" t="str">
        <f t="shared" si="111"/>
        <v/>
      </c>
    </row>
    <row r="8507" spans="1:2">
      <c r="A8507" s="136" t="str">
        <f t="shared" si="110"/>
        <v/>
      </c>
      <c r="B8507" s="136" t="str">
        <f t="shared" si="111"/>
        <v/>
      </c>
    </row>
    <row r="8508" spans="1:2">
      <c r="A8508" s="136" t="str">
        <f t="shared" si="110"/>
        <v/>
      </c>
      <c r="B8508" s="136" t="str">
        <f t="shared" si="111"/>
        <v/>
      </c>
    </row>
    <row r="8509" spans="1:2">
      <c r="A8509" s="136" t="str">
        <f t="shared" si="110"/>
        <v/>
      </c>
      <c r="B8509" s="136" t="str">
        <f t="shared" si="111"/>
        <v/>
      </c>
    </row>
    <row r="8510" spans="1:2">
      <c r="A8510" s="136" t="str">
        <f t="shared" si="110"/>
        <v/>
      </c>
      <c r="B8510" s="136" t="str">
        <f t="shared" si="111"/>
        <v/>
      </c>
    </row>
    <row r="8511" spans="1:2">
      <c r="A8511" s="136" t="str">
        <f t="shared" si="110"/>
        <v/>
      </c>
      <c r="B8511" s="136" t="str">
        <f t="shared" si="111"/>
        <v/>
      </c>
    </row>
    <row r="8512" spans="1:2">
      <c r="A8512" s="136" t="str">
        <f t="shared" si="110"/>
        <v/>
      </c>
      <c r="B8512" s="136" t="str">
        <f t="shared" si="111"/>
        <v/>
      </c>
    </row>
    <row r="8513" spans="1:2">
      <c r="A8513" s="136" t="str">
        <f t="shared" si="110"/>
        <v/>
      </c>
      <c r="B8513" s="136" t="str">
        <f t="shared" si="111"/>
        <v/>
      </c>
    </row>
    <row r="8514" spans="1:2">
      <c r="A8514" s="136" t="str">
        <f t="shared" si="110"/>
        <v/>
      </c>
      <c r="B8514" s="136" t="str">
        <f t="shared" si="111"/>
        <v/>
      </c>
    </row>
    <row r="8515" spans="1:2">
      <c r="A8515" s="136" t="str">
        <f t="shared" si="110"/>
        <v/>
      </c>
      <c r="B8515" s="136" t="str">
        <f t="shared" si="111"/>
        <v/>
      </c>
    </row>
    <row r="8516" spans="1:2">
      <c r="A8516" s="136" t="str">
        <f t="shared" si="110"/>
        <v/>
      </c>
      <c r="B8516" s="136" t="str">
        <f t="shared" si="111"/>
        <v/>
      </c>
    </row>
    <row r="8517" spans="1:2">
      <c r="A8517" s="136" t="str">
        <f t="shared" si="110"/>
        <v/>
      </c>
      <c r="B8517" s="136" t="str">
        <f t="shared" si="111"/>
        <v/>
      </c>
    </row>
    <row r="8518" spans="1:2">
      <c r="A8518" s="136" t="str">
        <f t="shared" si="110"/>
        <v/>
      </c>
      <c r="B8518" s="136" t="str">
        <f t="shared" si="111"/>
        <v/>
      </c>
    </row>
    <row r="8519" spans="1:2">
      <c r="A8519" s="136" t="str">
        <f t="shared" si="110"/>
        <v/>
      </c>
      <c r="B8519" s="136" t="str">
        <f t="shared" si="111"/>
        <v/>
      </c>
    </row>
    <row r="8520" spans="1:2">
      <c r="A8520" s="136" t="str">
        <f t="shared" si="110"/>
        <v/>
      </c>
      <c r="B8520" s="136" t="str">
        <f t="shared" si="111"/>
        <v/>
      </c>
    </row>
    <row r="8521" spans="1:2">
      <c r="A8521" s="136" t="str">
        <f t="shared" si="110"/>
        <v/>
      </c>
      <c r="B8521" s="136" t="str">
        <f t="shared" si="111"/>
        <v/>
      </c>
    </row>
    <row r="8522" spans="1:2">
      <c r="A8522" s="136" t="str">
        <f t="shared" si="110"/>
        <v/>
      </c>
      <c r="B8522" s="136" t="str">
        <f t="shared" si="111"/>
        <v/>
      </c>
    </row>
    <row r="8523" spans="1:2">
      <c r="A8523" s="136" t="str">
        <f t="shared" si="110"/>
        <v/>
      </c>
      <c r="B8523" s="136" t="str">
        <f t="shared" si="111"/>
        <v/>
      </c>
    </row>
    <row r="8524" spans="1:2">
      <c r="A8524" s="136" t="str">
        <f t="shared" si="110"/>
        <v/>
      </c>
      <c r="B8524" s="136" t="str">
        <f t="shared" si="111"/>
        <v/>
      </c>
    </row>
    <row r="8525" spans="1:2">
      <c r="A8525" s="136" t="str">
        <f t="shared" si="110"/>
        <v/>
      </c>
      <c r="B8525" s="136" t="str">
        <f t="shared" si="111"/>
        <v/>
      </c>
    </row>
    <row r="8526" spans="1:2">
      <c r="A8526" s="136" t="str">
        <f t="shared" si="110"/>
        <v/>
      </c>
      <c r="B8526" s="136" t="str">
        <f t="shared" si="111"/>
        <v/>
      </c>
    </row>
    <row r="8527" spans="1:2">
      <c r="A8527" s="136" t="str">
        <f t="shared" si="110"/>
        <v/>
      </c>
      <c r="B8527" s="136" t="str">
        <f t="shared" si="111"/>
        <v/>
      </c>
    </row>
    <row r="8528" spans="1:2">
      <c r="A8528" s="136" t="str">
        <f t="shared" si="110"/>
        <v/>
      </c>
      <c r="B8528" s="136" t="str">
        <f t="shared" si="111"/>
        <v/>
      </c>
    </row>
    <row r="8529" spans="1:2">
      <c r="A8529" s="136" t="str">
        <f t="shared" si="110"/>
        <v/>
      </c>
      <c r="B8529" s="136" t="str">
        <f t="shared" si="111"/>
        <v/>
      </c>
    </row>
    <row r="8530" spans="1:2">
      <c r="A8530" s="136" t="str">
        <f t="shared" si="110"/>
        <v/>
      </c>
      <c r="B8530" s="136" t="str">
        <f t="shared" si="111"/>
        <v/>
      </c>
    </row>
    <row r="8531" spans="1:2">
      <c r="A8531" s="136" t="str">
        <f t="shared" si="110"/>
        <v/>
      </c>
      <c r="B8531" s="136" t="str">
        <f t="shared" si="111"/>
        <v/>
      </c>
    </row>
    <row r="8532" spans="1:2">
      <c r="A8532" s="136" t="str">
        <f t="shared" si="110"/>
        <v/>
      </c>
      <c r="B8532" s="136" t="str">
        <f t="shared" si="111"/>
        <v/>
      </c>
    </row>
    <row r="8533" spans="1:2">
      <c r="A8533" s="136" t="str">
        <f t="shared" si="110"/>
        <v/>
      </c>
      <c r="B8533" s="136" t="str">
        <f t="shared" si="111"/>
        <v/>
      </c>
    </row>
    <row r="8534" spans="1:2">
      <c r="A8534" s="136" t="str">
        <f t="shared" si="110"/>
        <v/>
      </c>
      <c r="B8534" s="136" t="str">
        <f t="shared" si="111"/>
        <v/>
      </c>
    </row>
    <row r="8535" spans="1:2">
      <c r="A8535" s="136" t="str">
        <f t="shared" si="110"/>
        <v/>
      </c>
      <c r="B8535" s="136" t="str">
        <f t="shared" si="111"/>
        <v/>
      </c>
    </row>
    <row r="8536" spans="1:2">
      <c r="A8536" s="136" t="str">
        <f t="shared" si="110"/>
        <v/>
      </c>
      <c r="B8536" s="136" t="str">
        <f t="shared" si="111"/>
        <v/>
      </c>
    </row>
    <row r="8537" spans="1:2">
      <c r="A8537" s="136" t="str">
        <f t="shared" si="110"/>
        <v/>
      </c>
      <c r="B8537" s="136" t="str">
        <f t="shared" si="111"/>
        <v/>
      </c>
    </row>
    <row r="8538" spans="1:2">
      <c r="A8538" s="136" t="str">
        <f t="shared" si="110"/>
        <v/>
      </c>
      <c r="B8538" s="136" t="str">
        <f t="shared" si="111"/>
        <v/>
      </c>
    </row>
    <row r="8539" spans="1:2">
      <c r="A8539" s="136" t="str">
        <f t="shared" si="110"/>
        <v/>
      </c>
      <c r="B8539" s="136" t="str">
        <f t="shared" si="111"/>
        <v/>
      </c>
    </row>
    <row r="8540" spans="1:2">
      <c r="A8540" s="136" t="str">
        <f t="shared" si="110"/>
        <v/>
      </c>
      <c r="B8540" s="136" t="str">
        <f t="shared" si="111"/>
        <v/>
      </c>
    </row>
    <row r="8541" spans="1:2">
      <c r="A8541" s="136" t="str">
        <f t="shared" si="110"/>
        <v/>
      </c>
      <c r="B8541" s="136" t="str">
        <f t="shared" si="111"/>
        <v/>
      </c>
    </row>
    <row r="8542" spans="1:2">
      <c r="A8542" s="136" t="str">
        <f t="shared" si="110"/>
        <v/>
      </c>
      <c r="B8542" s="136" t="str">
        <f t="shared" si="111"/>
        <v/>
      </c>
    </row>
    <row r="8543" spans="1:2">
      <c r="A8543" s="136" t="str">
        <f t="shared" si="110"/>
        <v/>
      </c>
      <c r="B8543" s="136" t="str">
        <f t="shared" si="111"/>
        <v/>
      </c>
    </row>
    <row r="8544" spans="1:2">
      <c r="A8544" s="136" t="str">
        <f t="shared" si="110"/>
        <v/>
      </c>
      <c r="B8544" s="136" t="str">
        <f t="shared" si="111"/>
        <v/>
      </c>
    </row>
    <row r="8545" spans="1:2">
      <c r="A8545" s="136" t="str">
        <f t="shared" si="110"/>
        <v/>
      </c>
      <c r="B8545" s="136" t="str">
        <f t="shared" si="111"/>
        <v/>
      </c>
    </row>
    <row r="8546" spans="1:2">
      <c r="A8546" s="136" t="str">
        <f t="shared" si="110"/>
        <v/>
      </c>
      <c r="B8546" s="136" t="str">
        <f t="shared" si="111"/>
        <v/>
      </c>
    </row>
    <row r="8547" spans="1:2">
      <c r="A8547" s="136" t="str">
        <f t="shared" si="110"/>
        <v/>
      </c>
      <c r="B8547" s="136" t="str">
        <f t="shared" si="111"/>
        <v/>
      </c>
    </row>
    <row r="8548" spans="1:2">
      <c r="A8548" s="136" t="str">
        <f t="shared" si="110"/>
        <v/>
      </c>
      <c r="B8548" s="136" t="str">
        <f t="shared" si="111"/>
        <v/>
      </c>
    </row>
    <row r="8549" spans="1:2">
      <c r="A8549" s="136" t="str">
        <f t="shared" si="110"/>
        <v/>
      </c>
      <c r="B8549" s="136" t="str">
        <f t="shared" si="111"/>
        <v/>
      </c>
    </row>
    <row r="8550" spans="1:2">
      <c r="A8550" s="136" t="str">
        <f t="shared" si="110"/>
        <v/>
      </c>
      <c r="B8550" s="136" t="str">
        <f t="shared" si="111"/>
        <v/>
      </c>
    </row>
    <row r="8551" spans="1:2">
      <c r="A8551" s="136" t="str">
        <f t="shared" si="110"/>
        <v/>
      </c>
      <c r="B8551" s="136" t="str">
        <f t="shared" si="111"/>
        <v/>
      </c>
    </row>
    <row r="8552" spans="1:2">
      <c r="A8552" s="136" t="str">
        <f t="shared" si="110"/>
        <v/>
      </c>
      <c r="B8552" s="136" t="str">
        <f t="shared" si="111"/>
        <v/>
      </c>
    </row>
    <row r="8553" spans="1:2">
      <c r="A8553" s="136" t="str">
        <f t="shared" si="110"/>
        <v/>
      </c>
      <c r="B8553" s="136" t="str">
        <f t="shared" si="111"/>
        <v/>
      </c>
    </row>
    <row r="8554" spans="1:2">
      <c r="A8554" s="136" t="str">
        <f t="shared" si="110"/>
        <v/>
      </c>
      <c r="B8554" s="136" t="str">
        <f t="shared" si="111"/>
        <v/>
      </c>
    </row>
    <row r="8555" spans="1:2">
      <c r="A8555" s="136" t="str">
        <f t="shared" si="110"/>
        <v/>
      </c>
      <c r="B8555" s="136" t="str">
        <f t="shared" si="111"/>
        <v/>
      </c>
    </row>
    <row r="8556" spans="1:2">
      <c r="A8556" s="136" t="str">
        <f t="shared" si="110"/>
        <v/>
      </c>
      <c r="B8556" s="136" t="str">
        <f t="shared" si="111"/>
        <v/>
      </c>
    </row>
    <row r="8557" spans="1:2">
      <c r="A8557" s="136" t="str">
        <f t="shared" si="110"/>
        <v/>
      </c>
      <c r="B8557" s="136" t="str">
        <f t="shared" si="111"/>
        <v/>
      </c>
    </row>
    <row r="8558" spans="1:2">
      <c r="A8558" s="136" t="str">
        <f t="shared" si="110"/>
        <v/>
      </c>
      <c r="B8558" s="136" t="str">
        <f t="shared" si="111"/>
        <v/>
      </c>
    </row>
    <row r="8559" spans="1:2">
      <c r="A8559" s="136" t="str">
        <f t="shared" si="110"/>
        <v/>
      </c>
      <c r="B8559" s="136" t="str">
        <f t="shared" si="111"/>
        <v/>
      </c>
    </row>
    <row r="8560" spans="1:2">
      <c r="A8560" s="136" t="str">
        <f t="shared" si="110"/>
        <v/>
      </c>
      <c r="B8560" s="136" t="str">
        <f t="shared" si="111"/>
        <v/>
      </c>
    </row>
    <row r="8561" spans="1:2">
      <c r="A8561" s="136" t="str">
        <f t="shared" si="110"/>
        <v/>
      </c>
      <c r="B8561" s="136" t="str">
        <f t="shared" si="111"/>
        <v/>
      </c>
    </row>
    <row r="8562" spans="1:2">
      <c r="A8562" s="136" t="str">
        <f t="shared" si="110"/>
        <v/>
      </c>
      <c r="B8562" s="136" t="str">
        <f t="shared" si="111"/>
        <v/>
      </c>
    </row>
    <row r="8563" spans="1:2">
      <c r="A8563" s="136" t="str">
        <f t="shared" si="110"/>
        <v/>
      </c>
      <c r="B8563" s="136" t="str">
        <f t="shared" si="111"/>
        <v/>
      </c>
    </row>
    <row r="8564" spans="1:2">
      <c r="A8564" s="136" t="str">
        <f t="shared" si="110"/>
        <v/>
      </c>
      <c r="B8564" s="136" t="str">
        <f t="shared" si="111"/>
        <v/>
      </c>
    </row>
    <row r="8565" spans="1:2">
      <c r="A8565" s="136" t="str">
        <f t="shared" si="110"/>
        <v/>
      </c>
      <c r="B8565" s="136" t="str">
        <f t="shared" si="111"/>
        <v/>
      </c>
    </row>
    <row r="8566" spans="1:2">
      <c r="A8566" s="136" t="str">
        <f t="shared" si="110"/>
        <v/>
      </c>
      <c r="B8566" s="136" t="str">
        <f t="shared" si="111"/>
        <v/>
      </c>
    </row>
    <row r="8567" spans="1:2">
      <c r="A8567" s="136" t="str">
        <f t="shared" si="110"/>
        <v/>
      </c>
      <c r="B8567" s="136" t="str">
        <f t="shared" si="111"/>
        <v/>
      </c>
    </row>
    <row r="8568" spans="1:2">
      <c r="A8568" s="136" t="str">
        <f t="shared" si="110"/>
        <v/>
      </c>
      <c r="B8568" s="136" t="str">
        <f t="shared" si="111"/>
        <v/>
      </c>
    </row>
    <row r="8569" spans="1:2">
      <c r="A8569" s="136" t="str">
        <f t="shared" ref="A8569:A8632" si="112">HYPERLINK("http://tw.stock.yahoo.com/q/ta?s=","")</f>
        <v/>
      </c>
      <c r="B8569" s="136" t="str">
        <f t="shared" ref="B8569:B8632" si="113">HYPERLINK("http://tw.stock.yahoo.com/d/s/earning_.html","")</f>
        <v/>
      </c>
    </row>
    <row r="8570" spans="1:2">
      <c r="A8570" s="136" t="str">
        <f t="shared" si="112"/>
        <v/>
      </c>
      <c r="B8570" s="136" t="str">
        <f t="shared" si="113"/>
        <v/>
      </c>
    </row>
    <row r="8571" spans="1:2">
      <c r="A8571" s="136" t="str">
        <f t="shared" si="112"/>
        <v/>
      </c>
      <c r="B8571" s="136" t="str">
        <f t="shared" si="113"/>
        <v/>
      </c>
    </row>
    <row r="8572" spans="1:2">
      <c r="A8572" s="136" t="str">
        <f t="shared" si="112"/>
        <v/>
      </c>
      <c r="B8572" s="136" t="str">
        <f t="shared" si="113"/>
        <v/>
      </c>
    </row>
    <row r="8573" spans="1:2">
      <c r="A8573" s="136" t="str">
        <f t="shared" si="112"/>
        <v/>
      </c>
      <c r="B8573" s="136" t="str">
        <f t="shared" si="113"/>
        <v/>
      </c>
    </row>
    <row r="8574" spans="1:2">
      <c r="A8574" s="136" t="str">
        <f t="shared" si="112"/>
        <v/>
      </c>
      <c r="B8574" s="136" t="str">
        <f t="shared" si="113"/>
        <v/>
      </c>
    </row>
    <row r="8575" spans="1:2">
      <c r="A8575" s="136" t="str">
        <f t="shared" si="112"/>
        <v/>
      </c>
      <c r="B8575" s="136" t="str">
        <f t="shared" si="113"/>
        <v/>
      </c>
    </row>
    <row r="8576" spans="1:2">
      <c r="A8576" s="136" t="str">
        <f t="shared" si="112"/>
        <v/>
      </c>
      <c r="B8576" s="136" t="str">
        <f t="shared" si="113"/>
        <v/>
      </c>
    </row>
    <row r="8577" spans="1:2">
      <c r="A8577" s="136" t="str">
        <f t="shared" si="112"/>
        <v/>
      </c>
      <c r="B8577" s="136" t="str">
        <f t="shared" si="113"/>
        <v/>
      </c>
    </row>
    <row r="8578" spans="1:2">
      <c r="A8578" s="136" t="str">
        <f t="shared" si="112"/>
        <v/>
      </c>
      <c r="B8578" s="136" t="str">
        <f t="shared" si="113"/>
        <v/>
      </c>
    </row>
    <row r="8579" spans="1:2">
      <c r="A8579" s="136" t="str">
        <f t="shared" si="112"/>
        <v/>
      </c>
      <c r="B8579" s="136" t="str">
        <f t="shared" si="113"/>
        <v/>
      </c>
    </row>
    <row r="8580" spans="1:2">
      <c r="A8580" s="136" t="str">
        <f t="shared" si="112"/>
        <v/>
      </c>
      <c r="B8580" s="136" t="str">
        <f t="shared" si="113"/>
        <v/>
      </c>
    </row>
    <row r="8581" spans="1:2">
      <c r="A8581" s="136" t="str">
        <f t="shared" si="112"/>
        <v/>
      </c>
      <c r="B8581" s="136" t="str">
        <f t="shared" si="113"/>
        <v/>
      </c>
    </row>
    <row r="8582" spans="1:2">
      <c r="A8582" s="136" t="str">
        <f t="shared" si="112"/>
        <v/>
      </c>
      <c r="B8582" s="136" t="str">
        <f t="shared" si="113"/>
        <v/>
      </c>
    </row>
    <row r="8583" spans="1:2">
      <c r="A8583" s="136" t="str">
        <f t="shared" si="112"/>
        <v/>
      </c>
      <c r="B8583" s="136" t="str">
        <f t="shared" si="113"/>
        <v/>
      </c>
    </row>
    <row r="8584" spans="1:2">
      <c r="A8584" s="136" t="str">
        <f t="shared" si="112"/>
        <v/>
      </c>
      <c r="B8584" s="136" t="str">
        <f t="shared" si="113"/>
        <v/>
      </c>
    </row>
    <row r="8585" spans="1:2">
      <c r="A8585" s="136" t="str">
        <f t="shared" si="112"/>
        <v/>
      </c>
      <c r="B8585" s="136" t="str">
        <f t="shared" si="113"/>
        <v/>
      </c>
    </row>
    <row r="8586" spans="1:2">
      <c r="A8586" s="136" t="str">
        <f t="shared" si="112"/>
        <v/>
      </c>
      <c r="B8586" s="136" t="str">
        <f t="shared" si="113"/>
        <v/>
      </c>
    </row>
    <row r="8587" spans="1:2">
      <c r="A8587" s="136" t="str">
        <f t="shared" si="112"/>
        <v/>
      </c>
      <c r="B8587" s="136" t="str">
        <f t="shared" si="113"/>
        <v/>
      </c>
    </row>
    <row r="8588" spans="1:2">
      <c r="A8588" s="136" t="str">
        <f t="shared" si="112"/>
        <v/>
      </c>
      <c r="B8588" s="136" t="str">
        <f t="shared" si="113"/>
        <v/>
      </c>
    </row>
    <row r="8589" spans="1:2">
      <c r="A8589" s="136" t="str">
        <f t="shared" si="112"/>
        <v/>
      </c>
      <c r="B8589" s="136" t="str">
        <f t="shared" si="113"/>
        <v/>
      </c>
    </row>
    <row r="8590" spans="1:2">
      <c r="A8590" s="136" t="str">
        <f t="shared" si="112"/>
        <v/>
      </c>
      <c r="B8590" s="136" t="str">
        <f t="shared" si="113"/>
        <v/>
      </c>
    </row>
    <row r="8591" spans="1:2">
      <c r="A8591" s="136" t="str">
        <f t="shared" si="112"/>
        <v/>
      </c>
      <c r="B8591" s="136" t="str">
        <f t="shared" si="113"/>
        <v/>
      </c>
    </row>
    <row r="8592" spans="1:2">
      <c r="A8592" s="136" t="str">
        <f t="shared" si="112"/>
        <v/>
      </c>
      <c r="B8592" s="136" t="str">
        <f t="shared" si="113"/>
        <v/>
      </c>
    </row>
    <row r="8593" spans="1:2">
      <c r="A8593" s="136" t="str">
        <f t="shared" si="112"/>
        <v/>
      </c>
      <c r="B8593" s="136" t="str">
        <f t="shared" si="113"/>
        <v/>
      </c>
    </row>
    <row r="8594" spans="1:2">
      <c r="A8594" s="136" t="str">
        <f t="shared" si="112"/>
        <v/>
      </c>
      <c r="B8594" s="136" t="str">
        <f t="shared" si="113"/>
        <v/>
      </c>
    </row>
    <row r="8595" spans="1:2">
      <c r="A8595" s="136" t="str">
        <f t="shared" si="112"/>
        <v/>
      </c>
      <c r="B8595" s="136" t="str">
        <f t="shared" si="113"/>
        <v/>
      </c>
    </row>
    <row r="8596" spans="1:2">
      <c r="A8596" s="136" t="str">
        <f t="shared" si="112"/>
        <v/>
      </c>
      <c r="B8596" s="136" t="str">
        <f t="shared" si="113"/>
        <v/>
      </c>
    </row>
    <row r="8597" spans="1:2">
      <c r="A8597" s="136" t="str">
        <f t="shared" si="112"/>
        <v/>
      </c>
      <c r="B8597" s="136" t="str">
        <f t="shared" si="113"/>
        <v/>
      </c>
    </row>
    <row r="8598" spans="1:2">
      <c r="A8598" s="136" t="str">
        <f t="shared" si="112"/>
        <v/>
      </c>
      <c r="B8598" s="136" t="str">
        <f t="shared" si="113"/>
        <v/>
      </c>
    </row>
    <row r="8599" spans="1:2">
      <c r="A8599" s="136" t="str">
        <f t="shared" si="112"/>
        <v/>
      </c>
      <c r="B8599" s="136" t="str">
        <f t="shared" si="113"/>
        <v/>
      </c>
    </row>
    <row r="8600" spans="1:2">
      <c r="A8600" s="136" t="str">
        <f t="shared" si="112"/>
        <v/>
      </c>
      <c r="B8600" s="136" t="str">
        <f t="shared" si="113"/>
        <v/>
      </c>
    </row>
    <row r="8601" spans="1:2">
      <c r="A8601" s="136" t="str">
        <f t="shared" si="112"/>
        <v/>
      </c>
      <c r="B8601" s="136" t="str">
        <f t="shared" si="113"/>
        <v/>
      </c>
    </row>
    <row r="8602" spans="1:2">
      <c r="A8602" s="136" t="str">
        <f t="shared" si="112"/>
        <v/>
      </c>
      <c r="B8602" s="136" t="str">
        <f t="shared" si="113"/>
        <v/>
      </c>
    </row>
    <row r="8603" spans="1:2">
      <c r="A8603" s="136" t="str">
        <f t="shared" si="112"/>
        <v/>
      </c>
      <c r="B8603" s="136" t="str">
        <f t="shared" si="113"/>
        <v/>
      </c>
    </row>
    <row r="8604" spans="1:2">
      <c r="A8604" s="136" t="str">
        <f t="shared" si="112"/>
        <v/>
      </c>
      <c r="B8604" s="136" t="str">
        <f t="shared" si="113"/>
        <v/>
      </c>
    </row>
    <row r="8605" spans="1:2">
      <c r="A8605" s="136" t="str">
        <f t="shared" si="112"/>
        <v/>
      </c>
      <c r="B8605" s="136" t="str">
        <f t="shared" si="113"/>
        <v/>
      </c>
    </row>
    <row r="8606" spans="1:2">
      <c r="A8606" s="136" t="str">
        <f t="shared" si="112"/>
        <v/>
      </c>
      <c r="B8606" s="136" t="str">
        <f t="shared" si="113"/>
        <v/>
      </c>
    </row>
    <row r="8607" spans="1:2">
      <c r="A8607" s="136" t="str">
        <f t="shared" si="112"/>
        <v/>
      </c>
      <c r="B8607" s="136" t="str">
        <f t="shared" si="113"/>
        <v/>
      </c>
    </row>
    <row r="8608" spans="1:2">
      <c r="A8608" s="136" t="str">
        <f t="shared" si="112"/>
        <v/>
      </c>
      <c r="B8608" s="136" t="str">
        <f t="shared" si="113"/>
        <v/>
      </c>
    </row>
    <row r="8609" spans="1:2">
      <c r="A8609" s="136" t="str">
        <f t="shared" si="112"/>
        <v/>
      </c>
      <c r="B8609" s="136" t="str">
        <f t="shared" si="113"/>
        <v/>
      </c>
    </row>
    <row r="8610" spans="1:2">
      <c r="A8610" s="136" t="str">
        <f t="shared" si="112"/>
        <v/>
      </c>
      <c r="B8610" s="136" t="str">
        <f t="shared" si="113"/>
        <v/>
      </c>
    </row>
    <row r="8611" spans="1:2">
      <c r="A8611" s="136" t="str">
        <f t="shared" si="112"/>
        <v/>
      </c>
      <c r="B8611" s="136" t="str">
        <f t="shared" si="113"/>
        <v/>
      </c>
    </row>
    <row r="8612" spans="1:2">
      <c r="A8612" s="136" t="str">
        <f t="shared" si="112"/>
        <v/>
      </c>
      <c r="B8612" s="136" t="str">
        <f t="shared" si="113"/>
        <v/>
      </c>
    </row>
    <row r="8613" spans="1:2">
      <c r="A8613" s="136" t="str">
        <f t="shared" si="112"/>
        <v/>
      </c>
      <c r="B8613" s="136" t="str">
        <f t="shared" si="113"/>
        <v/>
      </c>
    </row>
    <row r="8614" spans="1:2">
      <c r="A8614" s="136" t="str">
        <f t="shared" si="112"/>
        <v/>
      </c>
      <c r="B8614" s="136" t="str">
        <f t="shared" si="113"/>
        <v/>
      </c>
    </row>
    <row r="8615" spans="1:2">
      <c r="A8615" s="136" t="str">
        <f t="shared" si="112"/>
        <v/>
      </c>
      <c r="B8615" s="136" t="str">
        <f t="shared" si="113"/>
        <v/>
      </c>
    </row>
    <row r="8616" spans="1:2">
      <c r="A8616" s="136" t="str">
        <f t="shared" si="112"/>
        <v/>
      </c>
      <c r="B8616" s="136" t="str">
        <f t="shared" si="113"/>
        <v/>
      </c>
    </row>
    <row r="8617" spans="1:2">
      <c r="A8617" s="136" t="str">
        <f t="shared" si="112"/>
        <v/>
      </c>
      <c r="B8617" s="136" t="str">
        <f t="shared" si="113"/>
        <v/>
      </c>
    </row>
    <row r="8618" spans="1:2">
      <c r="A8618" s="136" t="str">
        <f t="shared" si="112"/>
        <v/>
      </c>
      <c r="B8618" s="136" t="str">
        <f t="shared" si="113"/>
        <v/>
      </c>
    </row>
    <row r="8619" spans="1:2">
      <c r="A8619" s="136" t="str">
        <f t="shared" si="112"/>
        <v/>
      </c>
      <c r="B8619" s="136" t="str">
        <f t="shared" si="113"/>
        <v/>
      </c>
    </row>
    <row r="8620" spans="1:2">
      <c r="A8620" s="136" t="str">
        <f t="shared" si="112"/>
        <v/>
      </c>
      <c r="B8620" s="136" t="str">
        <f t="shared" si="113"/>
        <v/>
      </c>
    </row>
    <row r="8621" spans="1:2">
      <c r="A8621" s="136" t="str">
        <f t="shared" si="112"/>
        <v/>
      </c>
      <c r="B8621" s="136" t="str">
        <f t="shared" si="113"/>
        <v/>
      </c>
    </row>
    <row r="8622" spans="1:2">
      <c r="A8622" s="136" t="str">
        <f t="shared" si="112"/>
        <v/>
      </c>
      <c r="B8622" s="136" t="str">
        <f t="shared" si="113"/>
        <v/>
      </c>
    </row>
    <row r="8623" spans="1:2">
      <c r="A8623" s="136" t="str">
        <f t="shared" si="112"/>
        <v/>
      </c>
      <c r="B8623" s="136" t="str">
        <f t="shared" si="113"/>
        <v/>
      </c>
    </row>
    <row r="8624" spans="1:2">
      <c r="A8624" s="136" t="str">
        <f t="shared" si="112"/>
        <v/>
      </c>
      <c r="B8624" s="136" t="str">
        <f t="shared" si="113"/>
        <v/>
      </c>
    </row>
    <row r="8625" spans="1:2">
      <c r="A8625" s="136" t="str">
        <f t="shared" si="112"/>
        <v/>
      </c>
      <c r="B8625" s="136" t="str">
        <f t="shared" si="113"/>
        <v/>
      </c>
    </row>
    <row r="8626" spans="1:2">
      <c r="A8626" s="136" t="str">
        <f t="shared" si="112"/>
        <v/>
      </c>
      <c r="B8626" s="136" t="str">
        <f t="shared" si="113"/>
        <v/>
      </c>
    </row>
    <row r="8627" spans="1:2">
      <c r="A8627" s="136" t="str">
        <f t="shared" si="112"/>
        <v/>
      </c>
      <c r="B8627" s="136" t="str">
        <f t="shared" si="113"/>
        <v/>
      </c>
    </row>
    <row r="8628" spans="1:2">
      <c r="A8628" s="136" t="str">
        <f t="shared" si="112"/>
        <v/>
      </c>
      <c r="B8628" s="136" t="str">
        <f t="shared" si="113"/>
        <v/>
      </c>
    </row>
    <row r="8629" spans="1:2">
      <c r="A8629" s="136" t="str">
        <f t="shared" si="112"/>
        <v/>
      </c>
      <c r="B8629" s="136" t="str">
        <f t="shared" si="113"/>
        <v/>
      </c>
    </row>
    <row r="8630" spans="1:2">
      <c r="A8630" s="136" t="str">
        <f t="shared" si="112"/>
        <v/>
      </c>
      <c r="B8630" s="136" t="str">
        <f t="shared" si="113"/>
        <v/>
      </c>
    </row>
    <row r="8631" spans="1:2">
      <c r="A8631" s="136" t="str">
        <f t="shared" si="112"/>
        <v/>
      </c>
      <c r="B8631" s="136" t="str">
        <f t="shared" si="113"/>
        <v/>
      </c>
    </row>
    <row r="8632" spans="1:2">
      <c r="A8632" s="136" t="str">
        <f t="shared" si="112"/>
        <v/>
      </c>
      <c r="B8632" s="136" t="str">
        <f t="shared" si="113"/>
        <v/>
      </c>
    </row>
    <row r="8633" spans="1:2">
      <c r="A8633" s="136" t="str">
        <f t="shared" ref="A8633:A8696" si="114">HYPERLINK("http://tw.stock.yahoo.com/q/ta?s=","")</f>
        <v/>
      </c>
      <c r="B8633" s="136" t="str">
        <f t="shared" ref="B8633:B8696" si="115">HYPERLINK("http://tw.stock.yahoo.com/d/s/earning_.html","")</f>
        <v/>
      </c>
    </row>
    <row r="8634" spans="1:2">
      <c r="A8634" s="136" t="str">
        <f t="shared" si="114"/>
        <v/>
      </c>
      <c r="B8634" s="136" t="str">
        <f t="shared" si="115"/>
        <v/>
      </c>
    </row>
    <row r="8635" spans="1:2">
      <c r="A8635" s="136" t="str">
        <f t="shared" si="114"/>
        <v/>
      </c>
      <c r="B8635" s="136" t="str">
        <f t="shared" si="115"/>
        <v/>
      </c>
    </row>
    <row r="8636" spans="1:2">
      <c r="A8636" s="136" t="str">
        <f t="shared" si="114"/>
        <v/>
      </c>
      <c r="B8636" s="136" t="str">
        <f t="shared" si="115"/>
        <v/>
      </c>
    </row>
    <row r="8637" spans="1:2">
      <c r="A8637" s="136" t="str">
        <f t="shared" si="114"/>
        <v/>
      </c>
      <c r="B8637" s="136" t="str">
        <f t="shared" si="115"/>
        <v/>
      </c>
    </row>
    <row r="8638" spans="1:2">
      <c r="A8638" s="136" t="str">
        <f t="shared" si="114"/>
        <v/>
      </c>
      <c r="B8638" s="136" t="str">
        <f t="shared" si="115"/>
        <v/>
      </c>
    </row>
    <row r="8639" spans="1:2">
      <c r="A8639" s="136" t="str">
        <f t="shared" si="114"/>
        <v/>
      </c>
      <c r="B8639" s="136" t="str">
        <f t="shared" si="115"/>
        <v/>
      </c>
    </row>
    <row r="8640" spans="1:2">
      <c r="A8640" s="136" t="str">
        <f t="shared" si="114"/>
        <v/>
      </c>
      <c r="B8640" s="136" t="str">
        <f t="shared" si="115"/>
        <v/>
      </c>
    </row>
    <row r="8641" spans="1:2">
      <c r="A8641" s="136" t="str">
        <f t="shared" si="114"/>
        <v/>
      </c>
      <c r="B8641" s="136" t="str">
        <f t="shared" si="115"/>
        <v/>
      </c>
    </row>
    <row r="8642" spans="1:2">
      <c r="A8642" s="136" t="str">
        <f t="shared" si="114"/>
        <v/>
      </c>
      <c r="B8642" s="136" t="str">
        <f t="shared" si="115"/>
        <v/>
      </c>
    </row>
    <row r="8643" spans="1:2">
      <c r="A8643" s="136" t="str">
        <f t="shared" si="114"/>
        <v/>
      </c>
      <c r="B8643" s="136" t="str">
        <f t="shared" si="115"/>
        <v/>
      </c>
    </row>
    <row r="8644" spans="1:2">
      <c r="A8644" s="136" t="str">
        <f t="shared" si="114"/>
        <v/>
      </c>
      <c r="B8644" s="136" t="str">
        <f t="shared" si="115"/>
        <v/>
      </c>
    </row>
    <row r="8645" spans="1:2">
      <c r="A8645" s="136" t="str">
        <f t="shared" si="114"/>
        <v/>
      </c>
      <c r="B8645" s="136" t="str">
        <f t="shared" si="115"/>
        <v/>
      </c>
    </row>
    <row r="8646" spans="1:2">
      <c r="A8646" s="136" t="str">
        <f t="shared" si="114"/>
        <v/>
      </c>
      <c r="B8646" s="136" t="str">
        <f t="shared" si="115"/>
        <v/>
      </c>
    </row>
    <row r="8647" spans="1:2">
      <c r="A8647" s="136" t="str">
        <f t="shared" si="114"/>
        <v/>
      </c>
      <c r="B8647" s="136" t="str">
        <f t="shared" si="115"/>
        <v/>
      </c>
    </row>
    <row r="8648" spans="1:2">
      <c r="A8648" s="136" t="str">
        <f t="shared" si="114"/>
        <v/>
      </c>
      <c r="B8648" s="136" t="str">
        <f t="shared" si="115"/>
        <v/>
      </c>
    </row>
    <row r="8649" spans="1:2">
      <c r="A8649" s="136" t="str">
        <f t="shared" si="114"/>
        <v/>
      </c>
      <c r="B8649" s="136" t="str">
        <f t="shared" si="115"/>
        <v/>
      </c>
    </row>
    <row r="8650" spans="1:2">
      <c r="A8650" s="136" t="str">
        <f t="shared" si="114"/>
        <v/>
      </c>
      <c r="B8650" s="136" t="str">
        <f t="shared" si="115"/>
        <v/>
      </c>
    </row>
    <row r="8651" spans="1:2">
      <c r="A8651" s="136" t="str">
        <f t="shared" si="114"/>
        <v/>
      </c>
      <c r="B8651" s="136" t="str">
        <f t="shared" si="115"/>
        <v/>
      </c>
    </row>
    <row r="8652" spans="1:2">
      <c r="A8652" s="136" t="str">
        <f t="shared" si="114"/>
        <v/>
      </c>
      <c r="B8652" s="136" t="str">
        <f t="shared" si="115"/>
        <v/>
      </c>
    </row>
    <row r="8653" spans="1:2">
      <c r="A8653" s="136" t="str">
        <f t="shared" si="114"/>
        <v/>
      </c>
      <c r="B8653" s="136" t="str">
        <f t="shared" si="115"/>
        <v/>
      </c>
    </row>
    <row r="8654" spans="1:2">
      <c r="A8654" s="136" t="str">
        <f t="shared" si="114"/>
        <v/>
      </c>
      <c r="B8654" s="136" t="str">
        <f t="shared" si="115"/>
        <v/>
      </c>
    </row>
    <row r="8655" spans="1:2">
      <c r="A8655" s="136" t="str">
        <f t="shared" si="114"/>
        <v/>
      </c>
      <c r="B8655" s="136" t="str">
        <f t="shared" si="115"/>
        <v/>
      </c>
    </row>
    <row r="8656" spans="1:2">
      <c r="A8656" s="136" t="str">
        <f t="shared" si="114"/>
        <v/>
      </c>
      <c r="B8656" s="136" t="str">
        <f t="shared" si="115"/>
        <v/>
      </c>
    </row>
    <row r="8657" spans="1:2">
      <c r="A8657" s="136" t="str">
        <f t="shared" si="114"/>
        <v/>
      </c>
      <c r="B8657" s="136" t="str">
        <f t="shared" si="115"/>
        <v/>
      </c>
    </row>
    <row r="8658" spans="1:2">
      <c r="A8658" s="136" t="str">
        <f t="shared" si="114"/>
        <v/>
      </c>
      <c r="B8658" s="136" t="str">
        <f t="shared" si="115"/>
        <v/>
      </c>
    </row>
    <row r="8659" spans="1:2">
      <c r="A8659" s="136" t="str">
        <f t="shared" si="114"/>
        <v/>
      </c>
      <c r="B8659" s="136" t="str">
        <f t="shared" si="115"/>
        <v/>
      </c>
    </row>
    <row r="8660" spans="1:2">
      <c r="A8660" s="136" t="str">
        <f t="shared" si="114"/>
        <v/>
      </c>
      <c r="B8660" s="136" t="str">
        <f t="shared" si="115"/>
        <v/>
      </c>
    </row>
    <row r="8661" spans="1:2">
      <c r="A8661" s="136" t="str">
        <f t="shared" si="114"/>
        <v/>
      </c>
      <c r="B8661" s="136" t="str">
        <f t="shared" si="115"/>
        <v/>
      </c>
    </row>
    <row r="8662" spans="1:2">
      <c r="A8662" s="136" t="str">
        <f t="shared" si="114"/>
        <v/>
      </c>
      <c r="B8662" s="136" t="str">
        <f t="shared" si="115"/>
        <v/>
      </c>
    </row>
    <row r="8663" spans="1:2">
      <c r="A8663" s="136" t="str">
        <f t="shared" si="114"/>
        <v/>
      </c>
      <c r="B8663" s="136" t="str">
        <f t="shared" si="115"/>
        <v/>
      </c>
    </row>
    <row r="8664" spans="1:2">
      <c r="A8664" s="136" t="str">
        <f t="shared" si="114"/>
        <v/>
      </c>
      <c r="B8664" s="136" t="str">
        <f t="shared" si="115"/>
        <v/>
      </c>
    </row>
    <row r="8665" spans="1:2">
      <c r="A8665" s="136" t="str">
        <f t="shared" si="114"/>
        <v/>
      </c>
      <c r="B8665" s="136" t="str">
        <f t="shared" si="115"/>
        <v/>
      </c>
    </row>
    <row r="8666" spans="1:2">
      <c r="A8666" s="136" t="str">
        <f t="shared" si="114"/>
        <v/>
      </c>
      <c r="B8666" s="136" t="str">
        <f t="shared" si="115"/>
        <v/>
      </c>
    </row>
    <row r="8667" spans="1:2">
      <c r="A8667" s="136" t="str">
        <f t="shared" si="114"/>
        <v/>
      </c>
      <c r="B8667" s="136" t="str">
        <f t="shared" si="115"/>
        <v/>
      </c>
    </row>
    <row r="8668" spans="1:2">
      <c r="A8668" s="136" t="str">
        <f t="shared" si="114"/>
        <v/>
      </c>
      <c r="B8668" s="136" t="str">
        <f t="shared" si="115"/>
        <v/>
      </c>
    </row>
    <row r="8669" spans="1:2">
      <c r="A8669" s="136" t="str">
        <f t="shared" si="114"/>
        <v/>
      </c>
      <c r="B8669" s="136" t="str">
        <f t="shared" si="115"/>
        <v/>
      </c>
    </row>
    <row r="8670" spans="1:2">
      <c r="A8670" s="136" t="str">
        <f t="shared" si="114"/>
        <v/>
      </c>
      <c r="B8670" s="136" t="str">
        <f t="shared" si="115"/>
        <v/>
      </c>
    </row>
    <row r="8671" spans="1:2">
      <c r="A8671" s="136" t="str">
        <f t="shared" si="114"/>
        <v/>
      </c>
      <c r="B8671" s="136" t="str">
        <f t="shared" si="115"/>
        <v/>
      </c>
    </row>
    <row r="8672" spans="1:2">
      <c r="A8672" s="136" t="str">
        <f t="shared" si="114"/>
        <v/>
      </c>
      <c r="B8672" s="136" t="str">
        <f t="shared" si="115"/>
        <v/>
      </c>
    </row>
    <row r="8673" spans="1:2">
      <c r="A8673" s="136" t="str">
        <f t="shared" si="114"/>
        <v/>
      </c>
      <c r="B8673" s="136" t="str">
        <f t="shared" si="115"/>
        <v/>
      </c>
    </row>
    <row r="8674" spans="1:2">
      <c r="A8674" s="136" t="str">
        <f t="shared" si="114"/>
        <v/>
      </c>
      <c r="B8674" s="136" t="str">
        <f t="shared" si="115"/>
        <v/>
      </c>
    </row>
    <row r="8675" spans="1:2">
      <c r="A8675" s="136" t="str">
        <f t="shared" si="114"/>
        <v/>
      </c>
      <c r="B8675" s="136" t="str">
        <f t="shared" si="115"/>
        <v/>
      </c>
    </row>
    <row r="8676" spans="1:2">
      <c r="A8676" s="136" t="str">
        <f t="shared" si="114"/>
        <v/>
      </c>
      <c r="B8676" s="136" t="str">
        <f t="shared" si="115"/>
        <v/>
      </c>
    </row>
    <row r="8677" spans="1:2">
      <c r="A8677" s="136" t="str">
        <f t="shared" si="114"/>
        <v/>
      </c>
      <c r="B8677" s="136" t="str">
        <f t="shared" si="115"/>
        <v/>
      </c>
    </row>
    <row r="8678" spans="1:2">
      <c r="A8678" s="136" t="str">
        <f t="shared" si="114"/>
        <v/>
      </c>
      <c r="B8678" s="136" t="str">
        <f t="shared" si="115"/>
        <v/>
      </c>
    </row>
    <row r="8679" spans="1:2">
      <c r="A8679" s="136" t="str">
        <f t="shared" si="114"/>
        <v/>
      </c>
      <c r="B8679" s="136" t="str">
        <f t="shared" si="115"/>
        <v/>
      </c>
    </row>
    <row r="8680" spans="1:2">
      <c r="A8680" s="136" t="str">
        <f t="shared" si="114"/>
        <v/>
      </c>
      <c r="B8680" s="136" t="str">
        <f t="shared" si="115"/>
        <v/>
      </c>
    </row>
    <row r="8681" spans="1:2">
      <c r="A8681" s="136" t="str">
        <f t="shared" si="114"/>
        <v/>
      </c>
      <c r="B8681" s="136" t="str">
        <f t="shared" si="115"/>
        <v/>
      </c>
    </row>
    <row r="8682" spans="1:2">
      <c r="A8682" s="136" t="str">
        <f t="shared" si="114"/>
        <v/>
      </c>
      <c r="B8682" s="136" t="str">
        <f t="shared" si="115"/>
        <v/>
      </c>
    </row>
    <row r="8683" spans="1:2">
      <c r="A8683" s="136" t="str">
        <f t="shared" si="114"/>
        <v/>
      </c>
      <c r="B8683" s="136" t="str">
        <f t="shared" si="115"/>
        <v/>
      </c>
    </row>
    <row r="8684" spans="1:2">
      <c r="A8684" s="136" t="str">
        <f t="shared" si="114"/>
        <v/>
      </c>
      <c r="B8684" s="136" t="str">
        <f t="shared" si="115"/>
        <v/>
      </c>
    </row>
    <row r="8685" spans="1:2">
      <c r="A8685" s="136" t="str">
        <f t="shared" si="114"/>
        <v/>
      </c>
      <c r="B8685" s="136" t="str">
        <f t="shared" si="115"/>
        <v/>
      </c>
    </row>
    <row r="8686" spans="1:2">
      <c r="A8686" s="136" t="str">
        <f t="shared" si="114"/>
        <v/>
      </c>
      <c r="B8686" s="136" t="str">
        <f t="shared" si="115"/>
        <v/>
      </c>
    </row>
    <row r="8687" spans="1:2">
      <c r="A8687" s="136" t="str">
        <f t="shared" si="114"/>
        <v/>
      </c>
      <c r="B8687" s="136" t="str">
        <f t="shared" si="115"/>
        <v/>
      </c>
    </row>
    <row r="8688" spans="1:2">
      <c r="A8688" s="136" t="str">
        <f t="shared" si="114"/>
        <v/>
      </c>
      <c r="B8688" s="136" t="str">
        <f t="shared" si="115"/>
        <v/>
      </c>
    </row>
    <row r="8689" spans="1:2">
      <c r="A8689" s="136" t="str">
        <f t="shared" si="114"/>
        <v/>
      </c>
      <c r="B8689" s="136" t="str">
        <f t="shared" si="115"/>
        <v/>
      </c>
    </row>
    <row r="8690" spans="1:2">
      <c r="A8690" s="136" t="str">
        <f t="shared" si="114"/>
        <v/>
      </c>
      <c r="B8690" s="136" t="str">
        <f t="shared" si="115"/>
        <v/>
      </c>
    </row>
    <row r="8691" spans="1:2">
      <c r="A8691" s="136" t="str">
        <f t="shared" si="114"/>
        <v/>
      </c>
      <c r="B8691" s="136" t="str">
        <f t="shared" si="115"/>
        <v/>
      </c>
    </row>
    <row r="8692" spans="1:2">
      <c r="A8692" s="136" t="str">
        <f t="shared" si="114"/>
        <v/>
      </c>
      <c r="B8692" s="136" t="str">
        <f t="shared" si="115"/>
        <v/>
      </c>
    </row>
    <row r="8693" spans="1:2">
      <c r="A8693" s="136" t="str">
        <f t="shared" si="114"/>
        <v/>
      </c>
      <c r="B8693" s="136" t="str">
        <f t="shared" si="115"/>
        <v/>
      </c>
    </row>
    <row r="8694" spans="1:2">
      <c r="A8694" s="136" t="str">
        <f t="shared" si="114"/>
        <v/>
      </c>
      <c r="B8694" s="136" t="str">
        <f t="shared" si="115"/>
        <v/>
      </c>
    </row>
    <row r="8695" spans="1:2">
      <c r="A8695" s="136" t="str">
        <f t="shared" si="114"/>
        <v/>
      </c>
      <c r="B8695" s="136" t="str">
        <f t="shared" si="115"/>
        <v/>
      </c>
    </row>
    <row r="8696" spans="1:2">
      <c r="A8696" s="136" t="str">
        <f t="shared" si="114"/>
        <v/>
      </c>
      <c r="B8696" s="136" t="str">
        <f t="shared" si="115"/>
        <v/>
      </c>
    </row>
    <row r="8697" spans="1:2">
      <c r="A8697" s="136" t="str">
        <f t="shared" ref="A8697:A8760" si="116">HYPERLINK("http://tw.stock.yahoo.com/q/ta?s=","")</f>
        <v/>
      </c>
      <c r="B8697" s="136" t="str">
        <f t="shared" ref="B8697:B8760" si="117">HYPERLINK("http://tw.stock.yahoo.com/d/s/earning_.html","")</f>
        <v/>
      </c>
    </row>
    <row r="8698" spans="1:2">
      <c r="A8698" s="136" t="str">
        <f t="shared" si="116"/>
        <v/>
      </c>
      <c r="B8698" s="136" t="str">
        <f t="shared" si="117"/>
        <v/>
      </c>
    </row>
    <row r="8699" spans="1:2">
      <c r="A8699" s="136" t="str">
        <f t="shared" si="116"/>
        <v/>
      </c>
      <c r="B8699" s="136" t="str">
        <f t="shared" si="117"/>
        <v/>
      </c>
    </row>
    <row r="8700" spans="1:2">
      <c r="A8700" s="136" t="str">
        <f t="shared" si="116"/>
        <v/>
      </c>
      <c r="B8700" s="136" t="str">
        <f t="shared" si="117"/>
        <v/>
      </c>
    </row>
    <row r="8701" spans="1:2">
      <c r="A8701" s="136" t="str">
        <f t="shared" si="116"/>
        <v/>
      </c>
      <c r="B8701" s="136" t="str">
        <f t="shared" si="117"/>
        <v/>
      </c>
    </row>
    <row r="8702" spans="1:2">
      <c r="A8702" s="136" t="str">
        <f t="shared" si="116"/>
        <v/>
      </c>
      <c r="B8702" s="136" t="str">
        <f t="shared" si="117"/>
        <v/>
      </c>
    </row>
    <row r="8703" spans="1:2">
      <c r="A8703" s="136" t="str">
        <f t="shared" si="116"/>
        <v/>
      </c>
      <c r="B8703" s="136" t="str">
        <f t="shared" si="117"/>
        <v/>
      </c>
    </row>
    <row r="8704" spans="1:2">
      <c r="A8704" s="136" t="str">
        <f t="shared" si="116"/>
        <v/>
      </c>
      <c r="B8704" s="136" t="str">
        <f t="shared" si="117"/>
        <v/>
      </c>
    </row>
    <row r="8705" spans="1:2">
      <c r="A8705" s="136" t="str">
        <f t="shared" si="116"/>
        <v/>
      </c>
      <c r="B8705" s="136" t="str">
        <f t="shared" si="117"/>
        <v/>
      </c>
    </row>
    <row r="8706" spans="1:2">
      <c r="A8706" s="136" t="str">
        <f t="shared" si="116"/>
        <v/>
      </c>
      <c r="B8706" s="136" t="str">
        <f t="shared" si="117"/>
        <v/>
      </c>
    </row>
    <row r="8707" spans="1:2">
      <c r="A8707" s="136" t="str">
        <f t="shared" si="116"/>
        <v/>
      </c>
      <c r="B8707" s="136" t="str">
        <f t="shared" si="117"/>
        <v/>
      </c>
    </row>
    <row r="8708" spans="1:2">
      <c r="A8708" s="136" t="str">
        <f t="shared" si="116"/>
        <v/>
      </c>
      <c r="B8708" s="136" t="str">
        <f t="shared" si="117"/>
        <v/>
      </c>
    </row>
    <row r="8709" spans="1:2">
      <c r="A8709" s="136" t="str">
        <f t="shared" si="116"/>
        <v/>
      </c>
      <c r="B8709" s="136" t="str">
        <f t="shared" si="117"/>
        <v/>
      </c>
    </row>
    <row r="8710" spans="1:2">
      <c r="A8710" s="136" t="str">
        <f t="shared" si="116"/>
        <v/>
      </c>
      <c r="B8710" s="136" t="str">
        <f t="shared" si="117"/>
        <v/>
      </c>
    </row>
    <row r="8711" spans="1:2">
      <c r="A8711" s="136" t="str">
        <f t="shared" si="116"/>
        <v/>
      </c>
      <c r="B8711" s="136" t="str">
        <f t="shared" si="117"/>
        <v/>
      </c>
    </row>
    <row r="8712" spans="1:2">
      <c r="A8712" s="136" t="str">
        <f t="shared" si="116"/>
        <v/>
      </c>
      <c r="B8712" s="136" t="str">
        <f t="shared" si="117"/>
        <v/>
      </c>
    </row>
    <row r="8713" spans="1:2">
      <c r="A8713" s="136" t="str">
        <f t="shared" si="116"/>
        <v/>
      </c>
      <c r="B8713" s="136" t="str">
        <f t="shared" si="117"/>
        <v/>
      </c>
    </row>
    <row r="8714" spans="1:2">
      <c r="A8714" s="136" t="str">
        <f t="shared" si="116"/>
        <v/>
      </c>
      <c r="B8714" s="136" t="str">
        <f t="shared" si="117"/>
        <v/>
      </c>
    </row>
    <row r="8715" spans="1:2">
      <c r="A8715" s="136" t="str">
        <f t="shared" si="116"/>
        <v/>
      </c>
      <c r="B8715" s="136" t="str">
        <f t="shared" si="117"/>
        <v/>
      </c>
    </row>
    <row r="8716" spans="1:2">
      <c r="A8716" s="136" t="str">
        <f t="shared" si="116"/>
        <v/>
      </c>
      <c r="B8716" s="136" t="str">
        <f t="shared" si="117"/>
        <v/>
      </c>
    </row>
    <row r="8717" spans="1:2">
      <c r="A8717" s="136" t="str">
        <f t="shared" si="116"/>
        <v/>
      </c>
      <c r="B8717" s="136" t="str">
        <f t="shared" si="117"/>
        <v/>
      </c>
    </row>
    <row r="8718" spans="1:2">
      <c r="A8718" s="136" t="str">
        <f t="shared" si="116"/>
        <v/>
      </c>
      <c r="B8718" s="136" t="str">
        <f t="shared" si="117"/>
        <v/>
      </c>
    </row>
    <row r="8719" spans="1:2">
      <c r="A8719" s="136" t="str">
        <f t="shared" si="116"/>
        <v/>
      </c>
      <c r="B8719" s="136" t="str">
        <f t="shared" si="117"/>
        <v/>
      </c>
    </row>
    <row r="8720" spans="1:2">
      <c r="A8720" s="136" t="str">
        <f t="shared" si="116"/>
        <v/>
      </c>
      <c r="B8720" s="136" t="str">
        <f t="shared" si="117"/>
        <v/>
      </c>
    </row>
    <row r="8721" spans="1:2">
      <c r="A8721" s="136" t="str">
        <f t="shared" si="116"/>
        <v/>
      </c>
      <c r="B8721" s="136" t="str">
        <f t="shared" si="117"/>
        <v/>
      </c>
    </row>
    <row r="8722" spans="1:2">
      <c r="A8722" s="136" t="str">
        <f t="shared" si="116"/>
        <v/>
      </c>
      <c r="B8722" s="136" t="str">
        <f t="shared" si="117"/>
        <v/>
      </c>
    </row>
    <row r="8723" spans="1:2">
      <c r="A8723" s="136" t="str">
        <f t="shared" si="116"/>
        <v/>
      </c>
      <c r="B8723" s="136" t="str">
        <f t="shared" si="117"/>
        <v/>
      </c>
    </row>
    <row r="8724" spans="1:2">
      <c r="A8724" s="136" t="str">
        <f t="shared" si="116"/>
        <v/>
      </c>
      <c r="B8724" s="136" t="str">
        <f t="shared" si="117"/>
        <v/>
      </c>
    </row>
    <row r="8725" spans="1:2">
      <c r="A8725" s="136" t="str">
        <f t="shared" si="116"/>
        <v/>
      </c>
      <c r="B8725" s="136" t="str">
        <f t="shared" si="117"/>
        <v/>
      </c>
    </row>
    <row r="8726" spans="1:2">
      <c r="A8726" s="136" t="str">
        <f t="shared" si="116"/>
        <v/>
      </c>
      <c r="B8726" s="136" t="str">
        <f t="shared" si="117"/>
        <v/>
      </c>
    </row>
    <row r="8727" spans="1:2">
      <c r="A8727" s="136" t="str">
        <f t="shared" si="116"/>
        <v/>
      </c>
      <c r="B8727" s="136" t="str">
        <f t="shared" si="117"/>
        <v/>
      </c>
    </row>
    <row r="8728" spans="1:2">
      <c r="A8728" s="136" t="str">
        <f t="shared" si="116"/>
        <v/>
      </c>
      <c r="B8728" s="136" t="str">
        <f t="shared" si="117"/>
        <v/>
      </c>
    </row>
    <row r="8729" spans="1:2">
      <c r="A8729" s="136" t="str">
        <f t="shared" si="116"/>
        <v/>
      </c>
      <c r="B8729" s="136" t="str">
        <f t="shared" si="117"/>
        <v/>
      </c>
    </row>
    <row r="8730" spans="1:2">
      <c r="A8730" s="136" t="str">
        <f t="shared" si="116"/>
        <v/>
      </c>
      <c r="B8730" s="136" t="str">
        <f t="shared" si="117"/>
        <v/>
      </c>
    </row>
    <row r="8731" spans="1:2">
      <c r="A8731" s="136" t="str">
        <f t="shared" si="116"/>
        <v/>
      </c>
      <c r="B8731" s="136" t="str">
        <f t="shared" si="117"/>
        <v/>
      </c>
    </row>
    <row r="8732" spans="1:2">
      <c r="A8732" s="136" t="str">
        <f t="shared" si="116"/>
        <v/>
      </c>
      <c r="B8732" s="136" t="str">
        <f t="shared" si="117"/>
        <v/>
      </c>
    </row>
    <row r="8733" spans="1:2">
      <c r="A8733" s="136" t="str">
        <f t="shared" si="116"/>
        <v/>
      </c>
      <c r="B8733" s="136" t="str">
        <f t="shared" si="117"/>
        <v/>
      </c>
    </row>
    <row r="8734" spans="1:2">
      <c r="A8734" s="136" t="str">
        <f t="shared" si="116"/>
        <v/>
      </c>
      <c r="B8734" s="136" t="str">
        <f t="shared" si="117"/>
        <v/>
      </c>
    </row>
    <row r="8735" spans="1:2">
      <c r="A8735" s="136" t="str">
        <f t="shared" si="116"/>
        <v/>
      </c>
      <c r="B8735" s="136" t="str">
        <f t="shared" si="117"/>
        <v/>
      </c>
    </row>
    <row r="8736" spans="1:2">
      <c r="A8736" s="136" t="str">
        <f t="shared" si="116"/>
        <v/>
      </c>
      <c r="B8736" s="136" t="str">
        <f t="shared" si="117"/>
        <v/>
      </c>
    </row>
    <row r="8737" spans="1:2">
      <c r="A8737" s="136" t="str">
        <f t="shared" si="116"/>
        <v/>
      </c>
      <c r="B8737" s="136" t="str">
        <f t="shared" si="117"/>
        <v/>
      </c>
    </row>
    <row r="8738" spans="1:2">
      <c r="A8738" s="136" t="str">
        <f t="shared" si="116"/>
        <v/>
      </c>
      <c r="B8738" s="136" t="str">
        <f t="shared" si="117"/>
        <v/>
      </c>
    </row>
    <row r="8739" spans="1:2">
      <c r="A8739" s="136" t="str">
        <f t="shared" si="116"/>
        <v/>
      </c>
      <c r="B8739" s="136" t="str">
        <f t="shared" si="117"/>
        <v/>
      </c>
    </row>
    <row r="8740" spans="1:2">
      <c r="A8740" s="136" t="str">
        <f t="shared" si="116"/>
        <v/>
      </c>
      <c r="B8740" s="136" t="str">
        <f t="shared" si="117"/>
        <v/>
      </c>
    </row>
    <row r="8741" spans="1:2">
      <c r="A8741" s="136" t="str">
        <f t="shared" si="116"/>
        <v/>
      </c>
      <c r="B8741" s="136" t="str">
        <f t="shared" si="117"/>
        <v/>
      </c>
    </row>
    <row r="8742" spans="1:2">
      <c r="A8742" s="136" t="str">
        <f t="shared" si="116"/>
        <v/>
      </c>
      <c r="B8742" s="136" t="str">
        <f t="shared" si="117"/>
        <v/>
      </c>
    </row>
    <row r="8743" spans="1:2">
      <c r="A8743" s="136" t="str">
        <f t="shared" si="116"/>
        <v/>
      </c>
      <c r="B8743" s="136" t="str">
        <f t="shared" si="117"/>
        <v/>
      </c>
    </row>
    <row r="8744" spans="1:2">
      <c r="A8744" s="136" t="str">
        <f t="shared" si="116"/>
        <v/>
      </c>
      <c r="B8744" s="136" t="str">
        <f t="shared" si="117"/>
        <v/>
      </c>
    </row>
    <row r="8745" spans="1:2">
      <c r="A8745" s="136" t="str">
        <f t="shared" si="116"/>
        <v/>
      </c>
      <c r="B8745" s="136" t="str">
        <f t="shared" si="117"/>
        <v/>
      </c>
    </row>
    <row r="8746" spans="1:2">
      <c r="A8746" s="136" t="str">
        <f t="shared" si="116"/>
        <v/>
      </c>
      <c r="B8746" s="136" t="str">
        <f t="shared" si="117"/>
        <v/>
      </c>
    </row>
    <row r="8747" spans="1:2">
      <c r="A8747" s="136" t="str">
        <f t="shared" si="116"/>
        <v/>
      </c>
      <c r="B8747" s="136" t="str">
        <f t="shared" si="117"/>
        <v/>
      </c>
    </row>
    <row r="8748" spans="1:2">
      <c r="A8748" s="136" t="str">
        <f t="shared" si="116"/>
        <v/>
      </c>
      <c r="B8748" s="136" t="str">
        <f t="shared" si="117"/>
        <v/>
      </c>
    </row>
    <row r="8749" spans="1:2">
      <c r="A8749" s="136" t="str">
        <f t="shared" si="116"/>
        <v/>
      </c>
      <c r="B8749" s="136" t="str">
        <f t="shared" si="117"/>
        <v/>
      </c>
    </row>
    <row r="8750" spans="1:2">
      <c r="A8750" s="136" t="str">
        <f t="shared" si="116"/>
        <v/>
      </c>
      <c r="B8750" s="136" t="str">
        <f t="shared" si="117"/>
        <v/>
      </c>
    </row>
    <row r="8751" spans="1:2">
      <c r="A8751" s="136" t="str">
        <f t="shared" si="116"/>
        <v/>
      </c>
      <c r="B8751" s="136" t="str">
        <f t="shared" si="117"/>
        <v/>
      </c>
    </row>
    <row r="8752" spans="1:2">
      <c r="A8752" s="136" t="str">
        <f t="shared" si="116"/>
        <v/>
      </c>
      <c r="B8752" s="136" t="str">
        <f t="shared" si="117"/>
        <v/>
      </c>
    </row>
    <row r="8753" spans="1:2">
      <c r="A8753" s="136" t="str">
        <f t="shared" si="116"/>
        <v/>
      </c>
      <c r="B8753" s="136" t="str">
        <f t="shared" si="117"/>
        <v/>
      </c>
    </row>
    <row r="8754" spans="1:2">
      <c r="A8754" s="136" t="str">
        <f t="shared" si="116"/>
        <v/>
      </c>
      <c r="B8754" s="136" t="str">
        <f t="shared" si="117"/>
        <v/>
      </c>
    </row>
    <row r="8755" spans="1:2">
      <c r="A8755" s="136" t="str">
        <f t="shared" si="116"/>
        <v/>
      </c>
      <c r="B8755" s="136" t="str">
        <f t="shared" si="117"/>
        <v/>
      </c>
    </row>
    <row r="8756" spans="1:2">
      <c r="A8756" s="136" t="str">
        <f t="shared" si="116"/>
        <v/>
      </c>
      <c r="B8756" s="136" t="str">
        <f t="shared" si="117"/>
        <v/>
      </c>
    </row>
    <row r="8757" spans="1:2">
      <c r="A8757" s="136" t="str">
        <f t="shared" si="116"/>
        <v/>
      </c>
      <c r="B8757" s="136" t="str">
        <f t="shared" si="117"/>
        <v/>
      </c>
    </row>
    <row r="8758" spans="1:2">
      <c r="A8758" s="136" t="str">
        <f t="shared" si="116"/>
        <v/>
      </c>
      <c r="B8758" s="136" t="str">
        <f t="shared" si="117"/>
        <v/>
      </c>
    </row>
    <row r="8759" spans="1:2">
      <c r="A8759" s="136" t="str">
        <f t="shared" si="116"/>
        <v/>
      </c>
      <c r="B8759" s="136" t="str">
        <f t="shared" si="117"/>
        <v/>
      </c>
    </row>
    <row r="8760" spans="1:2">
      <c r="A8760" s="136" t="str">
        <f t="shared" si="116"/>
        <v/>
      </c>
      <c r="B8760" s="136" t="str">
        <f t="shared" si="117"/>
        <v/>
      </c>
    </row>
    <row r="8761" spans="1:2">
      <c r="A8761" s="136" t="str">
        <f t="shared" ref="A8761:A8824" si="118">HYPERLINK("http://tw.stock.yahoo.com/q/ta?s=","")</f>
        <v/>
      </c>
      <c r="B8761" s="136" t="str">
        <f t="shared" ref="B8761:B8824" si="119">HYPERLINK("http://tw.stock.yahoo.com/d/s/earning_.html","")</f>
        <v/>
      </c>
    </row>
    <row r="8762" spans="1:2">
      <c r="A8762" s="136" t="str">
        <f t="shared" si="118"/>
        <v/>
      </c>
      <c r="B8762" s="136" t="str">
        <f t="shared" si="119"/>
        <v/>
      </c>
    </row>
    <row r="8763" spans="1:2">
      <c r="A8763" s="136" t="str">
        <f t="shared" si="118"/>
        <v/>
      </c>
      <c r="B8763" s="136" t="str">
        <f t="shared" si="119"/>
        <v/>
      </c>
    </row>
    <row r="8764" spans="1:2">
      <c r="A8764" s="136" t="str">
        <f t="shared" si="118"/>
        <v/>
      </c>
      <c r="B8764" s="136" t="str">
        <f t="shared" si="119"/>
        <v/>
      </c>
    </row>
    <row r="8765" spans="1:2">
      <c r="A8765" s="136" t="str">
        <f t="shared" si="118"/>
        <v/>
      </c>
      <c r="B8765" s="136" t="str">
        <f t="shared" si="119"/>
        <v/>
      </c>
    </row>
    <row r="8766" spans="1:2">
      <c r="A8766" s="136" t="str">
        <f t="shared" si="118"/>
        <v/>
      </c>
      <c r="B8766" s="136" t="str">
        <f t="shared" si="119"/>
        <v/>
      </c>
    </row>
    <row r="8767" spans="1:2">
      <c r="A8767" s="136" t="str">
        <f t="shared" si="118"/>
        <v/>
      </c>
      <c r="B8767" s="136" t="str">
        <f t="shared" si="119"/>
        <v/>
      </c>
    </row>
    <row r="8768" spans="1:2">
      <c r="A8768" s="136" t="str">
        <f t="shared" si="118"/>
        <v/>
      </c>
      <c r="B8768" s="136" t="str">
        <f t="shared" si="119"/>
        <v/>
      </c>
    </row>
    <row r="8769" spans="1:2">
      <c r="A8769" s="136" t="str">
        <f t="shared" si="118"/>
        <v/>
      </c>
      <c r="B8769" s="136" t="str">
        <f t="shared" si="119"/>
        <v/>
      </c>
    </row>
    <row r="8770" spans="1:2">
      <c r="A8770" s="136" t="str">
        <f t="shared" si="118"/>
        <v/>
      </c>
      <c r="B8770" s="136" t="str">
        <f t="shared" si="119"/>
        <v/>
      </c>
    </row>
    <row r="8771" spans="1:2">
      <c r="A8771" s="136" t="str">
        <f t="shared" si="118"/>
        <v/>
      </c>
      <c r="B8771" s="136" t="str">
        <f t="shared" si="119"/>
        <v/>
      </c>
    </row>
    <row r="8772" spans="1:2">
      <c r="A8772" s="136" t="str">
        <f t="shared" si="118"/>
        <v/>
      </c>
      <c r="B8772" s="136" t="str">
        <f t="shared" si="119"/>
        <v/>
      </c>
    </row>
    <row r="8773" spans="1:2">
      <c r="A8773" s="136" t="str">
        <f t="shared" si="118"/>
        <v/>
      </c>
      <c r="B8773" s="136" t="str">
        <f t="shared" si="119"/>
        <v/>
      </c>
    </row>
    <row r="8774" spans="1:2">
      <c r="A8774" s="136" t="str">
        <f t="shared" si="118"/>
        <v/>
      </c>
      <c r="B8774" s="136" t="str">
        <f t="shared" si="119"/>
        <v/>
      </c>
    </row>
    <row r="8775" spans="1:2">
      <c r="A8775" s="136" t="str">
        <f t="shared" si="118"/>
        <v/>
      </c>
      <c r="B8775" s="136" t="str">
        <f t="shared" si="119"/>
        <v/>
      </c>
    </row>
    <row r="8776" spans="1:2">
      <c r="A8776" s="136" t="str">
        <f t="shared" si="118"/>
        <v/>
      </c>
      <c r="B8776" s="136" t="str">
        <f t="shared" si="119"/>
        <v/>
      </c>
    </row>
    <row r="8777" spans="1:2">
      <c r="A8777" s="136" t="str">
        <f t="shared" si="118"/>
        <v/>
      </c>
      <c r="B8777" s="136" t="str">
        <f t="shared" si="119"/>
        <v/>
      </c>
    </row>
    <row r="8778" spans="1:2">
      <c r="A8778" s="136" t="str">
        <f t="shared" si="118"/>
        <v/>
      </c>
      <c r="B8778" s="136" t="str">
        <f t="shared" si="119"/>
        <v/>
      </c>
    </row>
    <row r="8779" spans="1:2">
      <c r="A8779" s="136" t="str">
        <f t="shared" si="118"/>
        <v/>
      </c>
      <c r="B8779" s="136" t="str">
        <f t="shared" si="119"/>
        <v/>
      </c>
    </row>
    <row r="8780" spans="1:2">
      <c r="A8780" s="136" t="str">
        <f t="shared" si="118"/>
        <v/>
      </c>
      <c r="B8780" s="136" t="str">
        <f t="shared" si="119"/>
        <v/>
      </c>
    </row>
    <row r="8781" spans="1:2">
      <c r="A8781" s="136" t="str">
        <f t="shared" si="118"/>
        <v/>
      </c>
      <c r="B8781" s="136" t="str">
        <f t="shared" si="119"/>
        <v/>
      </c>
    </row>
    <row r="8782" spans="1:2">
      <c r="A8782" s="136" t="str">
        <f t="shared" si="118"/>
        <v/>
      </c>
      <c r="B8782" s="136" t="str">
        <f t="shared" si="119"/>
        <v/>
      </c>
    </row>
    <row r="8783" spans="1:2">
      <c r="A8783" s="136" t="str">
        <f t="shared" si="118"/>
        <v/>
      </c>
      <c r="B8783" s="136" t="str">
        <f t="shared" si="119"/>
        <v/>
      </c>
    </row>
    <row r="8784" spans="1:2">
      <c r="A8784" s="136" t="str">
        <f t="shared" si="118"/>
        <v/>
      </c>
      <c r="B8784" s="136" t="str">
        <f t="shared" si="119"/>
        <v/>
      </c>
    </row>
    <row r="8785" spans="1:2">
      <c r="A8785" s="136" t="str">
        <f t="shared" si="118"/>
        <v/>
      </c>
      <c r="B8785" s="136" t="str">
        <f t="shared" si="119"/>
        <v/>
      </c>
    </row>
    <row r="8786" spans="1:2">
      <c r="A8786" s="136" t="str">
        <f t="shared" si="118"/>
        <v/>
      </c>
      <c r="B8786" s="136" t="str">
        <f t="shared" si="119"/>
        <v/>
      </c>
    </row>
    <row r="8787" spans="1:2">
      <c r="A8787" s="136" t="str">
        <f t="shared" si="118"/>
        <v/>
      </c>
      <c r="B8787" s="136" t="str">
        <f t="shared" si="119"/>
        <v/>
      </c>
    </row>
    <row r="8788" spans="1:2">
      <c r="A8788" s="136" t="str">
        <f t="shared" si="118"/>
        <v/>
      </c>
      <c r="B8788" s="136" t="str">
        <f t="shared" si="119"/>
        <v/>
      </c>
    </row>
    <row r="8789" spans="1:2">
      <c r="A8789" s="136" t="str">
        <f t="shared" si="118"/>
        <v/>
      </c>
      <c r="B8789" s="136" t="str">
        <f t="shared" si="119"/>
        <v/>
      </c>
    </row>
    <row r="8790" spans="1:2">
      <c r="A8790" s="136" t="str">
        <f t="shared" si="118"/>
        <v/>
      </c>
      <c r="B8790" s="136" t="str">
        <f t="shared" si="119"/>
        <v/>
      </c>
    </row>
    <row r="8791" spans="1:2">
      <c r="A8791" s="136" t="str">
        <f t="shared" si="118"/>
        <v/>
      </c>
      <c r="B8791" s="136" t="str">
        <f t="shared" si="119"/>
        <v/>
      </c>
    </row>
    <row r="8792" spans="1:2">
      <c r="A8792" s="136" t="str">
        <f t="shared" si="118"/>
        <v/>
      </c>
      <c r="B8792" s="136" t="str">
        <f t="shared" si="119"/>
        <v/>
      </c>
    </row>
    <row r="8793" spans="1:2">
      <c r="A8793" s="136" t="str">
        <f t="shared" si="118"/>
        <v/>
      </c>
      <c r="B8793" s="136" t="str">
        <f t="shared" si="119"/>
        <v/>
      </c>
    </row>
    <row r="8794" spans="1:2">
      <c r="A8794" s="136" t="str">
        <f t="shared" si="118"/>
        <v/>
      </c>
      <c r="B8794" s="136" t="str">
        <f t="shared" si="119"/>
        <v/>
      </c>
    </row>
    <row r="8795" spans="1:2">
      <c r="A8795" s="136" t="str">
        <f t="shared" si="118"/>
        <v/>
      </c>
      <c r="B8795" s="136" t="str">
        <f t="shared" si="119"/>
        <v/>
      </c>
    </row>
    <row r="8796" spans="1:2">
      <c r="A8796" s="136" t="str">
        <f t="shared" si="118"/>
        <v/>
      </c>
      <c r="B8796" s="136" t="str">
        <f t="shared" si="119"/>
        <v/>
      </c>
    </row>
    <row r="8797" spans="1:2">
      <c r="A8797" s="136" t="str">
        <f t="shared" si="118"/>
        <v/>
      </c>
      <c r="B8797" s="136" t="str">
        <f t="shared" si="119"/>
        <v/>
      </c>
    </row>
    <row r="8798" spans="1:2">
      <c r="A8798" s="136" t="str">
        <f t="shared" si="118"/>
        <v/>
      </c>
      <c r="B8798" s="136" t="str">
        <f t="shared" si="119"/>
        <v/>
      </c>
    </row>
    <row r="8799" spans="1:2">
      <c r="A8799" s="136" t="str">
        <f t="shared" si="118"/>
        <v/>
      </c>
      <c r="B8799" s="136" t="str">
        <f t="shared" si="119"/>
        <v/>
      </c>
    </row>
    <row r="8800" spans="1:2">
      <c r="A8800" s="136" t="str">
        <f t="shared" si="118"/>
        <v/>
      </c>
      <c r="B8800" s="136" t="str">
        <f t="shared" si="119"/>
        <v/>
      </c>
    </row>
    <row r="8801" spans="1:2">
      <c r="A8801" s="136" t="str">
        <f t="shared" si="118"/>
        <v/>
      </c>
      <c r="B8801" s="136" t="str">
        <f t="shared" si="119"/>
        <v/>
      </c>
    </row>
    <row r="8802" spans="1:2">
      <c r="A8802" s="136" t="str">
        <f t="shared" si="118"/>
        <v/>
      </c>
      <c r="B8802" s="136" t="str">
        <f t="shared" si="119"/>
        <v/>
      </c>
    </row>
    <row r="8803" spans="1:2">
      <c r="A8803" s="136" t="str">
        <f t="shared" si="118"/>
        <v/>
      </c>
      <c r="B8803" s="136" t="str">
        <f t="shared" si="119"/>
        <v/>
      </c>
    </row>
    <row r="8804" spans="1:2">
      <c r="A8804" s="136" t="str">
        <f t="shared" si="118"/>
        <v/>
      </c>
      <c r="B8804" s="136" t="str">
        <f t="shared" si="119"/>
        <v/>
      </c>
    </row>
    <row r="8805" spans="1:2">
      <c r="A8805" s="136" t="str">
        <f t="shared" si="118"/>
        <v/>
      </c>
      <c r="B8805" s="136" t="str">
        <f t="shared" si="119"/>
        <v/>
      </c>
    </row>
    <row r="8806" spans="1:2">
      <c r="A8806" s="136" t="str">
        <f t="shared" si="118"/>
        <v/>
      </c>
      <c r="B8806" s="136" t="str">
        <f t="shared" si="119"/>
        <v/>
      </c>
    </row>
    <row r="8807" spans="1:2">
      <c r="A8807" s="136" t="str">
        <f t="shared" si="118"/>
        <v/>
      </c>
      <c r="B8807" s="136" t="str">
        <f t="shared" si="119"/>
        <v/>
      </c>
    </row>
    <row r="8808" spans="1:2">
      <c r="A8808" s="136" t="str">
        <f t="shared" si="118"/>
        <v/>
      </c>
      <c r="B8808" s="136" t="str">
        <f t="shared" si="119"/>
        <v/>
      </c>
    </row>
    <row r="8809" spans="1:2">
      <c r="A8809" s="136" t="str">
        <f t="shared" si="118"/>
        <v/>
      </c>
      <c r="B8809" s="136" t="str">
        <f t="shared" si="119"/>
        <v/>
      </c>
    </row>
    <row r="8810" spans="1:2">
      <c r="A8810" s="136" t="str">
        <f t="shared" si="118"/>
        <v/>
      </c>
      <c r="B8810" s="136" t="str">
        <f t="shared" si="119"/>
        <v/>
      </c>
    </row>
    <row r="8811" spans="1:2">
      <c r="A8811" s="136" t="str">
        <f t="shared" si="118"/>
        <v/>
      </c>
      <c r="B8811" s="136" t="str">
        <f t="shared" si="119"/>
        <v/>
      </c>
    </row>
    <row r="8812" spans="1:2">
      <c r="A8812" s="136" t="str">
        <f t="shared" si="118"/>
        <v/>
      </c>
      <c r="B8812" s="136" t="str">
        <f t="shared" si="119"/>
        <v/>
      </c>
    </row>
    <row r="8813" spans="1:2">
      <c r="A8813" s="136" t="str">
        <f t="shared" si="118"/>
        <v/>
      </c>
      <c r="B8813" s="136" t="str">
        <f t="shared" si="119"/>
        <v/>
      </c>
    </row>
    <row r="8814" spans="1:2">
      <c r="A8814" s="136" t="str">
        <f t="shared" si="118"/>
        <v/>
      </c>
      <c r="B8814" s="136" t="str">
        <f t="shared" si="119"/>
        <v/>
      </c>
    </row>
    <row r="8815" spans="1:2">
      <c r="A8815" s="136" t="str">
        <f t="shared" si="118"/>
        <v/>
      </c>
      <c r="B8815" s="136" t="str">
        <f t="shared" si="119"/>
        <v/>
      </c>
    </row>
    <row r="8816" spans="1:2">
      <c r="A8816" s="136" t="str">
        <f t="shared" si="118"/>
        <v/>
      </c>
      <c r="B8816" s="136" t="str">
        <f t="shared" si="119"/>
        <v/>
      </c>
    </row>
    <row r="8817" spans="1:2">
      <c r="A8817" s="136" t="str">
        <f t="shared" si="118"/>
        <v/>
      </c>
      <c r="B8817" s="136" t="str">
        <f t="shared" si="119"/>
        <v/>
      </c>
    </row>
    <row r="8818" spans="1:2">
      <c r="A8818" s="136" t="str">
        <f t="shared" si="118"/>
        <v/>
      </c>
      <c r="B8818" s="136" t="str">
        <f t="shared" si="119"/>
        <v/>
      </c>
    </row>
    <row r="8819" spans="1:2">
      <c r="A8819" s="136" t="str">
        <f t="shared" si="118"/>
        <v/>
      </c>
      <c r="B8819" s="136" t="str">
        <f t="shared" si="119"/>
        <v/>
      </c>
    </row>
    <row r="8820" spans="1:2">
      <c r="A8820" s="136" t="str">
        <f t="shared" si="118"/>
        <v/>
      </c>
      <c r="B8820" s="136" t="str">
        <f t="shared" si="119"/>
        <v/>
      </c>
    </row>
    <row r="8821" spans="1:2">
      <c r="A8821" s="136" t="str">
        <f t="shared" si="118"/>
        <v/>
      </c>
      <c r="B8821" s="136" t="str">
        <f t="shared" si="119"/>
        <v/>
      </c>
    </row>
    <row r="8822" spans="1:2">
      <c r="A8822" s="136" t="str">
        <f t="shared" si="118"/>
        <v/>
      </c>
      <c r="B8822" s="136" t="str">
        <f t="shared" si="119"/>
        <v/>
      </c>
    </row>
    <row r="8823" spans="1:2">
      <c r="A8823" s="136" t="str">
        <f t="shared" si="118"/>
        <v/>
      </c>
      <c r="B8823" s="136" t="str">
        <f t="shared" si="119"/>
        <v/>
      </c>
    </row>
    <row r="8824" spans="1:2">
      <c r="A8824" s="136" t="str">
        <f t="shared" si="118"/>
        <v/>
      </c>
      <c r="B8824" s="136" t="str">
        <f t="shared" si="119"/>
        <v/>
      </c>
    </row>
    <row r="8825" spans="1:2">
      <c r="A8825" s="136" t="str">
        <f t="shared" ref="A8825:A8888" si="120">HYPERLINK("http://tw.stock.yahoo.com/q/ta?s=","")</f>
        <v/>
      </c>
      <c r="B8825" s="136" t="str">
        <f t="shared" ref="B8825:B8888" si="121">HYPERLINK("http://tw.stock.yahoo.com/d/s/earning_.html","")</f>
        <v/>
      </c>
    </row>
    <row r="8826" spans="1:2">
      <c r="A8826" s="136" t="str">
        <f t="shared" si="120"/>
        <v/>
      </c>
      <c r="B8826" s="136" t="str">
        <f t="shared" si="121"/>
        <v/>
      </c>
    </row>
    <row r="8827" spans="1:2">
      <c r="A8827" s="136" t="str">
        <f t="shared" si="120"/>
        <v/>
      </c>
      <c r="B8827" s="136" t="str">
        <f t="shared" si="121"/>
        <v/>
      </c>
    </row>
    <row r="8828" spans="1:2">
      <c r="A8828" s="136" t="str">
        <f t="shared" si="120"/>
        <v/>
      </c>
      <c r="B8828" s="136" t="str">
        <f t="shared" si="121"/>
        <v/>
      </c>
    </row>
    <row r="8829" spans="1:2">
      <c r="A8829" s="136" t="str">
        <f t="shared" si="120"/>
        <v/>
      </c>
      <c r="B8829" s="136" t="str">
        <f t="shared" si="121"/>
        <v/>
      </c>
    </row>
    <row r="8830" spans="1:2">
      <c r="A8830" s="136" t="str">
        <f t="shared" si="120"/>
        <v/>
      </c>
      <c r="B8830" s="136" t="str">
        <f t="shared" si="121"/>
        <v/>
      </c>
    </row>
    <row r="8831" spans="1:2">
      <c r="A8831" s="136" t="str">
        <f t="shared" si="120"/>
        <v/>
      </c>
      <c r="B8831" s="136" t="str">
        <f t="shared" si="121"/>
        <v/>
      </c>
    </row>
    <row r="8832" spans="1:2">
      <c r="A8832" s="136" t="str">
        <f t="shared" si="120"/>
        <v/>
      </c>
      <c r="B8832" s="136" t="str">
        <f t="shared" si="121"/>
        <v/>
      </c>
    </row>
    <row r="8833" spans="1:2">
      <c r="A8833" s="136" t="str">
        <f t="shared" si="120"/>
        <v/>
      </c>
      <c r="B8833" s="136" t="str">
        <f t="shared" si="121"/>
        <v/>
      </c>
    </row>
    <row r="8834" spans="1:2">
      <c r="A8834" s="136" t="str">
        <f t="shared" si="120"/>
        <v/>
      </c>
      <c r="B8834" s="136" t="str">
        <f t="shared" si="121"/>
        <v/>
      </c>
    </row>
    <row r="8835" spans="1:2">
      <c r="A8835" s="136" t="str">
        <f t="shared" si="120"/>
        <v/>
      </c>
      <c r="B8835" s="136" t="str">
        <f t="shared" si="121"/>
        <v/>
      </c>
    </row>
    <row r="8836" spans="1:2">
      <c r="A8836" s="136" t="str">
        <f t="shared" si="120"/>
        <v/>
      </c>
      <c r="B8836" s="136" t="str">
        <f t="shared" si="121"/>
        <v/>
      </c>
    </row>
    <row r="8837" spans="1:2">
      <c r="A8837" s="136" t="str">
        <f t="shared" si="120"/>
        <v/>
      </c>
      <c r="B8837" s="136" t="str">
        <f t="shared" si="121"/>
        <v/>
      </c>
    </row>
    <row r="8838" spans="1:2">
      <c r="A8838" s="136" t="str">
        <f t="shared" si="120"/>
        <v/>
      </c>
      <c r="B8838" s="136" t="str">
        <f t="shared" si="121"/>
        <v/>
      </c>
    </row>
    <row r="8839" spans="1:2">
      <c r="A8839" s="136" t="str">
        <f t="shared" si="120"/>
        <v/>
      </c>
      <c r="B8839" s="136" t="str">
        <f t="shared" si="121"/>
        <v/>
      </c>
    </row>
    <row r="8840" spans="1:2">
      <c r="A8840" s="136" t="str">
        <f t="shared" si="120"/>
        <v/>
      </c>
      <c r="B8840" s="136" t="str">
        <f t="shared" si="121"/>
        <v/>
      </c>
    </row>
    <row r="8841" spans="1:2">
      <c r="A8841" s="136" t="str">
        <f t="shared" si="120"/>
        <v/>
      </c>
      <c r="B8841" s="136" t="str">
        <f t="shared" si="121"/>
        <v/>
      </c>
    </row>
    <row r="8842" spans="1:2">
      <c r="A8842" s="136" t="str">
        <f t="shared" si="120"/>
        <v/>
      </c>
      <c r="B8842" s="136" t="str">
        <f t="shared" si="121"/>
        <v/>
      </c>
    </row>
    <row r="8843" spans="1:2">
      <c r="A8843" s="136" t="str">
        <f t="shared" si="120"/>
        <v/>
      </c>
      <c r="B8843" s="136" t="str">
        <f t="shared" si="121"/>
        <v/>
      </c>
    </row>
    <row r="8844" spans="1:2">
      <c r="A8844" s="136" t="str">
        <f t="shared" si="120"/>
        <v/>
      </c>
      <c r="B8844" s="136" t="str">
        <f t="shared" si="121"/>
        <v/>
      </c>
    </row>
    <row r="8845" spans="1:2">
      <c r="A8845" s="136" t="str">
        <f t="shared" si="120"/>
        <v/>
      </c>
      <c r="B8845" s="136" t="str">
        <f t="shared" si="121"/>
        <v/>
      </c>
    </row>
    <row r="8846" spans="1:2">
      <c r="A8846" s="136" t="str">
        <f t="shared" si="120"/>
        <v/>
      </c>
      <c r="B8846" s="136" t="str">
        <f t="shared" si="121"/>
        <v/>
      </c>
    </row>
    <row r="8847" spans="1:2">
      <c r="A8847" s="136" t="str">
        <f t="shared" si="120"/>
        <v/>
      </c>
      <c r="B8847" s="136" t="str">
        <f t="shared" si="121"/>
        <v/>
      </c>
    </row>
    <row r="8848" spans="1:2">
      <c r="A8848" s="136" t="str">
        <f t="shared" si="120"/>
        <v/>
      </c>
      <c r="B8848" s="136" t="str">
        <f t="shared" si="121"/>
        <v/>
      </c>
    </row>
    <row r="8849" spans="1:2">
      <c r="A8849" s="136" t="str">
        <f t="shared" si="120"/>
        <v/>
      </c>
      <c r="B8849" s="136" t="str">
        <f t="shared" si="121"/>
        <v/>
      </c>
    </row>
    <row r="8850" spans="1:2">
      <c r="A8850" s="136" t="str">
        <f t="shared" si="120"/>
        <v/>
      </c>
      <c r="B8850" s="136" t="str">
        <f t="shared" si="121"/>
        <v/>
      </c>
    </row>
    <row r="8851" spans="1:2">
      <c r="A8851" s="136" t="str">
        <f t="shared" si="120"/>
        <v/>
      </c>
      <c r="B8851" s="136" t="str">
        <f t="shared" si="121"/>
        <v/>
      </c>
    </row>
    <row r="8852" spans="1:2">
      <c r="A8852" s="136" t="str">
        <f t="shared" si="120"/>
        <v/>
      </c>
      <c r="B8852" s="136" t="str">
        <f t="shared" si="121"/>
        <v/>
      </c>
    </row>
    <row r="8853" spans="1:2">
      <c r="A8853" s="136" t="str">
        <f t="shared" si="120"/>
        <v/>
      </c>
      <c r="B8853" s="136" t="str">
        <f t="shared" si="121"/>
        <v/>
      </c>
    </row>
    <row r="8854" spans="1:2">
      <c r="A8854" s="136" t="str">
        <f t="shared" si="120"/>
        <v/>
      </c>
      <c r="B8854" s="136" t="str">
        <f t="shared" si="121"/>
        <v/>
      </c>
    </row>
    <row r="8855" spans="1:2">
      <c r="A8855" s="136" t="str">
        <f t="shared" si="120"/>
        <v/>
      </c>
      <c r="B8855" s="136" t="str">
        <f t="shared" si="121"/>
        <v/>
      </c>
    </row>
    <row r="8856" spans="1:2">
      <c r="A8856" s="136" t="str">
        <f t="shared" si="120"/>
        <v/>
      </c>
      <c r="B8856" s="136" t="str">
        <f t="shared" si="121"/>
        <v/>
      </c>
    </row>
    <row r="8857" spans="1:2">
      <c r="A8857" s="136" t="str">
        <f t="shared" si="120"/>
        <v/>
      </c>
      <c r="B8857" s="136" t="str">
        <f t="shared" si="121"/>
        <v/>
      </c>
    </row>
    <row r="8858" spans="1:2">
      <c r="A8858" s="136" t="str">
        <f t="shared" si="120"/>
        <v/>
      </c>
      <c r="B8858" s="136" t="str">
        <f t="shared" si="121"/>
        <v/>
      </c>
    </row>
    <row r="8859" spans="1:2">
      <c r="A8859" s="136" t="str">
        <f t="shared" si="120"/>
        <v/>
      </c>
      <c r="B8859" s="136" t="str">
        <f t="shared" si="121"/>
        <v/>
      </c>
    </row>
    <row r="8860" spans="1:2">
      <c r="A8860" s="136" t="str">
        <f t="shared" si="120"/>
        <v/>
      </c>
      <c r="B8860" s="136" t="str">
        <f t="shared" si="121"/>
        <v/>
      </c>
    </row>
    <row r="8861" spans="1:2">
      <c r="A8861" s="136" t="str">
        <f t="shared" si="120"/>
        <v/>
      </c>
      <c r="B8861" s="136" t="str">
        <f t="shared" si="121"/>
        <v/>
      </c>
    </row>
    <row r="8862" spans="1:2">
      <c r="A8862" s="136" t="str">
        <f t="shared" si="120"/>
        <v/>
      </c>
      <c r="B8862" s="136" t="str">
        <f t="shared" si="121"/>
        <v/>
      </c>
    </row>
    <row r="8863" spans="1:2">
      <c r="A8863" s="136" t="str">
        <f t="shared" si="120"/>
        <v/>
      </c>
      <c r="B8863" s="136" t="str">
        <f t="shared" si="121"/>
        <v/>
      </c>
    </row>
    <row r="8864" spans="1:2">
      <c r="A8864" s="136" t="str">
        <f t="shared" si="120"/>
        <v/>
      </c>
      <c r="B8864" s="136" t="str">
        <f t="shared" si="121"/>
        <v/>
      </c>
    </row>
    <row r="8865" spans="1:2">
      <c r="A8865" s="136" t="str">
        <f t="shared" si="120"/>
        <v/>
      </c>
      <c r="B8865" s="136" t="str">
        <f t="shared" si="121"/>
        <v/>
      </c>
    </row>
    <row r="8866" spans="1:2">
      <c r="A8866" s="136" t="str">
        <f t="shared" si="120"/>
        <v/>
      </c>
      <c r="B8866" s="136" t="str">
        <f t="shared" si="121"/>
        <v/>
      </c>
    </row>
    <row r="8867" spans="1:2">
      <c r="A8867" s="136" t="str">
        <f t="shared" si="120"/>
        <v/>
      </c>
      <c r="B8867" s="136" t="str">
        <f t="shared" si="121"/>
        <v/>
      </c>
    </row>
    <row r="8868" spans="1:2">
      <c r="A8868" s="136" t="str">
        <f t="shared" si="120"/>
        <v/>
      </c>
      <c r="B8868" s="136" t="str">
        <f t="shared" si="121"/>
        <v/>
      </c>
    </row>
    <row r="8869" spans="1:2">
      <c r="A8869" s="136" t="str">
        <f t="shared" si="120"/>
        <v/>
      </c>
      <c r="B8869" s="136" t="str">
        <f t="shared" si="121"/>
        <v/>
      </c>
    </row>
    <row r="8870" spans="1:2">
      <c r="A8870" s="136" t="str">
        <f t="shared" si="120"/>
        <v/>
      </c>
      <c r="B8870" s="136" t="str">
        <f t="shared" si="121"/>
        <v/>
      </c>
    </row>
    <row r="8871" spans="1:2">
      <c r="A8871" s="136" t="str">
        <f t="shared" si="120"/>
        <v/>
      </c>
      <c r="B8871" s="136" t="str">
        <f t="shared" si="121"/>
        <v/>
      </c>
    </row>
    <row r="8872" spans="1:2">
      <c r="A8872" s="136" t="str">
        <f t="shared" si="120"/>
        <v/>
      </c>
      <c r="B8872" s="136" t="str">
        <f t="shared" si="121"/>
        <v/>
      </c>
    </row>
    <row r="8873" spans="1:2">
      <c r="A8873" s="136" t="str">
        <f t="shared" si="120"/>
        <v/>
      </c>
      <c r="B8873" s="136" t="str">
        <f t="shared" si="121"/>
        <v/>
      </c>
    </row>
    <row r="8874" spans="1:2">
      <c r="A8874" s="136" t="str">
        <f t="shared" si="120"/>
        <v/>
      </c>
      <c r="B8874" s="136" t="str">
        <f t="shared" si="121"/>
        <v/>
      </c>
    </row>
    <row r="8875" spans="1:2">
      <c r="A8875" s="136" t="str">
        <f t="shared" si="120"/>
        <v/>
      </c>
      <c r="B8875" s="136" t="str">
        <f t="shared" si="121"/>
        <v/>
      </c>
    </row>
    <row r="8876" spans="1:2">
      <c r="A8876" s="136" t="str">
        <f t="shared" si="120"/>
        <v/>
      </c>
      <c r="B8876" s="136" t="str">
        <f t="shared" si="121"/>
        <v/>
      </c>
    </row>
    <row r="8877" spans="1:2">
      <c r="A8877" s="136" t="str">
        <f t="shared" si="120"/>
        <v/>
      </c>
      <c r="B8877" s="136" t="str">
        <f t="shared" si="121"/>
        <v/>
      </c>
    </row>
    <row r="8878" spans="1:2">
      <c r="A8878" s="136" t="str">
        <f t="shared" si="120"/>
        <v/>
      </c>
      <c r="B8878" s="136" t="str">
        <f t="shared" si="121"/>
        <v/>
      </c>
    </row>
    <row r="8879" spans="1:2">
      <c r="A8879" s="136" t="str">
        <f t="shared" si="120"/>
        <v/>
      </c>
      <c r="B8879" s="136" t="str">
        <f t="shared" si="121"/>
        <v/>
      </c>
    </row>
    <row r="8880" spans="1:2">
      <c r="A8880" s="136" t="str">
        <f t="shared" si="120"/>
        <v/>
      </c>
      <c r="B8880" s="136" t="str">
        <f t="shared" si="121"/>
        <v/>
      </c>
    </row>
    <row r="8881" spans="1:2">
      <c r="A8881" s="136" t="str">
        <f t="shared" si="120"/>
        <v/>
      </c>
      <c r="B8881" s="136" t="str">
        <f t="shared" si="121"/>
        <v/>
      </c>
    </row>
    <row r="8882" spans="1:2">
      <c r="A8882" s="136" t="str">
        <f t="shared" si="120"/>
        <v/>
      </c>
      <c r="B8882" s="136" t="str">
        <f t="shared" si="121"/>
        <v/>
      </c>
    </row>
    <row r="8883" spans="1:2">
      <c r="A8883" s="136" t="str">
        <f t="shared" si="120"/>
        <v/>
      </c>
      <c r="B8883" s="136" t="str">
        <f t="shared" si="121"/>
        <v/>
      </c>
    </row>
    <row r="8884" spans="1:2">
      <c r="A8884" s="136" t="str">
        <f t="shared" si="120"/>
        <v/>
      </c>
      <c r="B8884" s="136" t="str">
        <f t="shared" si="121"/>
        <v/>
      </c>
    </row>
    <row r="8885" spans="1:2">
      <c r="A8885" s="136" t="str">
        <f t="shared" si="120"/>
        <v/>
      </c>
      <c r="B8885" s="136" t="str">
        <f t="shared" si="121"/>
        <v/>
      </c>
    </row>
    <row r="8886" spans="1:2">
      <c r="A8886" s="136" t="str">
        <f t="shared" si="120"/>
        <v/>
      </c>
      <c r="B8886" s="136" t="str">
        <f t="shared" si="121"/>
        <v/>
      </c>
    </row>
    <row r="8887" spans="1:2">
      <c r="A8887" s="136" t="str">
        <f t="shared" si="120"/>
        <v/>
      </c>
      <c r="B8887" s="136" t="str">
        <f t="shared" si="121"/>
        <v/>
      </c>
    </row>
    <row r="8888" spans="1:2">
      <c r="A8888" s="136" t="str">
        <f t="shared" si="120"/>
        <v/>
      </c>
      <c r="B8888" s="136" t="str">
        <f t="shared" si="121"/>
        <v/>
      </c>
    </row>
    <row r="8889" spans="1:2">
      <c r="A8889" s="136" t="str">
        <f t="shared" ref="A8889:A8952" si="122">HYPERLINK("http://tw.stock.yahoo.com/q/ta?s=","")</f>
        <v/>
      </c>
      <c r="B8889" s="136" t="str">
        <f t="shared" ref="B8889:B8952" si="123">HYPERLINK("http://tw.stock.yahoo.com/d/s/earning_.html","")</f>
        <v/>
      </c>
    </row>
    <row r="8890" spans="1:2">
      <c r="A8890" s="136" t="str">
        <f t="shared" si="122"/>
        <v/>
      </c>
      <c r="B8890" s="136" t="str">
        <f t="shared" si="123"/>
        <v/>
      </c>
    </row>
    <row r="8891" spans="1:2">
      <c r="A8891" s="136" t="str">
        <f t="shared" si="122"/>
        <v/>
      </c>
      <c r="B8891" s="136" t="str">
        <f t="shared" si="123"/>
        <v/>
      </c>
    </row>
    <row r="8892" spans="1:2">
      <c r="A8892" s="136" t="str">
        <f t="shared" si="122"/>
        <v/>
      </c>
      <c r="B8892" s="136" t="str">
        <f t="shared" si="123"/>
        <v/>
      </c>
    </row>
    <row r="8893" spans="1:2">
      <c r="A8893" s="136" t="str">
        <f t="shared" si="122"/>
        <v/>
      </c>
      <c r="B8893" s="136" t="str">
        <f t="shared" si="123"/>
        <v/>
      </c>
    </row>
    <row r="8894" spans="1:2">
      <c r="A8894" s="136" t="str">
        <f t="shared" si="122"/>
        <v/>
      </c>
      <c r="B8894" s="136" t="str">
        <f t="shared" si="123"/>
        <v/>
      </c>
    </row>
    <row r="8895" spans="1:2">
      <c r="A8895" s="136" t="str">
        <f t="shared" si="122"/>
        <v/>
      </c>
      <c r="B8895" s="136" t="str">
        <f t="shared" si="123"/>
        <v/>
      </c>
    </row>
    <row r="8896" spans="1:2">
      <c r="A8896" s="136" t="str">
        <f t="shared" si="122"/>
        <v/>
      </c>
      <c r="B8896" s="136" t="str">
        <f t="shared" si="123"/>
        <v/>
      </c>
    </row>
    <row r="8897" spans="1:2">
      <c r="A8897" s="136" t="str">
        <f t="shared" si="122"/>
        <v/>
      </c>
      <c r="B8897" s="136" t="str">
        <f t="shared" si="123"/>
        <v/>
      </c>
    </row>
    <row r="8898" spans="1:2">
      <c r="A8898" s="136" t="str">
        <f t="shared" si="122"/>
        <v/>
      </c>
      <c r="B8898" s="136" t="str">
        <f t="shared" si="123"/>
        <v/>
      </c>
    </row>
    <row r="8899" spans="1:2">
      <c r="A8899" s="136" t="str">
        <f t="shared" si="122"/>
        <v/>
      </c>
      <c r="B8899" s="136" t="str">
        <f t="shared" si="123"/>
        <v/>
      </c>
    </row>
    <row r="8900" spans="1:2">
      <c r="A8900" s="136" t="str">
        <f t="shared" si="122"/>
        <v/>
      </c>
      <c r="B8900" s="136" t="str">
        <f t="shared" si="123"/>
        <v/>
      </c>
    </row>
    <row r="8901" spans="1:2">
      <c r="A8901" s="136" t="str">
        <f t="shared" si="122"/>
        <v/>
      </c>
      <c r="B8901" s="136" t="str">
        <f t="shared" si="123"/>
        <v/>
      </c>
    </row>
    <row r="8902" spans="1:2">
      <c r="A8902" s="136" t="str">
        <f t="shared" si="122"/>
        <v/>
      </c>
      <c r="B8902" s="136" t="str">
        <f t="shared" si="123"/>
        <v/>
      </c>
    </row>
    <row r="8903" spans="1:2">
      <c r="A8903" s="136" t="str">
        <f t="shared" si="122"/>
        <v/>
      </c>
      <c r="B8903" s="136" t="str">
        <f t="shared" si="123"/>
        <v/>
      </c>
    </row>
    <row r="8904" spans="1:2">
      <c r="A8904" s="136" t="str">
        <f t="shared" si="122"/>
        <v/>
      </c>
      <c r="B8904" s="136" t="str">
        <f t="shared" si="123"/>
        <v/>
      </c>
    </row>
    <row r="8905" spans="1:2">
      <c r="A8905" s="136" t="str">
        <f t="shared" si="122"/>
        <v/>
      </c>
      <c r="B8905" s="136" t="str">
        <f t="shared" si="123"/>
        <v/>
      </c>
    </row>
    <row r="8906" spans="1:2">
      <c r="A8906" s="136" t="str">
        <f t="shared" si="122"/>
        <v/>
      </c>
      <c r="B8906" s="136" t="str">
        <f t="shared" si="123"/>
        <v/>
      </c>
    </row>
    <row r="8907" spans="1:2">
      <c r="A8907" s="136" t="str">
        <f t="shared" si="122"/>
        <v/>
      </c>
      <c r="B8907" s="136" t="str">
        <f t="shared" si="123"/>
        <v/>
      </c>
    </row>
    <row r="8908" spans="1:2">
      <c r="A8908" s="136" t="str">
        <f t="shared" si="122"/>
        <v/>
      </c>
      <c r="B8908" s="136" t="str">
        <f t="shared" si="123"/>
        <v/>
      </c>
    </row>
    <row r="8909" spans="1:2">
      <c r="A8909" s="136" t="str">
        <f t="shared" si="122"/>
        <v/>
      </c>
      <c r="B8909" s="136" t="str">
        <f t="shared" si="123"/>
        <v/>
      </c>
    </row>
    <row r="8910" spans="1:2">
      <c r="A8910" s="136" t="str">
        <f t="shared" si="122"/>
        <v/>
      </c>
      <c r="B8910" s="136" t="str">
        <f t="shared" si="123"/>
        <v/>
      </c>
    </row>
    <row r="8911" spans="1:2">
      <c r="A8911" s="136" t="str">
        <f t="shared" si="122"/>
        <v/>
      </c>
      <c r="B8911" s="136" t="str">
        <f t="shared" si="123"/>
        <v/>
      </c>
    </row>
    <row r="8912" spans="1:2">
      <c r="A8912" s="136" t="str">
        <f t="shared" si="122"/>
        <v/>
      </c>
      <c r="B8912" s="136" t="str">
        <f t="shared" si="123"/>
        <v/>
      </c>
    </row>
    <row r="8913" spans="1:2">
      <c r="A8913" s="136" t="str">
        <f t="shared" si="122"/>
        <v/>
      </c>
      <c r="B8913" s="136" t="str">
        <f t="shared" si="123"/>
        <v/>
      </c>
    </row>
    <row r="8914" spans="1:2">
      <c r="A8914" s="136" t="str">
        <f t="shared" si="122"/>
        <v/>
      </c>
      <c r="B8914" s="136" t="str">
        <f t="shared" si="123"/>
        <v/>
      </c>
    </row>
    <row r="8915" spans="1:2">
      <c r="A8915" s="136" t="str">
        <f t="shared" si="122"/>
        <v/>
      </c>
      <c r="B8915" s="136" t="str">
        <f t="shared" si="123"/>
        <v/>
      </c>
    </row>
    <row r="8916" spans="1:2">
      <c r="A8916" s="136" t="str">
        <f t="shared" si="122"/>
        <v/>
      </c>
      <c r="B8916" s="136" t="str">
        <f t="shared" si="123"/>
        <v/>
      </c>
    </row>
    <row r="8917" spans="1:2">
      <c r="A8917" s="136" t="str">
        <f t="shared" si="122"/>
        <v/>
      </c>
      <c r="B8917" s="136" t="str">
        <f t="shared" si="123"/>
        <v/>
      </c>
    </row>
    <row r="8918" spans="1:2">
      <c r="A8918" s="136" t="str">
        <f t="shared" si="122"/>
        <v/>
      </c>
      <c r="B8918" s="136" t="str">
        <f t="shared" si="123"/>
        <v/>
      </c>
    </row>
    <row r="8919" spans="1:2">
      <c r="A8919" s="136" t="str">
        <f t="shared" si="122"/>
        <v/>
      </c>
      <c r="B8919" s="136" t="str">
        <f t="shared" si="123"/>
        <v/>
      </c>
    </row>
    <row r="8920" spans="1:2">
      <c r="A8920" s="136" t="str">
        <f t="shared" si="122"/>
        <v/>
      </c>
      <c r="B8920" s="136" t="str">
        <f t="shared" si="123"/>
        <v/>
      </c>
    </row>
    <row r="8921" spans="1:2">
      <c r="A8921" s="136" t="str">
        <f t="shared" si="122"/>
        <v/>
      </c>
      <c r="B8921" s="136" t="str">
        <f t="shared" si="123"/>
        <v/>
      </c>
    </row>
    <row r="8922" spans="1:2">
      <c r="A8922" s="136" t="str">
        <f t="shared" si="122"/>
        <v/>
      </c>
      <c r="B8922" s="136" t="str">
        <f t="shared" si="123"/>
        <v/>
      </c>
    </row>
    <row r="8923" spans="1:2">
      <c r="A8923" s="136" t="str">
        <f t="shared" si="122"/>
        <v/>
      </c>
      <c r="B8923" s="136" t="str">
        <f t="shared" si="123"/>
        <v/>
      </c>
    </row>
    <row r="8924" spans="1:2">
      <c r="A8924" s="136" t="str">
        <f t="shared" si="122"/>
        <v/>
      </c>
      <c r="B8924" s="136" t="str">
        <f t="shared" si="123"/>
        <v/>
      </c>
    </row>
    <row r="8925" spans="1:2">
      <c r="A8925" s="136" t="str">
        <f t="shared" si="122"/>
        <v/>
      </c>
      <c r="B8925" s="136" t="str">
        <f t="shared" si="123"/>
        <v/>
      </c>
    </row>
    <row r="8926" spans="1:2">
      <c r="A8926" s="136" t="str">
        <f t="shared" si="122"/>
        <v/>
      </c>
      <c r="B8926" s="136" t="str">
        <f t="shared" si="123"/>
        <v/>
      </c>
    </row>
    <row r="8927" spans="1:2">
      <c r="A8927" s="136" t="str">
        <f t="shared" si="122"/>
        <v/>
      </c>
      <c r="B8927" s="136" t="str">
        <f t="shared" si="123"/>
        <v/>
      </c>
    </row>
    <row r="8928" spans="1:2">
      <c r="A8928" s="136" t="str">
        <f t="shared" si="122"/>
        <v/>
      </c>
      <c r="B8928" s="136" t="str">
        <f t="shared" si="123"/>
        <v/>
      </c>
    </row>
    <row r="8929" spans="1:2">
      <c r="A8929" s="136" t="str">
        <f t="shared" si="122"/>
        <v/>
      </c>
      <c r="B8929" s="136" t="str">
        <f t="shared" si="123"/>
        <v/>
      </c>
    </row>
    <row r="8930" spans="1:2">
      <c r="A8930" s="136" t="str">
        <f t="shared" si="122"/>
        <v/>
      </c>
      <c r="B8930" s="136" t="str">
        <f t="shared" si="123"/>
        <v/>
      </c>
    </row>
    <row r="8931" spans="1:2">
      <c r="A8931" s="136" t="str">
        <f t="shared" si="122"/>
        <v/>
      </c>
      <c r="B8931" s="136" t="str">
        <f t="shared" si="123"/>
        <v/>
      </c>
    </row>
    <row r="8932" spans="1:2">
      <c r="A8932" s="136" t="str">
        <f t="shared" si="122"/>
        <v/>
      </c>
      <c r="B8932" s="136" t="str">
        <f t="shared" si="123"/>
        <v/>
      </c>
    </row>
    <row r="8933" spans="1:2">
      <c r="A8933" s="136" t="str">
        <f t="shared" si="122"/>
        <v/>
      </c>
      <c r="B8933" s="136" t="str">
        <f t="shared" si="123"/>
        <v/>
      </c>
    </row>
    <row r="8934" spans="1:2">
      <c r="A8934" s="136" t="str">
        <f t="shared" si="122"/>
        <v/>
      </c>
      <c r="B8934" s="136" t="str">
        <f t="shared" si="123"/>
        <v/>
      </c>
    </row>
    <row r="8935" spans="1:2">
      <c r="A8935" s="136" t="str">
        <f t="shared" si="122"/>
        <v/>
      </c>
      <c r="B8935" s="136" t="str">
        <f t="shared" si="123"/>
        <v/>
      </c>
    </row>
    <row r="8936" spans="1:2">
      <c r="A8936" s="136" t="str">
        <f t="shared" si="122"/>
        <v/>
      </c>
      <c r="B8936" s="136" t="str">
        <f t="shared" si="123"/>
        <v/>
      </c>
    </row>
    <row r="8937" spans="1:2">
      <c r="A8937" s="136" t="str">
        <f t="shared" si="122"/>
        <v/>
      </c>
      <c r="B8937" s="136" t="str">
        <f t="shared" si="123"/>
        <v/>
      </c>
    </row>
    <row r="8938" spans="1:2">
      <c r="A8938" s="136" t="str">
        <f t="shared" si="122"/>
        <v/>
      </c>
      <c r="B8938" s="136" t="str">
        <f t="shared" si="123"/>
        <v/>
      </c>
    </row>
    <row r="8939" spans="1:2">
      <c r="A8939" s="136" t="str">
        <f t="shared" si="122"/>
        <v/>
      </c>
      <c r="B8939" s="136" t="str">
        <f t="shared" si="123"/>
        <v/>
      </c>
    </row>
    <row r="8940" spans="1:2">
      <c r="A8940" s="136" t="str">
        <f t="shared" si="122"/>
        <v/>
      </c>
      <c r="B8940" s="136" t="str">
        <f t="shared" si="123"/>
        <v/>
      </c>
    </row>
    <row r="8941" spans="1:2">
      <c r="A8941" s="136" t="str">
        <f t="shared" si="122"/>
        <v/>
      </c>
      <c r="B8941" s="136" t="str">
        <f t="shared" si="123"/>
        <v/>
      </c>
    </row>
    <row r="8942" spans="1:2">
      <c r="A8942" s="136" t="str">
        <f t="shared" si="122"/>
        <v/>
      </c>
      <c r="B8942" s="136" t="str">
        <f t="shared" si="123"/>
        <v/>
      </c>
    </row>
    <row r="8943" spans="1:2">
      <c r="A8943" s="136" t="str">
        <f t="shared" si="122"/>
        <v/>
      </c>
      <c r="B8943" s="136" t="str">
        <f t="shared" si="123"/>
        <v/>
      </c>
    </row>
    <row r="8944" spans="1:2">
      <c r="A8944" s="136" t="str">
        <f t="shared" si="122"/>
        <v/>
      </c>
      <c r="B8944" s="136" t="str">
        <f t="shared" si="123"/>
        <v/>
      </c>
    </row>
    <row r="8945" spans="1:2">
      <c r="A8945" s="136" t="str">
        <f t="shared" si="122"/>
        <v/>
      </c>
      <c r="B8945" s="136" t="str">
        <f t="shared" si="123"/>
        <v/>
      </c>
    </row>
    <row r="8946" spans="1:2">
      <c r="A8946" s="136" t="str">
        <f t="shared" si="122"/>
        <v/>
      </c>
      <c r="B8946" s="136" t="str">
        <f t="shared" si="123"/>
        <v/>
      </c>
    </row>
    <row r="8947" spans="1:2">
      <c r="A8947" s="136" t="str">
        <f t="shared" si="122"/>
        <v/>
      </c>
      <c r="B8947" s="136" t="str">
        <f t="shared" si="123"/>
        <v/>
      </c>
    </row>
    <row r="8948" spans="1:2">
      <c r="A8948" s="136" t="str">
        <f t="shared" si="122"/>
        <v/>
      </c>
      <c r="B8948" s="136" t="str">
        <f t="shared" si="123"/>
        <v/>
      </c>
    </row>
    <row r="8949" spans="1:2">
      <c r="A8949" s="136" t="str">
        <f t="shared" si="122"/>
        <v/>
      </c>
      <c r="B8949" s="136" t="str">
        <f t="shared" si="123"/>
        <v/>
      </c>
    </row>
    <row r="8950" spans="1:2">
      <c r="A8950" s="136" t="str">
        <f t="shared" si="122"/>
        <v/>
      </c>
      <c r="B8950" s="136" t="str">
        <f t="shared" si="123"/>
        <v/>
      </c>
    </row>
    <row r="8951" spans="1:2">
      <c r="A8951" s="136" t="str">
        <f t="shared" si="122"/>
        <v/>
      </c>
      <c r="B8951" s="136" t="str">
        <f t="shared" si="123"/>
        <v/>
      </c>
    </row>
    <row r="8952" spans="1:2">
      <c r="A8952" s="136" t="str">
        <f t="shared" si="122"/>
        <v/>
      </c>
      <c r="B8952" s="136" t="str">
        <f t="shared" si="123"/>
        <v/>
      </c>
    </row>
    <row r="8953" spans="1:2">
      <c r="A8953" s="136" t="str">
        <f t="shared" ref="A8953:A9011" si="124">HYPERLINK("http://tw.stock.yahoo.com/q/ta?s=","")</f>
        <v/>
      </c>
      <c r="B8953" s="136" t="str">
        <f t="shared" ref="B8953:B9011" si="125">HYPERLINK("http://tw.stock.yahoo.com/d/s/earning_.html","")</f>
        <v/>
      </c>
    </row>
    <row r="8954" spans="1:2">
      <c r="A8954" s="136" t="str">
        <f t="shared" si="124"/>
        <v/>
      </c>
      <c r="B8954" s="136" t="str">
        <f t="shared" si="125"/>
        <v/>
      </c>
    </row>
    <row r="8955" spans="1:2">
      <c r="A8955" s="136" t="str">
        <f t="shared" si="124"/>
        <v/>
      </c>
      <c r="B8955" s="136" t="str">
        <f t="shared" si="125"/>
        <v/>
      </c>
    </row>
    <row r="8956" spans="1:2">
      <c r="A8956" s="136" t="str">
        <f t="shared" si="124"/>
        <v/>
      </c>
      <c r="B8956" s="136" t="str">
        <f t="shared" si="125"/>
        <v/>
      </c>
    </row>
    <row r="8957" spans="1:2">
      <c r="A8957" s="136" t="str">
        <f t="shared" si="124"/>
        <v/>
      </c>
      <c r="B8957" s="136" t="str">
        <f t="shared" si="125"/>
        <v/>
      </c>
    </row>
    <row r="8958" spans="1:2">
      <c r="A8958" s="136" t="str">
        <f t="shared" si="124"/>
        <v/>
      </c>
      <c r="B8958" s="136" t="str">
        <f t="shared" si="125"/>
        <v/>
      </c>
    </row>
    <row r="8959" spans="1:2">
      <c r="A8959" s="136" t="str">
        <f t="shared" si="124"/>
        <v/>
      </c>
      <c r="B8959" s="136" t="str">
        <f t="shared" si="125"/>
        <v/>
      </c>
    </row>
    <row r="8960" spans="1:2">
      <c r="A8960" s="136" t="str">
        <f t="shared" si="124"/>
        <v/>
      </c>
      <c r="B8960" s="136" t="str">
        <f t="shared" si="125"/>
        <v/>
      </c>
    </row>
    <row r="8961" spans="1:2">
      <c r="A8961" s="136" t="str">
        <f t="shared" si="124"/>
        <v/>
      </c>
      <c r="B8961" s="136" t="str">
        <f t="shared" si="125"/>
        <v/>
      </c>
    </row>
    <row r="8962" spans="1:2">
      <c r="A8962" s="136" t="str">
        <f t="shared" si="124"/>
        <v/>
      </c>
      <c r="B8962" s="136" t="str">
        <f t="shared" si="125"/>
        <v/>
      </c>
    </row>
    <row r="8963" spans="1:2">
      <c r="A8963" s="136" t="str">
        <f t="shared" si="124"/>
        <v/>
      </c>
      <c r="B8963" s="136" t="str">
        <f t="shared" si="125"/>
        <v/>
      </c>
    </row>
    <row r="8964" spans="1:2">
      <c r="A8964" s="136" t="str">
        <f t="shared" si="124"/>
        <v/>
      </c>
      <c r="B8964" s="136" t="str">
        <f t="shared" si="125"/>
        <v/>
      </c>
    </row>
    <row r="8965" spans="1:2">
      <c r="A8965" s="136" t="str">
        <f t="shared" si="124"/>
        <v/>
      </c>
      <c r="B8965" s="136" t="str">
        <f t="shared" si="125"/>
        <v/>
      </c>
    </row>
    <row r="8966" spans="1:2">
      <c r="A8966" s="136" t="str">
        <f t="shared" si="124"/>
        <v/>
      </c>
      <c r="B8966" s="136" t="str">
        <f t="shared" si="125"/>
        <v/>
      </c>
    </row>
    <row r="8967" spans="1:2">
      <c r="A8967" s="136" t="str">
        <f t="shared" si="124"/>
        <v/>
      </c>
      <c r="B8967" s="136" t="str">
        <f t="shared" si="125"/>
        <v/>
      </c>
    </row>
    <row r="8968" spans="1:2">
      <c r="A8968" s="136" t="str">
        <f t="shared" si="124"/>
        <v/>
      </c>
      <c r="B8968" s="136" t="str">
        <f t="shared" si="125"/>
        <v/>
      </c>
    </row>
    <row r="8969" spans="1:2">
      <c r="A8969" s="136" t="str">
        <f t="shared" si="124"/>
        <v/>
      </c>
      <c r="B8969" s="136" t="str">
        <f t="shared" si="125"/>
        <v/>
      </c>
    </row>
    <row r="8970" spans="1:2">
      <c r="A8970" s="136" t="str">
        <f t="shared" si="124"/>
        <v/>
      </c>
      <c r="B8970" s="136" t="str">
        <f t="shared" si="125"/>
        <v/>
      </c>
    </row>
    <row r="8971" spans="1:2">
      <c r="A8971" s="136" t="str">
        <f t="shared" si="124"/>
        <v/>
      </c>
      <c r="B8971" s="136" t="str">
        <f t="shared" si="125"/>
        <v/>
      </c>
    </row>
    <row r="8972" spans="1:2">
      <c r="A8972" s="136" t="str">
        <f t="shared" si="124"/>
        <v/>
      </c>
      <c r="B8972" s="136" t="str">
        <f t="shared" si="125"/>
        <v/>
      </c>
    </row>
    <row r="8973" spans="1:2">
      <c r="A8973" s="136" t="str">
        <f t="shared" si="124"/>
        <v/>
      </c>
      <c r="B8973" s="136" t="str">
        <f t="shared" si="125"/>
        <v/>
      </c>
    </row>
    <row r="8974" spans="1:2">
      <c r="A8974" s="136" t="str">
        <f t="shared" si="124"/>
        <v/>
      </c>
      <c r="B8974" s="136" t="str">
        <f t="shared" si="125"/>
        <v/>
      </c>
    </row>
    <row r="8975" spans="1:2">
      <c r="A8975" s="136" t="str">
        <f t="shared" si="124"/>
        <v/>
      </c>
      <c r="B8975" s="136" t="str">
        <f t="shared" si="125"/>
        <v/>
      </c>
    </row>
    <row r="8976" spans="1:2">
      <c r="A8976" s="136" t="str">
        <f t="shared" si="124"/>
        <v/>
      </c>
      <c r="B8976" s="136" t="str">
        <f t="shared" si="125"/>
        <v/>
      </c>
    </row>
    <row r="8977" spans="1:2">
      <c r="A8977" s="136" t="str">
        <f t="shared" si="124"/>
        <v/>
      </c>
      <c r="B8977" s="136" t="str">
        <f t="shared" si="125"/>
        <v/>
      </c>
    </row>
    <row r="8978" spans="1:2">
      <c r="A8978" s="136" t="str">
        <f t="shared" si="124"/>
        <v/>
      </c>
      <c r="B8978" s="136" t="str">
        <f t="shared" si="125"/>
        <v/>
      </c>
    </row>
    <row r="8979" spans="1:2">
      <c r="A8979" s="136" t="str">
        <f t="shared" si="124"/>
        <v/>
      </c>
      <c r="B8979" s="136" t="str">
        <f t="shared" si="125"/>
        <v/>
      </c>
    </row>
    <row r="8980" spans="1:2">
      <c r="A8980" s="136" t="str">
        <f t="shared" si="124"/>
        <v/>
      </c>
      <c r="B8980" s="136" t="str">
        <f t="shared" si="125"/>
        <v/>
      </c>
    </row>
    <row r="8981" spans="1:2">
      <c r="A8981" s="136" t="str">
        <f t="shared" si="124"/>
        <v/>
      </c>
      <c r="B8981" s="136" t="str">
        <f t="shared" si="125"/>
        <v/>
      </c>
    </row>
    <row r="8982" spans="1:2">
      <c r="A8982" s="136" t="str">
        <f t="shared" si="124"/>
        <v/>
      </c>
      <c r="B8982" s="136" t="str">
        <f t="shared" si="125"/>
        <v/>
      </c>
    </row>
    <row r="8983" spans="1:2">
      <c r="A8983" s="136" t="str">
        <f t="shared" si="124"/>
        <v/>
      </c>
      <c r="B8983" s="136" t="str">
        <f t="shared" si="125"/>
        <v/>
      </c>
    </row>
    <row r="8984" spans="1:2">
      <c r="A8984" s="136" t="str">
        <f t="shared" si="124"/>
        <v/>
      </c>
      <c r="B8984" s="136" t="str">
        <f t="shared" si="125"/>
        <v/>
      </c>
    </row>
    <row r="8985" spans="1:2">
      <c r="A8985" s="136" t="str">
        <f t="shared" si="124"/>
        <v/>
      </c>
      <c r="B8985" s="136" t="str">
        <f t="shared" si="125"/>
        <v/>
      </c>
    </row>
    <row r="8986" spans="1:2">
      <c r="A8986" s="136" t="str">
        <f t="shared" si="124"/>
        <v/>
      </c>
      <c r="B8986" s="136" t="str">
        <f t="shared" si="125"/>
        <v/>
      </c>
    </row>
    <row r="8987" spans="1:2">
      <c r="A8987" s="136" t="str">
        <f t="shared" si="124"/>
        <v/>
      </c>
      <c r="B8987" s="136" t="str">
        <f t="shared" si="125"/>
        <v/>
      </c>
    </row>
    <row r="8988" spans="1:2">
      <c r="A8988" s="136" t="str">
        <f t="shared" si="124"/>
        <v/>
      </c>
      <c r="B8988" s="136" t="str">
        <f t="shared" si="125"/>
        <v/>
      </c>
    </row>
    <row r="8989" spans="1:2">
      <c r="A8989" s="136" t="str">
        <f t="shared" si="124"/>
        <v/>
      </c>
      <c r="B8989" s="136" t="str">
        <f t="shared" si="125"/>
        <v/>
      </c>
    </row>
    <row r="8990" spans="1:2">
      <c r="A8990" s="136" t="str">
        <f t="shared" si="124"/>
        <v/>
      </c>
      <c r="B8990" s="136" t="str">
        <f t="shared" si="125"/>
        <v/>
      </c>
    </row>
    <row r="8991" spans="1:2">
      <c r="A8991" s="136" t="str">
        <f t="shared" si="124"/>
        <v/>
      </c>
      <c r="B8991" s="136" t="str">
        <f t="shared" si="125"/>
        <v/>
      </c>
    </row>
    <row r="8992" spans="1:2">
      <c r="A8992" s="136" t="str">
        <f t="shared" si="124"/>
        <v/>
      </c>
      <c r="B8992" s="136" t="str">
        <f t="shared" si="125"/>
        <v/>
      </c>
    </row>
    <row r="8993" spans="1:2">
      <c r="A8993" s="136" t="str">
        <f t="shared" si="124"/>
        <v/>
      </c>
      <c r="B8993" s="136" t="str">
        <f t="shared" si="125"/>
        <v/>
      </c>
    </row>
    <row r="8994" spans="1:2">
      <c r="A8994" s="136" t="str">
        <f t="shared" si="124"/>
        <v/>
      </c>
      <c r="B8994" s="136" t="str">
        <f t="shared" si="125"/>
        <v/>
      </c>
    </row>
    <row r="8995" spans="1:2">
      <c r="A8995" s="136" t="str">
        <f t="shared" si="124"/>
        <v/>
      </c>
      <c r="B8995" s="136" t="str">
        <f t="shared" si="125"/>
        <v/>
      </c>
    </row>
    <row r="8996" spans="1:2">
      <c r="A8996" s="136" t="str">
        <f t="shared" si="124"/>
        <v/>
      </c>
      <c r="B8996" s="136" t="str">
        <f t="shared" si="125"/>
        <v/>
      </c>
    </row>
    <row r="8997" spans="1:2">
      <c r="A8997" s="136" t="str">
        <f t="shared" si="124"/>
        <v/>
      </c>
      <c r="B8997" s="136" t="str">
        <f t="shared" si="125"/>
        <v/>
      </c>
    </row>
    <row r="8998" spans="1:2">
      <c r="A8998" s="136" t="str">
        <f t="shared" si="124"/>
        <v/>
      </c>
      <c r="B8998" s="136" t="str">
        <f t="shared" si="125"/>
        <v/>
      </c>
    </row>
    <row r="8999" spans="1:2">
      <c r="A8999" s="136" t="str">
        <f t="shared" si="124"/>
        <v/>
      </c>
      <c r="B8999" s="136" t="str">
        <f t="shared" si="125"/>
        <v/>
      </c>
    </row>
    <row r="9000" spans="1:2">
      <c r="A9000" s="136" t="str">
        <f t="shared" si="124"/>
        <v/>
      </c>
      <c r="B9000" s="136" t="str">
        <f t="shared" si="125"/>
        <v/>
      </c>
    </row>
    <row r="9001" spans="1:2">
      <c r="A9001" s="136" t="str">
        <f t="shared" si="124"/>
        <v/>
      </c>
      <c r="B9001" s="136" t="str">
        <f t="shared" si="125"/>
        <v/>
      </c>
    </row>
    <row r="9002" spans="1:2">
      <c r="A9002" s="136" t="str">
        <f t="shared" si="124"/>
        <v/>
      </c>
      <c r="B9002" s="136" t="str">
        <f t="shared" si="125"/>
        <v/>
      </c>
    </row>
    <row r="9003" spans="1:2">
      <c r="A9003" s="136" t="str">
        <f t="shared" si="124"/>
        <v/>
      </c>
      <c r="B9003" s="136" t="str">
        <f t="shared" si="125"/>
        <v/>
      </c>
    </row>
    <row r="9004" spans="1:2">
      <c r="A9004" s="136" t="str">
        <f t="shared" si="124"/>
        <v/>
      </c>
      <c r="B9004" s="136" t="str">
        <f t="shared" si="125"/>
        <v/>
      </c>
    </row>
    <row r="9005" spans="1:2">
      <c r="A9005" s="136" t="str">
        <f t="shared" si="124"/>
        <v/>
      </c>
      <c r="B9005" s="136" t="str">
        <f t="shared" si="125"/>
        <v/>
      </c>
    </row>
    <row r="9006" spans="1:2">
      <c r="A9006" s="136" t="str">
        <f t="shared" si="124"/>
        <v/>
      </c>
      <c r="B9006" s="136" t="str">
        <f t="shared" si="125"/>
        <v/>
      </c>
    </row>
    <row r="9007" spans="1:2">
      <c r="A9007" s="136" t="str">
        <f t="shared" si="124"/>
        <v/>
      </c>
      <c r="B9007" s="136" t="str">
        <f t="shared" si="125"/>
        <v/>
      </c>
    </row>
    <row r="9008" spans="1:2">
      <c r="A9008" s="136" t="str">
        <f t="shared" si="124"/>
        <v/>
      </c>
      <c r="B9008" s="136" t="str">
        <f t="shared" si="125"/>
        <v/>
      </c>
    </row>
    <row r="9009" spans="1:2">
      <c r="A9009" s="136" t="str">
        <f t="shared" si="124"/>
        <v/>
      </c>
      <c r="B9009" s="136" t="str">
        <f t="shared" si="125"/>
        <v/>
      </c>
    </row>
    <row r="9010" spans="1:2">
      <c r="A9010" s="136" t="str">
        <f t="shared" si="124"/>
        <v/>
      </c>
      <c r="B9010" s="136" t="str">
        <f t="shared" si="125"/>
        <v/>
      </c>
    </row>
    <row r="9011" spans="1:2">
      <c r="A9011" s="136" t="str">
        <f t="shared" si="124"/>
        <v/>
      </c>
      <c r="B9011" s="136" t="str">
        <f t="shared" si="125"/>
        <v/>
      </c>
    </row>
    <row r="9548" spans="1:2">
      <c r="A9548" s="136" t="str">
        <f t="shared" ref="A9548:A9611" si="126">HYPERLINK("http://tw.stock.yahoo.com/q/ta?s=","")</f>
        <v/>
      </c>
      <c r="B9548" s="136" t="str">
        <f t="shared" ref="B9548:B9611" si="127">HYPERLINK("http://tw.stock.yahoo.com/d/s/earning_.html","")</f>
        <v/>
      </c>
    </row>
    <row r="9549" spans="1:2">
      <c r="A9549" s="136" t="str">
        <f t="shared" si="126"/>
        <v/>
      </c>
      <c r="B9549" s="136" t="str">
        <f t="shared" si="127"/>
        <v/>
      </c>
    </row>
    <row r="9550" spans="1:2">
      <c r="A9550" s="136" t="str">
        <f t="shared" si="126"/>
        <v/>
      </c>
      <c r="B9550" s="136" t="str">
        <f t="shared" si="127"/>
        <v/>
      </c>
    </row>
    <row r="9551" spans="1:2">
      <c r="A9551" s="136" t="str">
        <f t="shared" si="126"/>
        <v/>
      </c>
      <c r="B9551" s="136" t="str">
        <f t="shared" si="127"/>
        <v/>
      </c>
    </row>
    <row r="9552" spans="1:2">
      <c r="A9552" s="136" t="str">
        <f t="shared" si="126"/>
        <v/>
      </c>
      <c r="B9552" s="136" t="str">
        <f t="shared" si="127"/>
        <v/>
      </c>
    </row>
    <row r="9553" spans="1:2">
      <c r="A9553" s="136" t="str">
        <f t="shared" si="126"/>
        <v/>
      </c>
      <c r="B9553" s="136" t="str">
        <f t="shared" si="127"/>
        <v/>
      </c>
    </row>
    <row r="9554" spans="1:2">
      <c r="A9554" s="136" t="str">
        <f t="shared" si="126"/>
        <v/>
      </c>
      <c r="B9554" s="136" t="str">
        <f t="shared" si="127"/>
        <v/>
      </c>
    </row>
    <row r="9555" spans="1:2">
      <c r="A9555" s="136" t="str">
        <f t="shared" si="126"/>
        <v/>
      </c>
      <c r="B9555" s="136" t="str">
        <f t="shared" si="127"/>
        <v/>
      </c>
    </row>
    <row r="9556" spans="1:2">
      <c r="A9556" s="136" t="str">
        <f t="shared" si="126"/>
        <v/>
      </c>
      <c r="B9556" s="136" t="str">
        <f t="shared" si="127"/>
        <v/>
      </c>
    </row>
    <row r="9557" spans="1:2">
      <c r="A9557" s="136" t="str">
        <f t="shared" si="126"/>
        <v/>
      </c>
      <c r="B9557" s="136" t="str">
        <f t="shared" si="127"/>
        <v/>
      </c>
    </row>
    <row r="9558" spans="1:2">
      <c r="A9558" s="136" t="str">
        <f t="shared" si="126"/>
        <v/>
      </c>
      <c r="B9558" s="136" t="str">
        <f t="shared" si="127"/>
        <v/>
      </c>
    </row>
    <row r="9559" spans="1:2">
      <c r="A9559" s="136" t="str">
        <f t="shared" si="126"/>
        <v/>
      </c>
      <c r="B9559" s="136" t="str">
        <f t="shared" si="127"/>
        <v/>
      </c>
    </row>
    <row r="9560" spans="1:2">
      <c r="A9560" s="136" t="str">
        <f t="shared" si="126"/>
        <v/>
      </c>
      <c r="B9560" s="136" t="str">
        <f t="shared" si="127"/>
        <v/>
      </c>
    </row>
    <row r="9561" spans="1:2">
      <c r="A9561" s="136" t="str">
        <f t="shared" si="126"/>
        <v/>
      </c>
      <c r="B9561" s="136" t="str">
        <f t="shared" si="127"/>
        <v/>
      </c>
    </row>
    <row r="9562" spans="1:2">
      <c r="A9562" s="136" t="str">
        <f t="shared" si="126"/>
        <v/>
      </c>
      <c r="B9562" s="136" t="str">
        <f t="shared" si="127"/>
        <v/>
      </c>
    </row>
    <row r="9563" spans="1:2">
      <c r="A9563" s="136" t="str">
        <f t="shared" si="126"/>
        <v/>
      </c>
      <c r="B9563" s="136" t="str">
        <f t="shared" si="127"/>
        <v/>
      </c>
    </row>
    <row r="9564" spans="1:2">
      <c r="A9564" s="136" t="str">
        <f t="shared" si="126"/>
        <v/>
      </c>
      <c r="B9564" s="136" t="str">
        <f t="shared" si="127"/>
        <v/>
      </c>
    </row>
    <row r="9565" spans="1:2">
      <c r="A9565" s="136" t="str">
        <f t="shared" si="126"/>
        <v/>
      </c>
      <c r="B9565" s="136" t="str">
        <f t="shared" si="127"/>
        <v/>
      </c>
    </row>
    <row r="9566" spans="1:2">
      <c r="A9566" s="136" t="str">
        <f t="shared" si="126"/>
        <v/>
      </c>
      <c r="B9566" s="136" t="str">
        <f t="shared" si="127"/>
        <v/>
      </c>
    </row>
    <row r="9567" spans="1:2">
      <c r="A9567" s="136" t="str">
        <f t="shared" si="126"/>
        <v/>
      </c>
      <c r="B9567" s="136" t="str">
        <f t="shared" si="127"/>
        <v/>
      </c>
    </row>
    <row r="9568" spans="1:2">
      <c r="A9568" s="136" t="str">
        <f t="shared" si="126"/>
        <v/>
      </c>
      <c r="B9568" s="136" t="str">
        <f t="shared" si="127"/>
        <v/>
      </c>
    </row>
    <row r="9569" spans="1:2">
      <c r="A9569" s="136" t="str">
        <f t="shared" si="126"/>
        <v/>
      </c>
      <c r="B9569" s="136" t="str">
        <f t="shared" si="127"/>
        <v/>
      </c>
    </row>
    <row r="9570" spans="1:2">
      <c r="A9570" s="136" t="str">
        <f t="shared" si="126"/>
        <v/>
      </c>
      <c r="B9570" s="136" t="str">
        <f t="shared" si="127"/>
        <v/>
      </c>
    </row>
    <row r="9571" spans="1:2">
      <c r="A9571" s="136" t="str">
        <f t="shared" si="126"/>
        <v/>
      </c>
      <c r="B9571" s="136" t="str">
        <f t="shared" si="127"/>
        <v/>
      </c>
    </row>
    <row r="9572" spans="1:2">
      <c r="A9572" s="136" t="str">
        <f t="shared" si="126"/>
        <v/>
      </c>
      <c r="B9572" s="136" t="str">
        <f t="shared" si="127"/>
        <v/>
      </c>
    </row>
    <row r="9573" spans="1:2">
      <c r="A9573" s="136" t="str">
        <f t="shared" si="126"/>
        <v/>
      </c>
      <c r="B9573" s="136" t="str">
        <f t="shared" si="127"/>
        <v/>
      </c>
    </row>
    <row r="9574" spans="1:2">
      <c r="A9574" s="136" t="str">
        <f t="shared" si="126"/>
        <v/>
      </c>
      <c r="B9574" s="136" t="str">
        <f t="shared" si="127"/>
        <v/>
      </c>
    </row>
    <row r="9575" spans="1:2">
      <c r="A9575" s="136" t="str">
        <f t="shared" si="126"/>
        <v/>
      </c>
      <c r="B9575" s="136" t="str">
        <f t="shared" si="127"/>
        <v/>
      </c>
    </row>
    <row r="9576" spans="1:2">
      <c r="A9576" s="136" t="str">
        <f t="shared" si="126"/>
        <v/>
      </c>
      <c r="B9576" s="136" t="str">
        <f t="shared" si="127"/>
        <v/>
      </c>
    </row>
    <row r="9577" spans="1:2">
      <c r="A9577" s="136" t="str">
        <f t="shared" si="126"/>
        <v/>
      </c>
      <c r="B9577" s="136" t="str">
        <f t="shared" si="127"/>
        <v/>
      </c>
    </row>
    <row r="9578" spans="1:2">
      <c r="A9578" s="136" t="str">
        <f t="shared" si="126"/>
        <v/>
      </c>
      <c r="B9578" s="136" t="str">
        <f t="shared" si="127"/>
        <v/>
      </c>
    </row>
    <row r="9579" spans="1:2">
      <c r="A9579" s="136" t="str">
        <f t="shared" si="126"/>
        <v/>
      </c>
      <c r="B9579" s="136" t="str">
        <f t="shared" si="127"/>
        <v/>
      </c>
    </row>
    <row r="9580" spans="1:2">
      <c r="A9580" s="136" t="str">
        <f t="shared" si="126"/>
        <v/>
      </c>
      <c r="B9580" s="136" t="str">
        <f t="shared" si="127"/>
        <v/>
      </c>
    </row>
    <row r="9581" spans="1:2">
      <c r="A9581" s="136" t="str">
        <f t="shared" si="126"/>
        <v/>
      </c>
      <c r="B9581" s="136" t="str">
        <f t="shared" si="127"/>
        <v/>
      </c>
    </row>
    <row r="9582" spans="1:2">
      <c r="A9582" s="136" t="str">
        <f t="shared" si="126"/>
        <v/>
      </c>
      <c r="B9582" s="136" t="str">
        <f t="shared" si="127"/>
        <v/>
      </c>
    </row>
    <row r="9583" spans="1:2">
      <c r="A9583" s="136" t="str">
        <f t="shared" si="126"/>
        <v/>
      </c>
      <c r="B9583" s="136" t="str">
        <f t="shared" si="127"/>
        <v/>
      </c>
    </row>
    <row r="9584" spans="1:2">
      <c r="A9584" s="136" t="str">
        <f t="shared" si="126"/>
        <v/>
      </c>
      <c r="B9584" s="136" t="str">
        <f t="shared" si="127"/>
        <v/>
      </c>
    </row>
    <row r="9585" spans="1:2">
      <c r="A9585" s="136" t="str">
        <f t="shared" si="126"/>
        <v/>
      </c>
      <c r="B9585" s="136" t="str">
        <f t="shared" si="127"/>
        <v/>
      </c>
    </row>
    <row r="9586" spans="1:2">
      <c r="A9586" s="136" t="str">
        <f t="shared" si="126"/>
        <v/>
      </c>
      <c r="B9586" s="136" t="str">
        <f t="shared" si="127"/>
        <v/>
      </c>
    </row>
    <row r="9587" spans="1:2">
      <c r="A9587" s="136" t="str">
        <f t="shared" si="126"/>
        <v/>
      </c>
      <c r="B9587" s="136" t="str">
        <f t="shared" si="127"/>
        <v/>
      </c>
    </row>
    <row r="9588" spans="1:2">
      <c r="A9588" s="136" t="str">
        <f t="shared" si="126"/>
        <v/>
      </c>
      <c r="B9588" s="136" t="str">
        <f t="shared" si="127"/>
        <v/>
      </c>
    </row>
    <row r="9589" spans="1:2">
      <c r="A9589" s="136" t="str">
        <f t="shared" si="126"/>
        <v/>
      </c>
      <c r="B9589" s="136" t="str">
        <f t="shared" si="127"/>
        <v/>
      </c>
    </row>
    <row r="9590" spans="1:2">
      <c r="A9590" s="136" t="str">
        <f t="shared" si="126"/>
        <v/>
      </c>
      <c r="B9590" s="136" t="str">
        <f t="shared" si="127"/>
        <v/>
      </c>
    </row>
    <row r="9591" spans="1:2">
      <c r="A9591" s="136" t="str">
        <f t="shared" si="126"/>
        <v/>
      </c>
      <c r="B9591" s="136" t="str">
        <f t="shared" si="127"/>
        <v/>
      </c>
    </row>
    <row r="9592" spans="1:2">
      <c r="A9592" s="136" t="str">
        <f t="shared" si="126"/>
        <v/>
      </c>
      <c r="B9592" s="136" t="str">
        <f t="shared" si="127"/>
        <v/>
      </c>
    </row>
    <row r="9593" spans="1:2">
      <c r="A9593" s="136" t="str">
        <f t="shared" si="126"/>
        <v/>
      </c>
      <c r="B9593" s="136" t="str">
        <f t="shared" si="127"/>
        <v/>
      </c>
    </row>
    <row r="9594" spans="1:2">
      <c r="A9594" s="136" t="str">
        <f t="shared" si="126"/>
        <v/>
      </c>
      <c r="B9594" s="136" t="str">
        <f t="shared" si="127"/>
        <v/>
      </c>
    </row>
    <row r="9595" spans="1:2">
      <c r="A9595" s="136" t="str">
        <f t="shared" si="126"/>
        <v/>
      </c>
      <c r="B9595" s="136" t="str">
        <f t="shared" si="127"/>
        <v/>
      </c>
    </row>
    <row r="9596" spans="1:2">
      <c r="A9596" s="136" t="str">
        <f t="shared" si="126"/>
        <v/>
      </c>
      <c r="B9596" s="136" t="str">
        <f t="shared" si="127"/>
        <v/>
      </c>
    </row>
    <row r="9597" spans="1:2">
      <c r="A9597" s="136" t="str">
        <f t="shared" si="126"/>
        <v/>
      </c>
      <c r="B9597" s="136" t="str">
        <f t="shared" si="127"/>
        <v/>
      </c>
    </row>
    <row r="9598" spans="1:2">
      <c r="A9598" s="136" t="str">
        <f t="shared" si="126"/>
        <v/>
      </c>
      <c r="B9598" s="136" t="str">
        <f t="shared" si="127"/>
        <v/>
      </c>
    </row>
    <row r="9599" spans="1:2">
      <c r="A9599" s="136" t="str">
        <f t="shared" si="126"/>
        <v/>
      </c>
      <c r="B9599" s="136" t="str">
        <f t="shared" si="127"/>
        <v/>
      </c>
    </row>
    <row r="9600" spans="1:2">
      <c r="A9600" s="136" t="str">
        <f t="shared" si="126"/>
        <v/>
      </c>
      <c r="B9600" s="136" t="str">
        <f t="shared" si="127"/>
        <v/>
      </c>
    </row>
    <row r="9601" spans="1:2">
      <c r="A9601" s="136" t="str">
        <f t="shared" si="126"/>
        <v/>
      </c>
      <c r="B9601" s="136" t="str">
        <f t="shared" si="127"/>
        <v/>
      </c>
    </row>
    <row r="9602" spans="1:2">
      <c r="A9602" s="136" t="str">
        <f t="shared" si="126"/>
        <v/>
      </c>
      <c r="B9602" s="136" t="str">
        <f t="shared" si="127"/>
        <v/>
      </c>
    </row>
    <row r="9603" spans="1:2">
      <c r="A9603" s="136" t="str">
        <f t="shared" si="126"/>
        <v/>
      </c>
      <c r="B9603" s="136" t="str">
        <f t="shared" si="127"/>
        <v/>
      </c>
    </row>
    <row r="9604" spans="1:2">
      <c r="A9604" s="136" t="str">
        <f t="shared" si="126"/>
        <v/>
      </c>
      <c r="B9604" s="136" t="str">
        <f t="shared" si="127"/>
        <v/>
      </c>
    </row>
    <row r="9605" spans="1:2">
      <c r="A9605" s="136" t="str">
        <f t="shared" si="126"/>
        <v/>
      </c>
      <c r="B9605" s="136" t="str">
        <f t="shared" si="127"/>
        <v/>
      </c>
    </row>
    <row r="9606" spans="1:2">
      <c r="A9606" s="136" t="str">
        <f t="shared" si="126"/>
        <v/>
      </c>
      <c r="B9606" s="136" t="str">
        <f t="shared" si="127"/>
        <v/>
      </c>
    </row>
    <row r="9607" spans="1:2">
      <c r="A9607" s="136" t="str">
        <f t="shared" si="126"/>
        <v/>
      </c>
      <c r="B9607" s="136" t="str">
        <f t="shared" si="127"/>
        <v/>
      </c>
    </row>
    <row r="9608" spans="1:2">
      <c r="A9608" s="136" t="str">
        <f t="shared" si="126"/>
        <v/>
      </c>
      <c r="B9608" s="136" t="str">
        <f t="shared" si="127"/>
        <v/>
      </c>
    </row>
    <row r="9609" spans="1:2">
      <c r="A9609" s="136" t="str">
        <f t="shared" si="126"/>
        <v/>
      </c>
      <c r="B9609" s="136" t="str">
        <f t="shared" si="127"/>
        <v/>
      </c>
    </row>
    <row r="9610" spans="1:2">
      <c r="A9610" s="136" t="str">
        <f t="shared" si="126"/>
        <v/>
      </c>
      <c r="B9610" s="136" t="str">
        <f t="shared" si="127"/>
        <v/>
      </c>
    </row>
    <row r="9611" spans="1:2">
      <c r="A9611" s="136" t="str">
        <f t="shared" si="126"/>
        <v/>
      </c>
      <c r="B9611" s="136" t="str">
        <f t="shared" si="127"/>
        <v/>
      </c>
    </row>
    <row r="9612" spans="1:2">
      <c r="A9612" s="136" t="str">
        <f t="shared" ref="A9612:A9675" si="128">HYPERLINK("http://tw.stock.yahoo.com/q/ta?s=","")</f>
        <v/>
      </c>
      <c r="B9612" s="136" t="str">
        <f t="shared" ref="B9612:B9675" si="129">HYPERLINK("http://tw.stock.yahoo.com/d/s/earning_.html","")</f>
        <v/>
      </c>
    </row>
    <row r="9613" spans="1:2">
      <c r="A9613" s="136" t="str">
        <f t="shared" si="128"/>
        <v/>
      </c>
      <c r="B9613" s="136" t="str">
        <f t="shared" si="129"/>
        <v/>
      </c>
    </row>
    <row r="9614" spans="1:2">
      <c r="A9614" s="136" t="str">
        <f t="shared" si="128"/>
        <v/>
      </c>
      <c r="B9614" s="136" t="str">
        <f t="shared" si="129"/>
        <v/>
      </c>
    </row>
    <row r="9615" spans="1:2">
      <c r="A9615" s="136" t="str">
        <f t="shared" si="128"/>
        <v/>
      </c>
      <c r="B9615" s="136" t="str">
        <f t="shared" si="129"/>
        <v/>
      </c>
    </row>
    <row r="9616" spans="1:2">
      <c r="A9616" s="136" t="str">
        <f t="shared" si="128"/>
        <v/>
      </c>
      <c r="B9616" s="136" t="str">
        <f t="shared" si="129"/>
        <v/>
      </c>
    </row>
    <row r="9617" spans="1:2">
      <c r="A9617" s="136" t="str">
        <f t="shared" si="128"/>
        <v/>
      </c>
      <c r="B9617" s="136" t="str">
        <f t="shared" si="129"/>
        <v/>
      </c>
    </row>
    <row r="9618" spans="1:2">
      <c r="A9618" s="136" t="str">
        <f t="shared" si="128"/>
        <v/>
      </c>
      <c r="B9618" s="136" t="str">
        <f t="shared" si="129"/>
        <v/>
      </c>
    </row>
    <row r="9619" spans="1:2">
      <c r="A9619" s="136" t="str">
        <f t="shared" si="128"/>
        <v/>
      </c>
      <c r="B9619" s="136" t="str">
        <f t="shared" si="129"/>
        <v/>
      </c>
    </row>
    <row r="9620" spans="1:2">
      <c r="A9620" s="136" t="str">
        <f t="shared" si="128"/>
        <v/>
      </c>
      <c r="B9620" s="136" t="str">
        <f t="shared" si="129"/>
        <v/>
      </c>
    </row>
    <row r="9621" spans="1:2">
      <c r="A9621" s="136" t="str">
        <f t="shared" si="128"/>
        <v/>
      </c>
      <c r="B9621" s="136" t="str">
        <f t="shared" si="129"/>
        <v/>
      </c>
    </row>
    <row r="9622" spans="1:2">
      <c r="A9622" s="136" t="str">
        <f t="shared" si="128"/>
        <v/>
      </c>
      <c r="B9622" s="136" t="str">
        <f t="shared" si="129"/>
        <v/>
      </c>
    </row>
    <row r="9623" spans="1:2">
      <c r="A9623" s="136" t="str">
        <f t="shared" si="128"/>
        <v/>
      </c>
      <c r="B9623" s="136" t="str">
        <f t="shared" si="129"/>
        <v/>
      </c>
    </row>
    <row r="9624" spans="1:2">
      <c r="A9624" s="136" t="str">
        <f t="shared" si="128"/>
        <v/>
      </c>
      <c r="B9624" s="136" t="str">
        <f t="shared" si="129"/>
        <v/>
      </c>
    </row>
    <row r="9625" spans="1:2">
      <c r="A9625" s="136" t="str">
        <f t="shared" si="128"/>
        <v/>
      </c>
      <c r="B9625" s="136" t="str">
        <f t="shared" si="129"/>
        <v/>
      </c>
    </row>
    <row r="9626" spans="1:2">
      <c r="A9626" s="136" t="str">
        <f t="shared" si="128"/>
        <v/>
      </c>
      <c r="B9626" s="136" t="str">
        <f t="shared" si="129"/>
        <v/>
      </c>
    </row>
    <row r="9627" spans="1:2">
      <c r="A9627" s="136" t="str">
        <f t="shared" si="128"/>
        <v/>
      </c>
      <c r="B9627" s="136" t="str">
        <f t="shared" si="129"/>
        <v/>
      </c>
    </row>
    <row r="9628" spans="1:2">
      <c r="A9628" s="136" t="str">
        <f t="shared" si="128"/>
        <v/>
      </c>
      <c r="B9628" s="136" t="str">
        <f t="shared" si="129"/>
        <v/>
      </c>
    </row>
    <row r="9629" spans="1:2">
      <c r="A9629" s="136" t="str">
        <f t="shared" si="128"/>
        <v/>
      </c>
      <c r="B9629" s="136" t="str">
        <f t="shared" si="129"/>
        <v/>
      </c>
    </row>
    <row r="9630" spans="1:2">
      <c r="A9630" s="136" t="str">
        <f t="shared" si="128"/>
        <v/>
      </c>
      <c r="B9630" s="136" t="str">
        <f t="shared" si="129"/>
        <v/>
      </c>
    </row>
    <row r="9631" spans="1:2">
      <c r="A9631" s="136" t="str">
        <f t="shared" si="128"/>
        <v/>
      </c>
      <c r="B9631" s="136" t="str">
        <f t="shared" si="129"/>
        <v/>
      </c>
    </row>
    <row r="9632" spans="1:2">
      <c r="A9632" s="136" t="str">
        <f t="shared" si="128"/>
        <v/>
      </c>
      <c r="B9632" s="136" t="str">
        <f t="shared" si="129"/>
        <v/>
      </c>
    </row>
    <row r="9633" spans="1:2">
      <c r="A9633" s="136" t="str">
        <f t="shared" si="128"/>
        <v/>
      </c>
      <c r="B9633" s="136" t="str">
        <f t="shared" si="129"/>
        <v/>
      </c>
    </row>
    <row r="9634" spans="1:2">
      <c r="A9634" s="136" t="str">
        <f t="shared" si="128"/>
        <v/>
      </c>
      <c r="B9634" s="136" t="str">
        <f t="shared" si="129"/>
        <v/>
      </c>
    </row>
    <row r="9635" spans="1:2">
      <c r="A9635" s="136" t="str">
        <f t="shared" si="128"/>
        <v/>
      </c>
      <c r="B9635" s="136" t="str">
        <f t="shared" si="129"/>
        <v/>
      </c>
    </row>
    <row r="9636" spans="1:2">
      <c r="A9636" s="136" t="str">
        <f t="shared" si="128"/>
        <v/>
      </c>
      <c r="B9636" s="136" t="str">
        <f t="shared" si="129"/>
        <v/>
      </c>
    </row>
    <row r="9637" spans="1:2">
      <c r="A9637" s="136" t="str">
        <f t="shared" si="128"/>
        <v/>
      </c>
      <c r="B9637" s="136" t="str">
        <f t="shared" si="129"/>
        <v/>
      </c>
    </row>
    <row r="9638" spans="1:2">
      <c r="A9638" s="136" t="str">
        <f t="shared" si="128"/>
        <v/>
      </c>
      <c r="B9638" s="136" t="str">
        <f t="shared" si="129"/>
        <v/>
      </c>
    </row>
    <row r="9639" spans="1:2">
      <c r="A9639" s="136" t="str">
        <f t="shared" si="128"/>
        <v/>
      </c>
      <c r="B9639" s="136" t="str">
        <f t="shared" si="129"/>
        <v/>
      </c>
    </row>
    <row r="9640" spans="1:2">
      <c r="A9640" s="136" t="str">
        <f t="shared" si="128"/>
        <v/>
      </c>
      <c r="B9640" s="136" t="str">
        <f t="shared" si="129"/>
        <v/>
      </c>
    </row>
    <row r="9641" spans="1:2">
      <c r="A9641" s="136" t="str">
        <f t="shared" si="128"/>
        <v/>
      </c>
      <c r="B9641" s="136" t="str">
        <f t="shared" si="129"/>
        <v/>
      </c>
    </row>
    <row r="9642" spans="1:2">
      <c r="A9642" s="136" t="str">
        <f t="shared" si="128"/>
        <v/>
      </c>
      <c r="B9642" s="136" t="str">
        <f t="shared" si="129"/>
        <v/>
      </c>
    </row>
    <row r="9643" spans="1:2">
      <c r="A9643" s="136" t="str">
        <f t="shared" si="128"/>
        <v/>
      </c>
      <c r="B9643" s="136" t="str">
        <f t="shared" si="129"/>
        <v/>
      </c>
    </row>
    <row r="9644" spans="1:2">
      <c r="A9644" s="136" t="str">
        <f t="shared" si="128"/>
        <v/>
      </c>
      <c r="B9644" s="136" t="str">
        <f t="shared" si="129"/>
        <v/>
      </c>
    </row>
    <row r="9645" spans="1:2">
      <c r="A9645" s="136" t="str">
        <f t="shared" si="128"/>
        <v/>
      </c>
      <c r="B9645" s="136" t="str">
        <f t="shared" si="129"/>
        <v/>
      </c>
    </row>
    <row r="9646" spans="1:2">
      <c r="A9646" s="136" t="str">
        <f t="shared" si="128"/>
        <v/>
      </c>
      <c r="B9646" s="136" t="str">
        <f t="shared" si="129"/>
        <v/>
      </c>
    </row>
    <row r="9647" spans="1:2">
      <c r="A9647" s="136" t="str">
        <f t="shared" si="128"/>
        <v/>
      </c>
      <c r="B9647" s="136" t="str">
        <f t="shared" si="129"/>
        <v/>
      </c>
    </row>
    <row r="9648" spans="1:2">
      <c r="A9648" s="136" t="str">
        <f t="shared" si="128"/>
        <v/>
      </c>
      <c r="B9648" s="136" t="str">
        <f t="shared" si="129"/>
        <v/>
      </c>
    </row>
    <row r="9649" spans="1:2">
      <c r="A9649" s="136" t="str">
        <f t="shared" si="128"/>
        <v/>
      </c>
      <c r="B9649" s="136" t="str">
        <f t="shared" si="129"/>
        <v/>
      </c>
    </row>
    <row r="9650" spans="1:2">
      <c r="A9650" s="136" t="str">
        <f t="shared" si="128"/>
        <v/>
      </c>
      <c r="B9650" s="136" t="str">
        <f t="shared" si="129"/>
        <v/>
      </c>
    </row>
    <row r="9651" spans="1:2">
      <c r="A9651" s="136" t="str">
        <f t="shared" si="128"/>
        <v/>
      </c>
      <c r="B9651" s="136" t="str">
        <f t="shared" si="129"/>
        <v/>
      </c>
    </row>
    <row r="9652" spans="1:2">
      <c r="A9652" s="136" t="str">
        <f t="shared" si="128"/>
        <v/>
      </c>
      <c r="B9652" s="136" t="str">
        <f t="shared" si="129"/>
        <v/>
      </c>
    </row>
    <row r="9653" spans="1:2">
      <c r="A9653" s="136" t="str">
        <f t="shared" si="128"/>
        <v/>
      </c>
      <c r="B9653" s="136" t="str">
        <f t="shared" si="129"/>
        <v/>
      </c>
    </row>
    <row r="9654" spans="1:2">
      <c r="A9654" s="136" t="str">
        <f t="shared" si="128"/>
        <v/>
      </c>
      <c r="B9654" s="136" t="str">
        <f t="shared" si="129"/>
        <v/>
      </c>
    </row>
    <row r="9655" spans="1:2">
      <c r="A9655" s="136" t="str">
        <f t="shared" si="128"/>
        <v/>
      </c>
      <c r="B9655" s="136" t="str">
        <f t="shared" si="129"/>
        <v/>
      </c>
    </row>
    <row r="9656" spans="1:2">
      <c r="A9656" s="136" t="str">
        <f t="shared" si="128"/>
        <v/>
      </c>
      <c r="B9656" s="136" t="str">
        <f t="shared" si="129"/>
        <v/>
      </c>
    </row>
    <row r="9657" spans="1:2">
      <c r="A9657" s="136" t="str">
        <f t="shared" si="128"/>
        <v/>
      </c>
      <c r="B9657" s="136" t="str">
        <f t="shared" si="129"/>
        <v/>
      </c>
    </row>
    <row r="9658" spans="1:2">
      <c r="A9658" s="136" t="str">
        <f t="shared" si="128"/>
        <v/>
      </c>
      <c r="B9658" s="136" t="str">
        <f t="shared" si="129"/>
        <v/>
      </c>
    </row>
    <row r="9659" spans="1:2">
      <c r="A9659" s="136" t="str">
        <f t="shared" si="128"/>
        <v/>
      </c>
      <c r="B9659" s="136" t="str">
        <f t="shared" si="129"/>
        <v/>
      </c>
    </row>
    <row r="9660" spans="1:2">
      <c r="A9660" s="136" t="str">
        <f t="shared" si="128"/>
        <v/>
      </c>
      <c r="B9660" s="136" t="str">
        <f t="shared" si="129"/>
        <v/>
      </c>
    </row>
    <row r="9661" spans="1:2">
      <c r="A9661" s="136" t="str">
        <f t="shared" si="128"/>
        <v/>
      </c>
      <c r="B9661" s="136" t="str">
        <f t="shared" si="129"/>
        <v/>
      </c>
    </row>
    <row r="9662" spans="1:2">
      <c r="A9662" s="136" t="str">
        <f t="shared" si="128"/>
        <v/>
      </c>
      <c r="B9662" s="136" t="str">
        <f t="shared" si="129"/>
        <v/>
      </c>
    </row>
    <row r="9663" spans="1:2">
      <c r="A9663" s="136" t="str">
        <f t="shared" si="128"/>
        <v/>
      </c>
      <c r="B9663" s="136" t="str">
        <f t="shared" si="129"/>
        <v/>
      </c>
    </row>
    <row r="9664" spans="1:2">
      <c r="A9664" s="136" t="str">
        <f t="shared" si="128"/>
        <v/>
      </c>
      <c r="B9664" s="136" t="str">
        <f t="shared" si="129"/>
        <v/>
      </c>
    </row>
    <row r="9665" spans="1:2">
      <c r="A9665" s="136" t="str">
        <f t="shared" si="128"/>
        <v/>
      </c>
      <c r="B9665" s="136" t="str">
        <f t="shared" si="129"/>
        <v/>
      </c>
    </row>
    <row r="9666" spans="1:2">
      <c r="A9666" s="136" t="str">
        <f t="shared" si="128"/>
        <v/>
      </c>
      <c r="B9666" s="136" t="str">
        <f t="shared" si="129"/>
        <v/>
      </c>
    </row>
    <row r="9667" spans="1:2">
      <c r="A9667" s="136" t="str">
        <f t="shared" si="128"/>
        <v/>
      </c>
      <c r="B9667" s="136" t="str">
        <f t="shared" si="129"/>
        <v/>
      </c>
    </row>
    <row r="9668" spans="1:2">
      <c r="A9668" s="136" t="str">
        <f t="shared" si="128"/>
        <v/>
      </c>
      <c r="B9668" s="136" t="str">
        <f t="shared" si="129"/>
        <v/>
      </c>
    </row>
    <row r="9669" spans="1:2">
      <c r="A9669" s="136" t="str">
        <f t="shared" si="128"/>
        <v/>
      </c>
      <c r="B9669" s="136" t="str">
        <f t="shared" si="129"/>
        <v/>
      </c>
    </row>
    <row r="9670" spans="1:2">
      <c r="A9670" s="136" t="str">
        <f t="shared" si="128"/>
        <v/>
      </c>
      <c r="B9670" s="136" t="str">
        <f t="shared" si="129"/>
        <v/>
      </c>
    </row>
    <row r="9671" spans="1:2">
      <c r="A9671" s="136" t="str">
        <f t="shared" si="128"/>
        <v/>
      </c>
      <c r="B9671" s="136" t="str">
        <f t="shared" si="129"/>
        <v/>
      </c>
    </row>
    <row r="9672" spans="1:2">
      <c r="A9672" s="136" t="str">
        <f t="shared" si="128"/>
        <v/>
      </c>
      <c r="B9672" s="136" t="str">
        <f t="shared" si="129"/>
        <v/>
      </c>
    </row>
    <row r="9673" spans="1:2">
      <c r="A9673" s="136" t="str">
        <f t="shared" si="128"/>
        <v/>
      </c>
      <c r="B9673" s="136" t="str">
        <f t="shared" si="129"/>
        <v/>
      </c>
    </row>
    <row r="9674" spans="1:2">
      <c r="A9674" s="136" t="str">
        <f t="shared" si="128"/>
        <v/>
      </c>
      <c r="B9674" s="136" t="str">
        <f t="shared" si="129"/>
        <v/>
      </c>
    </row>
    <row r="9675" spans="1:2">
      <c r="A9675" s="136" t="str">
        <f t="shared" si="128"/>
        <v/>
      </c>
      <c r="B9675" s="136" t="str">
        <f t="shared" si="129"/>
        <v/>
      </c>
    </row>
    <row r="9676" spans="1:2">
      <c r="A9676" s="136" t="str">
        <f t="shared" ref="A9676:A9739" si="130">HYPERLINK("http://tw.stock.yahoo.com/q/ta?s=","")</f>
        <v/>
      </c>
      <c r="B9676" s="136" t="str">
        <f t="shared" ref="B9676:B9739" si="131">HYPERLINK("http://tw.stock.yahoo.com/d/s/earning_.html","")</f>
        <v/>
      </c>
    </row>
    <row r="9677" spans="1:2">
      <c r="A9677" s="136" t="str">
        <f t="shared" si="130"/>
        <v/>
      </c>
      <c r="B9677" s="136" t="str">
        <f t="shared" si="131"/>
        <v/>
      </c>
    </row>
    <row r="9678" spans="1:2">
      <c r="A9678" s="136" t="str">
        <f t="shared" si="130"/>
        <v/>
      </c>
      <c r="B9678" s="136" t="str">
        <f t="shared" si="131"/>
        <v/>
      </c>
    </row>
    <row r="9679" spans="1:2">
      <c r="A9679" s="136" t="str">
        <f t="shared" si="130"/>
        <v/>
      </c>
      <c r="B9679" s="136" t="str">
        <f t="shared" si="131"/>
        <v/>
      </c>
    </row>
    <row r="9680" spans="1:2">
      <c r="A9680" s="136" t="str">
        <f t="shared" si="130"/>
        <v/>
      </c>
      <c r="B9680" s="136" t="str">
        <f t="shared" si="131"/>
        <v/>
      </c>
    </row>
    <row r="9681" spans="1:2">
      <c r="A9681" s="136" t="str">
        <f t="shared" si="130"/>
        <v/>
      </c>
      <c r="B9681" s="136" t="str">
        <f t="shared" si="131"/>
        <v/>
      </c>
    </row>
    <row r="9682" spans="1:2">
      <c r="A9682" s="136" t="str">
        <f t="shared" si="130"/>
        <v/>
      </c>
      <c r="B9682" s="136" t="str">
        <f t="shared" si="131"/>
        <v/>
      </c>
    </row>
    <row r="9683" spans="1:2">
      <c r="A9683" s="136" t="str">
        <f t="shared" si="130"/>
        <v/>
      </c>
      <c r="B9683" s="136" t="str">
        <f t="shared" si="131"/>
        <v/>
      </c>
    </row>
    <row r="9684" spans="1:2">
      <c r="A9684" s="136" t="str">
        <f t="shared" si="130"/>
        <v/>
      </c>
      <c r="B9684" s="136" t="str">
        <f t="shared" si="131"/>
        <v/>
      </c>
    </row>
    <row r="9685" spans="1:2">
      <c r="A9685" s="136" t="str">
        <f t="shared" si="130"/>
        <v/>
      </c>
      <c r="B9685" s="136" t="str">
        <f t="shared" si="131"/>
        <v/>
      </c>
    </row>
    <row r="9686" spans="1:2">
      <c r="A9686" s="136" t="str">
        <f t="shared" si="130"/>
        <v/>
      </c>
      <c r="B9686" s="136" t="str">
        <f t="shared" si="131"/>
        <v/>
      </c>
    </row>
    <row r="9687" spans="1:2">
      <c r="A9687" s="136" t="str">
        <f t="shared" si="130"/>
        <v/>
      </c>
      <c r="B9687" s="136" t="str">
        <f t="shared" si="131"/>
        <v/>
      </c>
    </row>
    <row r="9688" spans="1:2">
      <c r="A9688" s="136" t="str">
        <f t="shared" si="130"/>
        <v/>
      </c>
      <c r="B9688" s="136" t="str">
        <f t="shared" si="131"/>
        <v/>
      </c>
    </row>
    <row r="9689" spans="1:2">
      <c r="A9689" s="136" t="str">
        <f t="shared" si="130"/>
        <v/>
      </c>
      <c r="B9689" s="136" t="str">
        <f t="shared" si="131"/>
        <v/>
      </c>
    </row>
    <row r="9690" spans="1:2">
      <c r="A9690" s="136" t="str">
        <f t="shared" si="130"/>
        <v/>
      </c>
      <c r="B9690" s="136" t="str">
        <f t="shared" si="131"/>
        <v/>
      </c>
    </row>
    <row r="9691" spans="1:2">
      <c r="A9691" s="136" t="str">
        <f t="shared" si="130"/>
        <v/>
      </c>
      <c r="B9691" s="136" t="str">
        <f t="shared" si="131"/>
        <v/>
      </c>
    </row>
    <row r="9692" spans="1:2">
      <c r="A9692" s="136" t="str">
        <f t="shared" si="130"/>
        <v/>
      </c>
      <c r="B9692" s="136" t="str">
        <f t="shared" si="131"/>
        <v/>
      </c>
    </row>
    <row r="9693" spans="1:2">
      <c r="A9693" s="136" t="str">
        <f t="shared" si="130"/>
        <v/>
      </c>
      <c r="B9693" s="136" t="str">
        <f t="shared" si="131"/>
        <v/>
      </c>
    </row>
    <row r="9694" spans="1:2">
      <c r="A9694" s="136" t="str">
        <f t="shared" si="130"/>
        <v/>
      </c>
      <c r="B9694" s="136" t="str">
        <f t="shared" si="131"/>
        <v/>
      </c>
    </row>
    <row r="9695" spans="1:2">
      <c r="A9695" s="136" t="str">
        <f t="shared" si="130"/>
        <v/>
      </c>
      <c r="B9695" s="136" t="str">
        <f t="shared" si="131"/>
        <v/>
      </c>
    </row>
    <row r="9696" spans="1:2">
      <c r="A9696" s="136" t="str">
        <f t="shared" si="130"/>
        <v/>
      </c>
      <c r="B9696" s="136" t="str">
        <f t="shared" si="131"/>
        <v/>
      </c>
    </row>
    <row r="9697" spans="1:2">
      <c r="A9697" s="136" t="str">
        <f t="shared" si="130"/>
        <v/>
      </c>
      <c r="B9697" s="136" t="str">
        <f t="shared" si="131"/>
        <v/>
      </c>
    </row>
    <row r="9698" spans="1:2">
      <c r="A9698" s="136" t="str">
        <f t="shared" si="130"/>
        <v/>
      </c>
      <c r="B9698" s="136" t="str">
        <f t="shared" si="131"/>
        <v/>
      </c>
    </row>
    <row r="9699" spans="1:2">
      <c r="A9699" s="136" t="str">
        <f t="shared" si="130"/>
        <v/>
      </c>
      <c r="B9699" s="136" t="str">
        <f t="shared" si="131"/>
        <v/>
      </c>
    </row>
    <row r="9700" spans="1:2">
      <c r="A9700" s="136" t="str">
        <f t="shared" si="130"/>
        <v/>
      </c>
      <c r="B9700" s="136" t="str">
        <f t="shared" si="131"/>
        <v/>
      </c>
    </row>
    <row r="9701" spans="1:2">
      <c r="A9701" s="136" t="str">
        <f t="shared" si="130"/>
        <v/>
      </c>
      <c r="B9701" s="136" t="str">
        <f t="shared" si="131"/>
        <v/>
      </c>
    </row>
    <row r="9702" spans="1:2">
      <c r="A9702" s="136" t="str">
        <f t="shared" si="130"/>
        <v/>
      </c>
      <c r="B9702" s="136" t="str">
        <f t="shared" si="131"/>
        <v/>
      </c>
    </row>
    <row r="9703" spans="1:2">
      <c r="A9703" s="136" t="str">
        <f t="shared" si="130"/>
        <v/>
      </c>
      <c r="B9703" s="136" t="str">
        <f t="shared" si="131"/>
        <v/>
      </c>
    </row>
    <row r="9704" spans="1:2">
      <c r="A9704" s="136" t="str">
        <f t="shared" si="130"/>
        <v/>
      </c>
      <c r="B9704" s="136" t="str">
        <f t="shared" si="131"/>
        <v/>
      </c>
    </row>
    <row r="9705" spans="1:2">
      <c r="A9705" s="136" t="str">
        <f t="shared" si="130"/>
        <v/>
      </c>
      <c r="B9705" s="136" t="str">
        <f t="shared" si="131"/>
        <v/>
      </c>
    </row>
    <row r="9706" spans="1:2">
      <c r="A9706" s="136" t="str">
        <f t="shared" si="130"/>
        <v/>
      </c>
      <c r="B9706" s="136" t="str">
        <f t="shared" si="131"/>
        <v/>
      </c>
    </row>
    <row r="9707" spans="1:2">
      <c r="A9707" s="136" t="str">
        <f t="shared" si="130"/>
        <v/>
      </c>
      <c r="B9707" s="136" t="str">
        <f t="shared" si="131"/>
        <v/>
      </c>
    </row>
    <row r="9708" spans="1:2">
      <c r="A9708" s="136" t="str">
        <f t="shared" si="130"/>
        <v/>
      </c>
      <c r="B9708" s="136" t="str">
        <f t="shared" si="131"/>
        <v/>
      </c>
    </row>
    <row r="9709" spans="1:2">
      <c r="A9709" s="136" t="str">
        <f t="shared" si="130"/>
        <v/>
      </c>
      <c r="B9709" s="136" t="str">
        <f t="shared" si="131"/>
        <v/>
      </c>
    </row>
    <row r="9710" spans="1:2">
      <c r="A9710" s="136" t="str">
        <f t="shared" si="130"/>
        <v/>
      </c>
      <c r="B9710" s="136" t="str">
        <f t="shared" si="131"/>
        <v/>
      </c>
    </row>
    <row r="9711" spans="1:2">
      <c r="A9711" s="136" t="str">
        <f t="shared" si="130"/>
        <v/>
      </c>
      <c r="B9711" s="136" t="str">
        <f t="shared" si="131"/>
        <v/>
      </c>
    </row>
    <row r="9712" spans="1:2">
      <c r="A9712" s="136" t="str">
        <f t="shared" si="130"/>
        <v/>
      </c>
      <c r="B9712" s="136" t="str">
        <f t="shared" si="131"/>
        <v/>
      </c>
    </row>
    <row r="9713" spans="1:2">
      <c r="A9713" s="136" t="str">
        <f t="shared" si="130"/>
        <v/>
      </c>
      <c r="B9713" s="136" t="str">
        <f t="shared" si="131"/>
        <v/>
      </c>
    </row>
    <row r="9714" spans="1:2">
      <c r="A9714" s="136" t="str">
        <f t="shared" si="130"/>
        <v/>
      </c>
      <c r="B9714" s="136" t="str">
        <f t="shared" si="131"/>
        <v/>
      </c>
    </row>
    <row r="9715" spans="1:2">
      <c r="A9715" s="136" t="str">
        <f t="shared" si="130"/>
        <v/>
      </c>
      <c r="B9715" s="136" t="str">
        <f t="shared" si="131"/>
        <v/>
      </c>
    </row>
    <row r="9716" spans="1:2">
      <c r="A9716" s="136" t="str">
        <f t="shared" si="130"/>
        <v/>
      </c>
      <c r="B9716" s="136" t="str">
        <f t="shared" si="131"/>
        <v/>
      </c>
    </row>
    <row r="9717" spans="1:2">
      <c r="A9717" s="136" t="str">
        <f t="shared" si="130"/>
        <v/>
      </c>
      <c r="B9717" s="136" t="str">
        <f t="shared" si="131"/>
        <v/>
      </c>
    </row>
    <row r="9718" spans="1:2">
      <c r="A9718" s="136" t="str">
        <f t="shared" si="130"/>
        <v/>
      </c>
      <c r="B9718" s="136" t="str">
        <f t="shared" si="131"/>
        <v/>
      </c>
    </row>
    <row r="9719" spans="1:2">
      <c r="A9719" s="136" t="str">
        <f t="shared" si="130"/>
        <v/>
      </c>
      <c r="B9719" s="136" t="str">
        <f t="shared" si="131"/>
        <v/>
      </c>
    </row>
    <row r="9720" spans="1:2">
      <c r="A9720" s="136" t="str">
        <f t="shared" si="130"/>
        <v/>
      </c>
      <c r="B9720" s="136" t="str">
        <f t="shared" si="131"/>
        <v/>
      </c>
    </row>
    <row r="9721" spans="1:2">
      <c r="A9721" s="136" t="str">
        <f t="shared" si="130"/>
        <v/>
      </c>
      <c r="B9721" s="136" t="str">
        <f t="shared" si="131"/>
        <v/>
      </c>
    </row>
    <row r="9722" spans="1:2">
      <c r="A9722" s="136" t="str">
        <f t="shared" si="130"/>
        <v/>
      </c>
      <c r="B9722" s="136" t="str">
        <f t="shared" si="131"/>
        <v/>
      </c>
    </row>
    <row r="9723" spans="1:2">
      <c r="A9723" s="136" t="str">
        <f t="shared" si="130"/>
        <v/>
      </c>
      <c r="B9723" s="136" t="str">
        <f t="shared" si="131"/>
        <v/>
      </c>
    </row>
    <row r="9724" spans="1:2">
      <c r="A9724" s="136" t="str">
        <f t="shared" si="130"/>
        <v/>
      </c>
      <c r="B9724" s="136" t="str">
        <f t="shared" si="131"/>
        <v/>
      </c>
    </row>
    <row r="9725" spans="1:2">
      <c r="A9725" s="136" t="str">
        <f t="shared" si="130"/>
        <v/>
      </c>
      <c r="B9725" s="136" t="str">
        <f t="shared" si="131"/>
        <v/>
      </c>
    </row>
    <row r="9726" spans="1:2">
      <c r="A9726" s="136" t="str">
        <f t="shared" si="130"/>
        <v/>
      </c>
      <c r="B9726" s="136" t="str">
        <f t="shared" si="131"/>
        <v/>
      </c>
    </row>
    <row r="9727" spans="1:2">
      <c r="A9727" s="136" t="str">
        <f t="shared" si="130"/>
        <v/>
      </c>
      <c r="B9727" s="136" t="str">
        <f t="shared" si="131"/>
        <v/>
      </c>
    </row>
    <row r="9728" spans="1:2">
      <c r="A9728" s="136" t="str">
        <f t="shared" si="130"/>
        <v/>
      </c>
      <c r="B9728" s="136" t="str">
        <f t="shared" si="131"/>
        <v/>
      </c>
    </row>
    <row r="9729" spans="1:2">
      <c r="A9729" s="136" t="str">
        <f t="shared" si="130"/>
        <v/>
      </c>
      <c r="B9729" s="136" t="str">
        <f t="shared" si="131"/>
        <v/>
      </c>
    </row>
    <row r="9730" spans="1:2">
      <c r="A9730" s="136" t="str">
        <f t="shared" si="130"/>
        <v/>
      </c>
      <c r="B9730" s="136" t="str">
        <f t="shared" si="131"/>
        <v/>
      </c>
    </row>
    <row r="9731" spans="1:2">
      <c r="A9731" s="136" t="str">
        <f t="shared" si="130"/>
        <v/>
      </c>
      <c r="B9731" s="136" t="str">
        <f t="shared" si="131"/>
        <v/>
      </c>
    </row>
    <row r="9732" spans="1:2">
      <c r="A9732" s="136" t="str">
        <f t="shared" si="130"/>
        <v/>
      </c>
      <c r="B9732" s="136" t="str">
        <f t="shared" si="131"/>
        <v/>
      </c>
    </row>
    <row r="9733" spans="1:2">
      <c r="A9733" s="136" t="str">
        <f t="shared" si="130"/>
        <v/>
      </c>
      <c r="B9733" s="136" t="str">
        <f t="shared" si="131"/>
        <v/>
      </c>
    </row>
    <row r="9734" spans="1:2">
      <c r="A9734" s="136" t="str">
        <f t="shared" si="130"/>
        <v/>
      </c>
      <c r="B9734" s="136" t="str">
        <f t="shared" si="131"/>
        <v/>
      </c>
    </row>
    <row r="9735" spans="1:2">
      <c r="A9735" s="136" t="str">
        <f t="shared" si="130"/>
        <v/>
      </c>
      <c r="B9735" s="136" t="str">
        <f t="shared" si="131"/>
        <v/>
      </c>
    </row>
    <row r="9736" spans="1:2">
      <c r="A9736" s="136" t="str">
        <f t="shared" si="130"/>
        <v/>
      </c>
      <c r="B9736" s="136" t="str">
        <f t="shared" si="131"/>
        <v/>
      </c>
    </row>
    <row r="9737" spans="1:2">
      <c r="A9737" s="136" t="str">
        <f t="shared" si="130"/>
        <v/>
      </c>
      <c r="B9737" s="136" t="str">
        <f t="shared" si="131"/>
        <v/>
      </c>
    </row>
    <row r="9738" spans="1:2">
      <c r="A9738" s="136" t="str">
        <f t="shared" si="130"/>
        <v/>
      </c>
      <c r="B9738" s="136" t="str">
        <f t="shared" si="131"/>
        <v/>
      </c>
    </row>
    <row r="9739" spans="1:2">
      <c r="A9739" s="136" t="str">
        <f t="shared" si="130"/>
        <v/>
      </c>
      <c r="B9739" s="136" t="str">
        <f t="shared" si="131"/>
        <v/>
      </c>
    </row>
    <row r="9740" spans="1:2">
      <c r="A9740" s="136" t="str">
        <f t="shared" ref="A9740:A9803" si="132">HYPERLINK("http://tw.stock.yahoo.com/q/ta?s=","")</f>
        <v/>
      </c>
      <c r="B9740" s="136" t="str">
        <f t="shared" ref="B9740:B9803" si="133">HYPERLINK("http://tw.stock.yahoo.com/d/s/earning_.html","")</f>
        <v/>
      </c>
    </row>
    <row r="9741" spans="1:2">
      <c r="A9741" s="136" t="str">
        <f t="shared" si="132"/>
        <v/>
      </c>
      <c r="B9741" s="136" t="str">
        <f t="shared" si="133"/>
        <v/>
      </c>
    </row>
    <row r="9742" spans="1:2">
      <c r="A9742" s="136" t="str">
        <f t="shared" si="132"/>
        <v/>
      </c>
      <c r="B9742" s="136" t="str">
        <f t="shared" si="133"/>
        <v/>
      </c>
    </row>
    <row r="9743" spans="1:2">
      <c r="A9743" s="136" t="str">
        <f t="shared" si="132"/>
        <v/>
      </c>
      <c r="B9743" s="136" t="str">
        <f t="shared" si="133"/>
        <v/>
      </c>
    </row>
    <row r="9744" spans="1:2">
      <c r="A9744" s="136" t="str">
        <f t="shared" si="132"/>
        <v/>
      </c>
      <c r="B9744" s="136" t="str">
        <f t="shared" si="133"/>
        <v/>
      </c>
    </row>
    <row r="9745" spans="1:2">
      <c r="A9745" s="136" t="str">
        <f t="shared" si="132"/>
        <v/>
      </c>
      <c r="B9745" s="136" t="str">
        <f t="shared" si="133"/>
        <v/>
      </c>
    </row>
    <row r="9746" spans="1:2">
      <c r="A9746" s="136" t="str">
        <f t="shared" si="132"/>
        <v/>
      </c>
      <c r="B9746" s="136" t="str">
        <f t="shared" si="133"/>
        <v/>
      </c>
    </row>
    <row r="9747" spans="1:2">
      <c r="A9747" s="136" t="str">
        <f t="shared" si="132"/>
        <v/>
      </c>
      <c r="B9747" s="136" t="str">
        <f t="shared" si="133"/>
        <v/>
      </c>
    </row>
    <row r="9748" spans="1:2">
      <c r="A9748" s="136" t="str">
        <f t="shared" si="132"/>
        <v/>
      </c>
      <c r="B9748" s="136" t="str">
        <f t="shared" si="133"/>
        <v/>
      </c>
    </row>
    <row r="9749" spans="1:2">
      <c r="A9749" s="136" t="str">
        <f t="shared" si="132"/>
        <v/>
      </c>
      <c r="B9749" s="136" t="str">
        <f t="shared" si="133"/>
        <v/>
      </c>
    </row>
    <row r="9750" spans="1:2">
      <c r="A9750" s="136" t="str">
        <f t="shared" si="132"/>
        <v/>
      </c>
      <c r="B9750" s="136" t="str">
        <f t="shared" si="133"/>
        <v/>
      </c>
    </row>
    <row r="9751" spans="1:2">
      <c r="A9751" s="136" t="str">
        <f t="shared" si="132"/>
        <v/>
      </c>
      <c r="B9751" s="136" t="str">
        <f t="shared" si="133"/>
        <v/>
      </c>
    </row>
    <row r="9752" spans="1:2">
      <c r="A9752" s="136" t="str">
        <f t="shared" si="132"/>
        <v/>
      </c>
      <c r="B9752" s="136" t="str">
        <f t="shared" si="133"/>
        <v/>
      </c>
    </row>
    <row r="9753" spans="1:2">
      <c r="A9753" s="136" t="str">
        <f t="shared" si="132"/>
        <v/>
      </c>
      <c r="B9753" s="136" t="str">
        <f t="shared" si="133"/>
        <v/>
      </c>
    </row>
    <row r="9754" spans="1:2">
      <c r="A9754" s="136" t="str">
        <f t="shared" si="132"/>
        <v/>
      </c>
      <c r="B9754" s="136" t="str">
        <f t="shared" si="133"/>
        <v/>
      </c>
    </row>
    <row r="9755" spans="1:2">
      <c r="A9755" s="136" t="str">
        <f t="shared" si="132"/>
        <v/>
      </c>
      <c r="B9755" s="136" t="str">
        <f t="shared" si="133"/>
        <v/>
      </c>
    </row>
    <row r="9756" spans="1:2">
      <c r="A9756" s="136" t="str">
        <f t="shared" si="132"/>
        <v/>
      </c>
      <c r="B9756" s="136" t="str">
        <f t="shared" si="133"/>
        <v/>
      </c>
    </row>
    <row r="9757" spans="1:2">
      <c r="A9757" s="136" t="str">
        <f t="shared" si="132"/>
        <v/>
      </c>
      <c r="B9757" s="136" t="str">
        <f t="shared" si="133"/>
        <v/>
      </c>
    </row>
    <row r="9758" spans="1:2">
      <c r="A9758" s="136" t="str">
        <f t="shared" si="132"/>
        <v/>
      </c>
      <c r="B9758" s="136" t="str">
        <f t="shared" si="133"/>
        <v/>
      </c>
    </row>
    <row r="9759" spans="1:2">
      <c r="A9759" s="136" t="str">
        <f t="shared" si="132"/>
        <v/>
      </c>
      <c r="B9759" s="136" t="str">
        <f t="shared" si="133"/>
        <v/>
      </c>
    </row>
    <row r="9760" spans="1:2">
      <c r="A9760" s="136" t="str">
        <f t="shared" si="132"/>
        <v/>
      </c>
      <c r="B9760" s="136" t="str">
        <f t="shared" si="133"/>
        <v/>
      </c>
    </row>
    <row r="9761" spans="1:2">
      <c r="A9761" s="136" t="str">
        <f t="shared" si="132"/>
        <v/>
      </c>
      <c r="B9761" s="136" t="str">
        <f t="shared" si="133"/>
        <v/>
      </c>
    </row>
    <row r="9762" spans="1:2">
      <c r="A9762" s="136" t="str">
        <f t="shared" si="132"/>
        <v/>
      </c>
      <c r="B9762" s="136" t="str">
        <f t="shared" si="133"/>
        <v/>
      </c>
    </row>
    <row r="9763" spans="1:2">
      <c r="A9763" s="136" t="str">
        <f t="shared" si="132"/>
        <v/>
      </c>
      <c r="B9763" s="136" t="str">
        <f t="shared" si="133"/>
        <v/>
      </c>
    </row>
    <row r="9764" spans="1:2">
      <c r="A9764" s="136" t="str">
        <f t="shared" si="132"/>
        <v/>
      </c>
      <c r="B9764" s="136" t="str">
        <f t="shared" si="133"/>
        <v/>
      </c>
    </row>
    <row r="9765" spans="1:2">
      <c r="A9765" s="136" t="str">
        <f t="shared" si="132"/>
        <v/>
      </c>
      <c r="B9765" s="136" t="str">
        <f t="shared" si="133"/>
        <v/>
      </c>
    </row>
    <row r="9766" spans="1:2">
      <c r="A9766" s="136" t="str">
        <f t="shared" si="132"/>
        <v/>
      </c>
      <c r="B9766" s="136" t="str">
        <f t="shared" si="133"/>
        <v/>
      </c>
    </row>
    <row r="9767" spans="1:2">
      <c r="A9767" s="136" t="str">
        <f t="shared" si="132"/>
        <v/>
      </c>
      <c r="B9767" s="136" t="str">
        <f t="shared" si="133"/>
        <v/>
      </c>
    </row>
    <row r="9768" spans="1:2">
      <c r="A9768" s="136" t="str">
        <f t="shared" si="132"/>
        <v/>
      </c>
      <c r="B9768" s="136" t="str">
        <f t="shared" si="133"/>
        <v/>
      </c>
    </row>
    <row r="9769" spans="1:2">
      <c r="A9769" s="136" t="str">
        <f t="shared" si="132"/>
        <v/>
      </c>
      <c r="B9769" s="136" t="str">
        <f t="shared" si="133"/>
        <v/>
      </c>
    </row>
    <row r="9770" spans="1:2">
      <c r="A9770" s="136" t="str">
        <f t="shared" si="132"/>
        <v/>
      </c>
      <c r="B9770" s="136" t="str">
        <f t="shared" si="133"/>
        <v/>
      </c>
    </row>
    <row r="9771" spans="1:2">
      <c r="A9771" s="136" t="str">
        <f t="shared" si="132"/>
        <v/>
      </c>
      <c r="B9771" s="136" t="str">
        <f t="shared" si="133"/>
        <v/>
      </c>
    </row>
    <row r="9772" spans="1:2">
      <c r="A9772" s="136" t="str">
        <f t="shared" si="132"/>
        <v/>
      </c>
      <c r="B9772" s="136" t="str">
        <f t="shared" si="133"/>
        <v/>
      </c>
    </row>
    <row r="9773" spans="1:2">
      <c r="A9773" s="136" t="str">
        <f t="shared" si="132"/>
        <v/>
      </c>
      <c r="B9773" s="136" t="str">
        <f t="shared" si="133"/>
        <v/>
      </c>
    </row>
    <row r="9774" spans="1:2">
      <c r="A9774" s="136" t="str">
        <f t="shared" si="132"/>
        <v/>
      </c>
      <c r="B9774" s="136" t="str">
        <f t="shared" si="133"/>
        <v/>
      </c>
    </row>
    <row r="9775" spans="1:2">
      <c r="A9775" s="136" t="str">
        <f t="shared" si="132"/>
        <v/>
      </c>
      <c r="B9775" s="136" t="str">
        <f t="shared" si="133"/>
        <v/>
      </c>
    </row>
    <row r="9776" spans="1:2">
      <c r="A9776" s="136" t="str">
        <f t="shared" si="132"/>
        <v/>
      </c>
      <c r="B9776" s="136" t="str">
        <f t="shared" si="133"/>
        <v/>
      </c>
    </row>
    <row r="9777" spans="1:2">
      <c r="A9777" s="136" t="str">
        <f t="shared" si="132"/>
        <v/>
      </c>
      <c r="B9777" s="136" t="str">
        <f t="shared" si="133"/>
        <v/>
      </c>
    </row>
    <row r="9778" spans="1:2">
      <c r="A9778" s="136" t="str">
        <f t="shared" si="132"/>
        <v/>
      </c>
      <c r="B9778" s="136" t="str">
        <f t="shared" si="133"/>
        <v/>
      </c>
    </row>
    <row r="9779" spans="1:2">
      <c r="A9779" s="136" t="str">
        <f t="shared" si="132"/>
        <v/>
      </c>
      <c r="B9779" s="136" t="str">
        <f t="shared" si="133"/>
        <v/>
      </c>
    </row>
    <row r="9780" spans="1:2">
      <c r="A9780" s="136" t="str">
        <f t="shared" si="132"/>
        <v/>
      </c>
      <c r="B9780" s="136" t="str">
        <f t="shared" si="133"/>
        <v/>
      </c>
    </row>
    <row r="9781" spans="1:2">
      <c r="A9781" s="136" t="str">
        <f t="shared" si="132"/>
        <v/>
      </c>
      <c r="B9781" s="136" t="str">
        <f t="shared" si="133"/>
        <v/>
      </c>
    </row>
    <row r="9782" spans="1:2">
      <c r="A9782" s="136" t="str">
        <f t="shared" si="132"/>
        <v/>
      </c>
      <c r="B9782" s="136" t="str">
        <f t="shared" si="133"/>
        <v/>
      </c>
    </row>
    <row r="9783" spans="1:2">
      <c r="A9783" s="136" t="str">
        <f t="shared" si="132"/>
        <v/>
      </c>
      <c r="B9783" s="136" t="str">
        <f t="shared" si="133"/>
        <v/>
      </c>
    </row>
    <row r="9784" spans="1:2">
      <c r="A9784" s="136" t="str">
        <f t="shared" si="132"/>
        <v/>
      </c>
      <c r="B9784" s="136" t="str">
        <f t="shared" si="133"/>
        <v/>
      </c>
    </row>
    <row r="9785" spans="1:2">
      <c r="A9785" s="136" t="str">
        <f t="shared" si="132"/>
        <v/>
      </c>
      <c r="B9785" s="136" t="str">
        <f t="shared" si="133"/>
        <v/>
      </c>
    </row>
    <row r="9786" spans="1:2">
      <c r="A9786" s="136" t="str">
        <f t="shared" si="132"/>
        <v/>
      </c>
      <c r="B9786" s="136" t="str">
        <f t="shared" si="133"/>
        <v/>
      </c>
    </row>
    <row r="9787" spans="1:2">
      <c r="A9787" s="136" t="str">
        <f t="shared" si="132"/>
        <v/>
      </c>
      <c r="B9787" s="136" t="str">
        <f t="shared" si="133"/>
        <v/>
      </c>
    </row>
    <row r="9788" spans="1:2">
      <c r="A9788" s="136" t="str">
        <f t="shared" si="132"/>
        <v/>
      </c>
      <c r="B9788" s="136" t="str">
        <f t="shared" si="133"/>
        <v/>
      </c>
    </row>
    <row r="9789" spans="1:2">
      <c r="A9789" s="136" t="str">
        <f t="shared" si="132"/>
        <v/>
      </c>
      <c r="B9789" s="136" t="str">
        <f t="shared" si="133"/>
        <v/>
      </c>
    </row>
    <row r="9790" spans="1:2">
      <c r="A9790" s="136" t="str">
        <f t="shared" si="132"/>
        <v/>
      </c>
      <c r="B9790" s="136" t="str">
        <f t="shared" si="133"/>
        <v/>
      </c>
    </row>
    <row r="9791" spans="1:2">
      <c r="A9791" s="136" t="str">
        <f t="shared" si="132"/>
        <v/>
      </c>
      <c r="B9791" s="136" t="str">
        <f t="shared" si="133"/>
        <v/>
      </c>
    </row>
    <row r="9792" spans="1:2">
      <c r="A9792" s="136" t="str">
        <f t="shared" si="132"/>
        <v/>
      </c>
      <c r="B9792" s="136" t="str">
        <f t="shared" si="133"/>
        <v/>
      </c>
    </row>
    <row r="9793" spans="1:2">
      <c r="A9793" s="136" t="str">
        <f t="shared" si="132"/>
        <v/>
      </c>
      <c r="B9793" s="136" t="str">
        <f t="shared" si="133"/>
        <v/>
      </c>
    </row>
    <row r="9794" spans="1:2">
      <c r="A9794" s="136" t="str">
        <f t="shared" si="132"/>
        <v/>
      </c>
      <c r="B9794" s="136" t="str">
        <f t="shared" si="133"/>
        <v/>
      </c>
    </row>
    <row r="9795" spans="1:2">
      <c r="A9795" s="136" t="str">
        <f t="shared" si="132"/>
        <v/>
      </c>
      <c r="B9795" s="136" t="str">
        <f t="shared" si="133"/>
        <v/>
      </c>
    </row>
    <row r="9796" spans="1:2">
      <c r="A9796" s="136" t="str">
        <f t="shared" si="132"/>
        <v/>
      </c>
      <c r="B9796" s="136" t="str">
        <f t="shared" si="133"/>
        <v/>
      </c>
    </row>
    <row r="9797" spans="1:2">
      <c r="A9797" s="136" t="str">
        <f t="shared" si="132"/>
        <v/>
      </c>
      <c r="B9797" s="136" t="str">
        <f t="shared" si="133"/>
        <v/>
      </c>
    </row>
    <row r="9798" spans="1:2">
      <c r="A9798" s="136" t="str">
        <f t="shared" si="132"/>
        <v/>
      </c>
      <c r="B9798" s="136" t="str">
        <f t="shared" si="133"/>
        <v/>
      </c>
    </row>
    <row r="9799" spans="1:2">
      <c r="A9799" s="136" t="str">
        <f t="shared" si="132"/>
        <v/>
      </c>
      <c r="B9799" s="136" t="str">
        <f t="shared" si="133"/>
        <v/>
      </c>
    </row>
    <row r="9800" spans="1:2">
      <c r="A9800" s="136" t="str">
        <f t="shared" si="132"/>
        <v/>
      </c>
      <c r="B9800" s="136" t="str">
        <f t="shared" si="133"/>
        <v/>
      </c>
    </row>
    <row r="9801" spans="1:2">
      <c r="A9801" s="136" t="str">
        <f t="shared" si="132"/>
        <v/>
      </c>
      <c r="B9801" s="136" t="str">
        <f t="shared" si="133"/>
        <v/>
      </c>
    </row>
    <row r="9802" spans="1:2">
      <c r="A9802" s="136" t="str">
        <f t="shared" si="132"/>
        <v/>
      </c>
      <c r="B9802" s="136" t="str">
        <f t="shared" si="133"/>
        <v/>
      </c>
    </row>
    <row r="9803" spans="1:2">
      <c r="A9803" s="136" t="str">
        <f t="shared" si="132"/>
        <v/>
      </c>
      <c r="B9803" s="136" t="str">
        <f t="shared" si="133"/>
        <v/>
      </c>
    </row>
    <row r="9804" spans="1:2">
      <c r="A9804" s="136" t="str">
        <f t="shared" ref="A9804:A9867" si="134">HYPERLINK("http://tw.stock.yahoo.com/q/ta?s=","")</f>
        <v/>
      </c>
      <c r="B9804" s="136" t="str">
        <f t="shared" ref="B9804:B9867" si="135">HYPERLINK("http://tw.stock.yahoo.com/d/s/earning_.html","")</f>
        <v/>
      </c>
    </row>
    <row r="9805" spans="1:2">
      <c r="A9805" s="136" t="str">
        <f t="shared" si="134"/>
        <v/>
      </c>
      <c r="B9805" s="136" t="str">
        <f t="shared" si="135"/>
        <v/>
      </c>
    </row>
    <row r="9806" spans="1:2">
      <c r="A9806" s="136" t="str">
        <f t="shared" si="134"/>
        <v/>
      </c>
      <c r="B9806" s="136" t="str">
        <f t="shared" si="135"/>
        <v/>
      </c>
    </row>
    <row r="9807" spans="1:2">
      <c r="A9807" s="136" t="str">
        <f t="shared" si="134"/>
        <v/>
      </c>
      <c r="B9807" s="136" t="str">
        <f t="shared" si="135"/>
        <v/>
      </c>
    </row>
    <row r="9808" spans="1:2">
      <c r="A9808" s="136" t="str">
        <f t="shared" si="134"/>
        <v/>
      </c>
      <c r="B9808" s="136" t="str">
        <f t="shared" si="135"/>
        <v/>
      </c>
    </row>
    <row r="9809" spans="1:2">
      <c r="A9809" s="136" t="str">
        <f t="shared" si="134"/>
        <v/>
      </c>
      <c r="B9809" s="136" t="str">
        <f t="shared" si="135"/>
        <v/>
      </c>
    </row>
    <row r="9810" spans="1:2">
      <c r="A9810" s="136" t="str">
        <f t="shared" si="134"/>
        <v/>
      </c>
      <c r="B9810" s="136" t="str">
        <f t="shared" si="135"/>
        <v/>
      </c>
    </row>
    <row r="9811" spans="1:2">
      <c r="A9811" s="136" t="str">
        <f t="shared" si="134"/>
        <v/>
      </c>
      <c r="B9811" s="136" t="str">
        <f t="shared" si="135"/>
        <v/>
      </c>
    </row>
    <row r="9812" spans="1:2">
      <c r="A9812" s="136" t="str">
        <f t="shared" si="134"/>
        <v/>
      </c>
      <c r="B9812" s="136" t="str">
        <f t="shared" si="135"/>
        <v/>
      </c>
    </row>
    <row r="9813" spans="1:2">
      <c r="A9813" s="136" t="str">
        <f t="shared" si="134"/>
        <v/>
      </c>
      <c r="B9813" s="136" t="str">
        <f t="shared" si="135"/>
        <v/>
      </c>
    </row>
    <row r="9814" spans="1:2">
      <c r="A9814" s="136" t="str">
        <f t="shared" si="134"/>
        <v/>
      </c>
      <c r="B9814" s="136" t="str">
        <f t="shared" si="135"/>
        <v/>
      </c>
    </row>
    <row r="9815" spans="1:2">
      <c r="A9815" s="136" t="str">
        <f t="shared" si="134"/>
        <v/>
      </c>
      <c r="B9815" s="136" t="str">
        <f t="shared" si="135"/>
        <v/>
      </c>
    </row>
    <row r="9816" spans="1:2">
      <c r="A9816" s="136" t="str">
        <f t="shared" si="134"/>
        <v/>
      </c>
      <c r="B9816" s="136" t="str">
        <f t="shared" si="135"/>
        <v/>
      </c>
    </row>
    <row r="9817" spans="1:2">
      <c r="A9817" s="136" t="str">
        <f t="shared" si="134"/>
        <v/>
      </c>
      <c r="B9817" s="136" t="str">
        <f t="shared" si="135"/>
        <v/>
      </c>
    </row>
    <row r="9818" spans="1:2">
      <c r="A9818" s="136" t="str">
        <f t="shared" si="134"/>
        <v/>
      </c>
      <c r="B9818" s="136" t="str">
        <f t="shared" si="135"/>
        <v/>
      </c>
    </row>
    <row r="9819" spans="1:2">
      <c r="A9819" s="136" t="str">
        <f t="shared" si="134"/>
        <v/>
      </c>
      <c r="B9819" s="136" t="str">
        <f t="shared" si="135"/>
        <v/>
      </c>
    </row>
    <row r="9820" spans="1:2">
      <c r="A9820" s="136" t="str">
        <f t="shared" si="134"/>
        <v/>
      </c>
      <c r="B9820" s="136" t="str">
        <f t="shared" si="135"/>
        <v/>
      </c>
    </row>
    <row r="9821" spans="1:2">
      <c r="A9821" s="136" t="str">
        <f t="shared" si="134"/>
        <v/>
      </c>
      <c r="B9821" s="136" t="str">
        <f t="shared" si="135"/>
        <v/>
      </c>
    </row>
    <row r="9822" spans="1:2">
      <c r="A9822" s="136" t="str">
        <f t="shared" si="134"/>
        <v/>
      </c>
      <c r="B9822" s="136" t="str">
        <f t="shared" si="135"/>
        <v/>
      </c>
    </row>
    <row r="9823" spans="1:2">
      <c r="A9823" s="136" t="str">
        <f t="shared" si="134"/>
        <v/>
      </c>
      <c r="B9823" s="136" t="str">
        <f t="shared" si="135"/>
        <v/>
      </c>
    </row>
    <row r="9824" spans="1:2">
      <c r="A9824" s="136" t="str">
        <f t="shared" si="134"/>
        <v/>
      </c>
      <c r="B9824" s="136" t="str">
        <f t="shared" si="135"/>
        <v/>
      </c>
    </row>
    <row r="9825" spans="1:2">
      <c r="A9825" s="136" t="str">
        <f t="shared" si="134"/>
        <v/>
      </c>
      <c r="B9825" s="136" t="str">
        <f t="shared" si="135"/>
        <v/>
      </c>
    </row>
    <row r="9826" spans="1:2">
      <c r="A9826" s="136" t="str">
        <f t="shared" si="134"/>
        <v/>
      </c>
      <c r="B9826" s="136" t="str">
        <f t="shared" si="135"/>
        <v/>
      </c>
    </row>
    <row r="9827" spans="1:2">
      <c r="A9827" s="136" t="str">
        <f t="shared" si="134"/>
        <v/>
      </c>
      <c r="B9827" s="136" t="str">
        <f t="shared" si="135"/>
        <v/>
      </c>
    </row>
    <row r="9828" spans="1:2">
      <c r="A9828" s="136" t="str">
        <f t="shared" si="134"/>
        <v/>
      </c>
      <c r="B9828" s="136" t="str">
        <f t="shared" si="135"/>
        <v/>
      </c>
    </row>
    <row r="9829" spans="1:2">
      <c r="A9829" s="136" t="str">
        <f t="shared" si="134"/>
        <v/>
      </c>
      <c r="B9829" s="136" t="str">
        <f t="shared" si="135"/>
        <v/>
      </c>
    </row>
    <row r="9830" spans="1:2">
      <c r="A9830" s="136" t="str">
        <f t="shared" si="134"/>
        <v/>
      </c>
      <c r="B9830" s="136" t="str">
        <f t="shared" si="135"/>
        <v/>
      </c>
    </row>
    <row r="9831" spans="1:2">
      <c r="A9831" s="136" t="str">
        <f t="shared" si="134"/>
        <v/>
      </c>
      <c r="B9831" s="136" t="str">
        <f t="shared" si="135"/>
        <v/>
      </c>
    </row>
    <row r="9832" spans="1:2">
      <c r="A9832" s="136" t="str">
        <f t="shared" si="134"/>
        <v/>
      </c>
      <c r="B9832" s="136" t="str">
        <f t="shared" si="135"/>
        <v/>
      </c>
    </row>
    <row r="9833" spans="1:2">
      <c r="A9833" s="136" t="str">
        <f t="shared" si="134"/>
        <v/>
      </c>
      <c r="B9833" s="136" t="str">
        <f t="shared" si="135"/>
        <v/>
      </c>
    </row>
    <row r="9834" spans="1:2">
      <c r="A9834" s="136" t="str">
        <f t="shared" si="134"/>
        <v/>
      </c>
      <c r="B9834" s="136" t="str">
        <f t="shared" si="135"/>
        <v/>
      </c>
    </row>
    <row r="9835" spans="1:2">
      <c r="A9835" s="136" t="str">
        <f t="shared" si="134"/>
        <v/>
      </c>
      <c r="B9835" s="136" t="str">
        <f t="shared" si="135"/>
        <v/>
      </c>
    </row>
    <row r="9836" spans="1:2">
      <c r="A9836" s="136" t="str">
        <f t="shared" si="134"/>
        <v/>
      </c>
      <c r="B9836" s="136" t="str">
        <f t="shared" si="135"/>
        <v/>
      </c>
    </row>
    <row r="9837" spans="1:2">
      <c r="A9837" s="136" t="str">
        <f t="shared" si="134"/>
        <v/>
      </c>
      <c r="B9837" s="136" t="str">
        <f t="shared" si="135"/>
        <v/>
      </c>
    </row>
    <row r="9838" spans="1:2">
      <c r="A9838" s="136" t="str">
        <f t="shared" si="134"/>
        <v/>
      </c>
      <c r="B9838" s="136" t="str">
        <f t="shared" si="135"/>
        <v/>
      </c>
    </row>
    <row r="9839" spans="1:2">
      <c r="A9839" s="136" t="str">
        <f t="shared" si="134"/>
        <v/>
      </c>
      <c r="B9839" s="136" t="str">
        <f t="shared" si="135"/>
        <v/>
      </c>
    </row>
    <row r="9840" spans="1:2">
      <c r="A9840" s="136" t="str">
        <f t="shared" si="134"/>
        <v/>
      </c>
      <c r="B9840" s="136" t="str">
        <f t="shared" si="135"/>
        <v/>
      </c>
    </row>
    <row r="9841" spans="1:2">
      <c r="A9841" s="136" t="str">
        <f t="shared" si="134"/>
        <v/>
      </c>
      <c r="B9841" s="136" t="str">
        <f t="shared" si="135"/>
        <v/>
      </c>
    </row>
    <row r="9842" spans="1:2">
      <c r="A9842" s="136" t="str">
        <f t="shared" si="134"/>
        <v/>
      </c>
      <c r="B9842" s="136" t="str">
        <f t="shared" si="135"/>
        <v/>
      </c>
    </row>
    <row r="9843" spans="1:2">
      <c r="A9843" s="136" t="str">
        <f t="shared" si="134"/>
        <v/>
      </c>
      <c r="B9843" s="136" t="str">
        <f t="shared" si="135"/>
        <v/>
      </c>
    </row>
    <row r="9844" spans="1:2">
      <c r="A9844" s="136" t="str">
        <f t="shared" si="134"/>
        <v/>
      </c>
      <c r="B9844" s="136" t="str">
        <f t="shared" si="135"/>
        <v/>
      </c>
    </row>
    <row r="9845" spans="1:2">
      <c r="A9845" s="136" t="str">
        <f t="shared" si="134"/>
        <v/>
      </c>
      <c r="B9845" s="136" t="str">
        <f t="shared" si="135"/>
        <v/>
      </c>
    </row>
    <row r="9846" spans="1:2">
      <c r="A9846" s="136" t="str">
        <f t="shared" si="134"/>
        <v/>
      </c>
      <c r="B9846" s="136" t="str">
        <f t="shared" si="135"/>
        <v/>
      </c>
    </row>
    <row r="9847" spans="1:2">
      <c r="A9847" s="136" t="str">
        <f t="shared" si="134"/>
        <v/>
      </c>
      <c r="B9847" s="136" t="str">
        <f t="shared" si="135"/>
        <v/>
      </c>
    </row>
    <row r="9848" spans="1:2">
      <c r="A9848" s="136" t="str">
        <f t="shared" si="134"/>
        <v/>
      </c>
      <c r="B9848" s="136" t="str">
        <f t="shared" si="135"/>
        <v/>
      </c>
    </row>
    <row r="9849" spans="1:2">
      <c r="A9849" s="136" t="str">
        <f t="shared" si="134"/>
        <v/>
      </c>
      <c r="B9849" s="136" t="str">
        <f t="shared" si="135"/>
        <v/>
      </c>
    </row>
    <row r="9850" spans="1:2">
      <c r="A9850" s="136" t="str">
        <f t="shared" si="134"/>
        <v/>
      </c>
      <c r="B9850" s="136" t="str">
        <f t="shared" si="135"/>
        <v/>
      </c>
    </row>
    <row r="9851" spans="1:2">
      <c r="A9851" s="136" t="str">
        <f t="shared" si="134"/>
        <v/>
      </c>
      <c r="B9851" s="136" t="str">
        <f t="shared" si="135"/>
        <v/>
      </c>
    </row>
    <row r="9852" spans="1:2">
      <c r="A9852" s="136" t="str">
        <f t="shared" si="134"/>
        <v/>
      </c>
      <c r="B9852" s="136" t="str">
        <f t="shared" si="135"/>
        <v/>
      </c>
    </row>
    <row r="9853" spans="1:2">
      <c r="A9853" s="136" t="str">
        <f t="shared" si="134"/>
        <v/>
      </c>
      <c r="B9853" s="136" t="str">
        <f t="shared" si="135"/>
        <v/>
      </c>
    </row>
    <row r="9854" spans="1:2">
      <c r="A9854" s="136" t="str">
        <f t="shared" si="134"/>
        <v/>
      </c>
      <c r="B9854" s="136" t="str">
        <f t="shared" si="135"/>
        <v/>
      </c>
    </row>
    <row r="9855" spans="1:2">
      <c r="A9855" s="136" t="str">
        <f t="shared" si="134"/>
        <v/>
      </c>
      <c r="B9855" s="136" t="str">
        <f t="shared" si="135"/>
        <v/>
      </c>
    </row>
    <row r="9856" spans="1:2">
      <c r="A9856" s="136" t="str">
        <f t="shared" si="134"/>
        <v/>
      </c>
      <c r="B9856" s="136" t="str">
        <f t="shared" si="135"/>
        <v/>
      </c>
    </row>
    <row r="9857" spans="1:2">
      <c r="A9857" s="136" t="str">
        <f t="shared" si="134"/>
        <v/>
      </c>
      <c r="B9857" s="136" t="str">
        <f t="shared" si="135"/>
        <v/>
      </c>
    </row>
    <row r="9858" spans="1:2">
      <c r="A9858" s="136" t="str">
        <f t="shared" si="134"/>
        <v/>
      </c>
      <c r="B9858" s="136" t="str">
        <f t="shared" si="135"/>
        <v/>
      </c>
    </row>
    <row r="9859" spans="1:2">
      <c r="A9859" s="136" t="str">
        <f t="shared" si="134"/>
        <v/>
      </c>
      <c r="B9859" s="136" t="str">
        <f t="shared" si="135"/>
        <v/>
      </c>
    </row>
    <row r="9860" spans="1:2">
      <c r="A9860" s="136" t="str">
        <f t="shared" si="134"/>
        <v/>
      </c>
      <c r="B9860" s="136" t="str">
        <f t="shared" si="135"/>
        <v/>
      </c>
    </row>
    <row r="9861" spans="1:2">
      <c r="A9861" s="136" t="str">
        <f t="shared" si="134"/>
        <v/>
      </c>
      <c r="B9861" s="136" t="str">
        <f t="shared" si="135"/>
        <v/>
      </c>
    </row>
    <row r="9862" spans="1:2">
      <c r="A9862" s="136" t="str">
        <f t="shared" si="134"/>
        <v/>
      </c>
      <c r="B9862" s="136" t="str">
        <f t="shared" si="135"/>
        <v/>
      </c>
    </row>
    <row r="9863" spans="1:2">
      <c r="A9863" s="136" t="str">
        <f t="shared" si="134"/>
        <v/>
      </c>
      <c r="B9863" s="136" t="str">
        <f t="shared" si="135"/>
        <v/>
      </c>
    </row>
    <row r="9864" spans="1:2">
      <c r="A9864" s="136" t="str">
        <f t="shared" si="134"/>
        <v/>
      </c>
      <c r="B9864" s="136" t="str">
        <f t="shared" si="135"/>
        <v/>
      </c>
    </row>
    <row r="9865" spans="1:2">
      <c r="A9865" s="136" t="str">
        <f t="shared" si="134"/>
        <v/>
      </c>
      <c r="B9865" s="136" t="str">
        <f t="shared" si="135"/>
        <v/>
      </c>
    </row>
    <row r="9866" spans="1:2">
      <c r="A9866" s="136" t="str">
        <f t="shared" si="134"/>
        <v/>
      </c>
      <c r="B9866" s="136" t="str">
        <f t="shared" si="135"/>
        <v/>
      </c>
    </row>
    <row r="9867" spans="1:2">
      <c r="A9867" s="136" t="str">
        <f t="shared" si="134"/>
        <v/>
      </c>
      <c r="B9867" s="136" t="str">
        <f t="shared" si="135"/>
        <v/>
      </c>
    </row>
    <row r="9868" spans="1:2">
      <c r="A9868" s="136" t="str">
        <f t="shared" ref="A9868:A9931" si="136">HYPERLINK("http://tw.stock.yahoo.com/q/ta?s=","")</f>
        <v/>
      </c>
      <c r="B9868" s="136" t="str">
        <f t="shared" ref="B9868:B9931" si="137">HYPERLINK("http://tw.stock.yahoo.com/d/s/earning_.html","")</f>
        <v/>
      </c>
    </row>
    <row r="9869" spans="1:2">
      <c r="A9869" s="136" t="str">
        <f t="shared" si="136"/>
        <v/>
      </c>
      <c r="B9869" s="136" t="str">
        <f t="shared" si="137"/>
        <v/>
      </c>
    </row>
    <row r="9870" spans="1:2">
      <c r="A9870" s="136" t="str">
        <f t="shared" si="136"/>
        <v/>
      </c>
      <c r="B9870" s="136" t="str">
        <f t="shared" si="137"/>
        <v/>
      </c>
    </row>
    <row r="9871" spans="1:2">
      <c r="A9871" s="136" t="str">
        <f t="shared" si="136"/>
        <v/>
      </c>
      <c r="B9871" s="136" t="str">
        <f t="shared" si="137"/>
        <v/>
      </c>
    </row>
    <row r="9872" spans="1:2">
      <c r="A9872" s="136" t="str">
        <f t="shared" si="136"/>
        <v/>
      </c>
      <c r="B9872" s="136" t="str">
        <f t="shared" si="137"/>
        <v/>
      </c>
    </row>
    <row r="9873" spans="1:2">
      <c r="A9873" s="136" t="str">
        <f t="shared" si="136"/>
        <v/>
      </c>
      <c r="B9873" s="136" t="str">
        <f t="shared" si="137"/>
        <v/>
      </c>
    </row>
    <row r="9874" spans="1:2">
      <c r="A9874" s="136" t="str">
        <f t="shared" si="136"/>
        <v/>
      </c>
      <c r="B9874" s="136" t="str">
        <f t="shared" si="137"/>
        <v/>
      </c>
    </row>
    <row r="9875" spans="1:2">
      <c r="A9875" s="136" t="str">
        <f t="shared" si="136"/>
        <v/>
      </c>
      <c r="B9875" s="136" t="str">
        <f t="shared" si="137"/>
        <v/>
      </c>
    </row>
    <row r="9876" spans="1:2">
      <c r="A9876" s="136" t="str">
        <f t="shared" si="136"/>
        <v/>
      </c>
      <c r="B9876" s="136" t="str">
        <f t="shared" si="137"/>
        <v/>
      </c>
    </row>
    <row r="9877" spans="1:2">
      <c r="A9877" s="136" t="str">
        <f t="shared" si="136"/>
        <v/>
      </c>
      <c r="B9877" s="136" t="str">
        <f t="shared" si="137"/>
        <v/>
      </c>
    </row>
    <row r="9878" spans="1:2">
      <c r="A9878" s="136" t="str">
        <f t="shared" si="136"/>
        <v/>
      </c>
      <c r="B9878" s="136" t="str">
        <f t="shared" si="137"/>
        <v/>
      </c>
    </row>
    <row r="9879" spans="1:2">
      <c r="A9879" s="136" t="str">
        <f t="shared" si="136"/>
        <v/>
      </c>
      <c r="B9879" s="136" t="str">
        <f t="shared" si="137"/>
        <v/>
      </c>
    </row>
    <row r="9880" spans="1:2">
      <c r="A9880" s="136" t="str">
        <f t="shared" si="136"/>
        <v/>
      </c>
      <c r="B9880" s="136" t="str">
        <f t="shared" si="137"/>
        <v/>
      </c>
    </row>
    <row r="9881" spans="1:2">
      <c r="A9881" s="136" t="str">
        <f t="shared" si="136"/>
        <v/>
      </c>
      <c r="B9881" s="136" t="str">
        <f t="shared" si="137"/>
        <v/>
      </c>
    </row>
    <row r="9882" spans="1:2">
      <c r="A9882" s="136" t="str">
        <f t="shared" si="136"/>
        <v/>
      </c>
      <c r="B9882" s="136" t="str">
        <f t="shared" si="137"/>
        <v/>
      </c>
    </row>
    <row r="9883" spans="1:2">
      <c r="A9883" s="136" t="str">
        <f t="shared" si="136"/>
        <v/>
      </c>
      <c r="B9883" s="136" t="str">
        <f t="shared" si="137"/>
        <v/>
      </c>
    </row>
    <row r="9884" spans="1:2">
      <c r="A9884" s="136" t="str">
        <f t="shared" si="136"/>
        <v/>
      </c>
      <c r="B9884" s="136" t="str">
        <f t="shared" si="137"/>
        <v/>
      </c>
    </row>
    <row r="9885" spans="1:2">
      <c r="A9885" s="136" t="str">
        <f t="shared" si="136"/>
        <v/>
      </c>
      <c r="B9885" s="136" t="str">
        <f t="shared" si="137"/>
        <v/>
      </c>
    </row>
    <row r="9886" spans="1:2">
      <c r="A9886" s="136" t="str">
        <f t="shared" si="136"/>
        <v/>
      </c>
      <c r="B9886" s="136" t="str">
        <f t="shared" si="137"/>
        <v/>
      </c>
    </row>
    <row r="9887" spans="1:2">
      <c r="A9887" s="136" t="str">
        <f t="shared" si="136"/>
        <v/>
      </c>
      <c r="B9887" s="136" t="str">
        <f t="shared" si="137"/>
        <v/>
      </c>
    </row>
    <row r="9888" spans="1:2">
      <c r="A9888" s="136" t="str">
        <f t="shared" si="136"/>
        <v/>
      </c>
      <c r="B9888" s="136" t="str">
        <f t="shared" si="137"/>
        <v/>
      </c>
    </row>
    <row r="9889" spans="1:2">
      <c r="A9889" s="136" t="str">
        <f t="shared" si="136"/>
        <v/>
      </c>
      <c r="B9889" s="136" t="str">
        <f t="shared" si="137"/>
        <v/>
      </c>
    </row>
    <row r="9890" spans="1:2">
      <c r="A9890" s="136" t="str">
        <f t="shared" si="136"/>
        <v/>
      </c>
      <c r="B9890" s="136" t="str">
        <f t="shared" si="137"/>
        <v/>
      </c>
    </row>
    <row r="9891" spans="1:2">
      <c r="A9891" s="136" t="str">
        <f t="shared" si="136"/>
        <v/>
      </c>
      <c r="B9891" s="136" t="str">
        <f t="shared" si="137"/>
        <v/>
      </c>
    </row>
    <row r="9892" spans="1:2">
      <c r="A9892" s="136" t="str">
        <f t="shared" si="136"/>
        <v/>
      </c>
      <c r="B9892" s="136" t="str">
        <f t="shared" si="137"/>
        <v/>
      </c>
    </row>
    <row r="9893" spans="1:2">
      <c r="A9893" s="136" t="str">
        <f t="shared" si="136"/>
        <v/>
      </c>
      <c r="B9893" s="136" t="str">
        <f t="shared" si="137"/>
        <v/>
      </c>
    </row>
    <row r="9894" spans="1:2">
      <c r="A9894" s="136" t="str">
        <f t="shared" si="136"/>
        <v/>
      </c>
      <c r="B9894" s="136" t="str">
        <f t="shared" si="137"/>
        <v/>
      </c>
    </row>
    <row r="9895" spans="1:2">
      <c r="A9895" s="136" t="str">
        <f t="shared" si="136"/>
        <v/>
      </c>
      <c r="B9895" s="136" t="str">
        <f t="shared" si="137"/>
        <v/>
      </c>
    </row>
    <row r="9896" spans="1:2">
      <c r="A9896" s="136" t="str">
        <f t="shared" si="136"/>
        <v/>
      </c>
      <c r="B9896" s="136" t="str">
        <f t="shared" si="137"/>
        <v/>
      </c>
    </row>
    <row r="9897" spans="1:2">
      <c r="A9897" s="136" t="str">
        <f t="shared" si="136"/>
        <v/>
      </c>
      <c r="B9897" s="136" t="str">
        <f t="shared" si="137"/>
        <v/>
      </c>
    </row>
    <row r="9898" spans="1:2">
      <c r="A9898" s="136" t="str">
        <f t="shared" si="136"/>
        <v/>
      </c>
      <c r="B9898" s="136" t="str">
        <f t="shared" si="137"/>
        <v/>
      </c>
    </row>
    <row r="9899" spans="1:2">
      <c r="A9899" s="136" t="str">
        <f t="shared" si="136"/>
        <v/>
      </c>
      <c r="B9899" s="136" t="str">
        <f t="shared" si="137"/>
        <v/>
      </c>
    </row>
    <row r="9900" spans="1:2">
      <c r="A9900" s="136" t="str">
        <f t="shared" si="136"/>
        <v/>
      </c>
      <c r="B9900" s="136" t="str">
        <f t="shared" si="137"/>
        <v/>
      </c>
    </row>
    <row r="9901" spans="1:2">
      <c r="A9901" s="136" t="str">
        <f t="shared" si="136"/>
        <v/>
      </c>
      <c r="B9901" s="136" t="str">
        <f t="shared" si="137"/>
        <v/>
      </c>
    </row>
    <row r="9902" spans="1:2">
      <c r="A9902" s="136" t="str">
        <f t="shared" si="136"/>
        <v/>
      </c>
      <c r="B9902" s="136" t="str">
        <f t="shared" si="137"/>
        <v/>
      </c>
    </row>
    <row r="9903" spans="1:2">
      <c r="A9903" s="136" t="str">
        <f t="shared" si="136"/>
        <v/>
      </c>
      <c r="B9903" s="136" t="str">
        <f t="shared" si="137"/>
        <v/>
      </c>
    </row>
    <row r="9904" spans="1:2">
      <c r="A9904" s="136" t="str">
        <f t="shared" si="136"/>
        <v/>
      </c>
      <c r="B9904" s="136" t="str">
        <f t="shared" si="137"/>
        <v/>
      </c>
    </row>
    <row r="9905" spans="1:2">
      <c r="A9905" s="136" t="str">
        <f t="shared" si="136"/>
        <v/>
      </c>
      <c r="B9905" s="136" t="str">
        <f t="shared" si="137"/>
        <v/>
      </c>
    </row>
    <row r="9906" spans="1:2">
      <c r="A9906" s="136" t="str">
        <f t="shared" si="136"/>
        <v/>
      </c>
      <c r="B9906" s="136" t="str">
        <f t="shared" si="137"/>
        <v/>
      </c>
    </row>
    <row r="9907" spans="1:2">
      <c r="A9907" s="136" t="str">
        <f t="shared" si="136"/>
        <v/>
      </c>
      <c r="B9907" s="136" t="str">
        <f t="shared" si="137"/>
        <v/>
      </c>
    </row>
    <row r="9908" spans="1:2">
      <c r="A9908" s="136" t="str">
        <f t="shared" si="136"/>
        <v/>
      </c>
      <c r="B9908" s="136" t="str">
        <f t="shared" si="137"/>
        <v/>
      </c>
    </row>
    <row r="9909" spans="1:2">
      <c r="A9909" s="136" t="str">
        <f t="shared" si="136"/>
        <v/>
      </c>
      <c r="B9909" s="136" t="str">
        <f t="shared" si="137"/>
        <v/>
      </c>
    </row>
    <row r="9910" spans="1:2">
      <c r="A9910" s="136" t="str">
        <f t="shared" si="136"/>
        <v/>
      </c>
      <c r="B9910" s="136" t="str">
        <f t="shared" si="137"/>
        <v/>
      </c>
    </row>
    <row r="9911" spans="1:2">
      <c r="A9911" s="136" t="str">
        <f t="shared" si="136"/>
        <v/>
      </c>
      <c r="B9911" s="136" t="str">
        <f t="shared" si="137"/>
        <v/>
      </c>
    </row>
    <row r="9912" spans="1:2">
      <c r="A9912" s="136" t="str">
        <f t="shared" si="136"/>
        <v/>
      </c>
      <c r="B9912" s="136" t="str">
        <f t="shared" si="137"/>
        <v/>
      </c>
    </row>
    <row r="9913" spans="1:2">
      <c r="A9913" s="136" t="str">
        <f t="shared" si="136"/>
        <v/>
      </c>
      <c r="B9913" s="136" t="str">
        <f t="shared" si="137"/>
        <v/>
      </c>
    </row>
    <row r="9914" spans="1:2">
      <c r="A9914" s="136" t="str">
        <f t="shared" si="136"/>
        <v/>
      </c>
      <c r="B9914" s="136" t="str">
        <f t="shared" si="137"/>
        <v/>
      </c>
    </row>
    <row r="9915" spans="1:2">
      <c r="A9915" s="136" t="str">
        <f t="shared" si="136"/>
        <v/>
      </c>
      <c r="B9915" s="136" t="str">
        <f t="shared" si="137"/>
        <v/>
      </c>
    </row>
    <row r="9916" spans="1:2">
      <c r="A9916" s="136" t="str">
        <f t="shared" si="136"/>
        <v/>
      </c>
      <c r="B9916" s="136" t="str">
        <f t="shared" si="137"/>
        <v/>
      </c>
    </row>
    <row r="9917" spans="1:2">
      <c r="A9917" s="136" t="str">
        <f t="shared" si="136"/>
        <v/>
      </c>
      <c r="B9917" s="136" t="str">
        <f t="shared" si="137"/>
        <v/>
      </c>
    </row>
    <row r="9918" spans="1:2">
      <c r="A9918" s="136" t="str">
        <f t="shared" si="136"/>
        <v/>
      </c>
      <c r="B9918" s="136" t="str">
        <f t="shared" si="137"/>
        <v/>
      </c>
    </row>
    <row r="9919" spans="1:2">
      <c r="A9919" s="136" t="str">
        <f t="shared" si="136"/>
        <v/>
      </c>
      <c r="B9919" s="136" t="str">
        <f t="shared" si="137"/>
        <v/>
      </c>
    </row>
    <row r="9920" spans="1:2">
      <c r="A9920" s="136" t="str">
        <f t="shared" si="136"/>
        <v/>
      </c>
      <c r="B9920" s="136" t="str">
        <f t="shared" si="137"/>
        <v/>
      </c>
    </row>
    <row r="9921" spans="1:2">
      <c r="A9921" s="136" t="str">
        <f t="shared" si="136"/>
        <v/>
      </c>
      <c r="B9921" s="136" t="str">
        <f t="shared" si="137"/>
        <v/>
      </c>
    </row>
    <row r="9922" spans="1:2">
      <c r="A9922" s="136" t="str">
        <f t="shared" si="136"/>
        <v/>
      </c>
      <c r="B9922" s="136" t="str">
        <f t="shared" si="137"/>
        <v/>
      </c>
    </row>
    <row r="9923" spans="1:2">
      <c r="A9923" s="136" t="str">
        <f t="shared" si="136"/>
        <v/>
      </c>
      <c r="B9923" s="136" t="str">
        <f t="shared" si="137"/>
        <v/>
      </c>
    </row>
    <row r="9924" spans="1:2">
      <c r="A9924" s="136" t="str">
        <f t="shared" si="136"/>
        <v/>
      </c>
      <c r="B9924" s="136" t="str">
        <f t="shared" si="137"/>
        <v/>
      </c>
    </row>
    <row r="9925" spans="1:2">
      <c r="A9925" s="136" t="str">
        <f t="shared" si="136"/>
        <v/>
      </c>
      <c r="B9925" s="136" t="str">
        <f t="shared" si="137"/>
        <v/>
      </c>
    </row>
    <row r="9926" spans="1:2">
      <c r="A9926" s="136" t="str">
        <f t="shared" si="136"/>
        <v/>
      </c>
      <c r="B9926" s="136" t="str">
        <f t="shared" si="137"/>
        <v/>
      </c>
    </row>
    <row r="9927" spans="1:2">
      <c r="A9927" s="136" t="str">
        <f t="shared" si="136"/>
        <v/>
      </c>
      <c r="B9927" s="136" t="str">
        <f t="shared" si="137"/>
        <v/>
      </c>
    </row>
    <row r="9928" spans="1:2">
      <c r="A9928" s="136" t="str">
        <f t="shared" si="136"/>
        <v/>
      </c>
      <c r="B9928" s="136" t="str">
        <f t="shared" si="137"/>
        <v/>
      </c>
    </row>
    <row r="9929" spans="1:2">
      <c r="A9929" s="136" t="str">
        <f t="shared" si="136"/>
        <v/>
      </c>
      <c r="B9929" s="136" t="str">
        <f t="shared" si="137"/>
        <v/>
      </c>
    </row>
    <row r="9930" spans="1:2">
      <c r="A9930" s="136" t="str">
        <f t="shared" si="136"/>
        <v/>
      </c>
      <c r="B9930" s="136" t="str">
        <f t="shared" si="137"/>
        <v/>
      </c>
    </row>
    <row r="9931" spans="1:2">
      <c r="A9931" s="136" t="str">
        <f t="shared" si="136"/>
        <v/>
      </c>
      <c r="B9931" s="136" t="str">
        <f t="shared" si="137"/>
        <v/>
      </c>
    </row>
    <row r="9932" spans="1:2">
      <c r="A9932" s="136" t="str">
        <f t="shared" ref="A9932:A9995" si="138">HYPERLINK("http://tw.stock.yahoo.com/q/ta?s=","")</f>
        <v/>
      </c>
      <c r="B9932" s="136" t="str">
        <f t="shared" ref="B9932:B9995" si="139">HYPERLINK("http://tw.stock.yahoo.com/d/s/earning_.html","")</f>
        <v/>
      </c>
    </row>
    <row r="9933" spans="1:2">
      <c r="A9933" s="136" t="str">
        <f t="shared" si="138"/>
        <v/>
      </c>
      <c r="B9933" s="136" t="str">
        <f t="shared" si="139"/>
        <v/>
      </c>
    </row>
    <row r="9934" spans="1:2">
      <c r="A9934" s="136" t="str">
        <f t="shared" si="138"/>
        <v/>
      </c>
      <c r="B9934" s="136" t="str">
        <f t="shared" si="139"/>
        <v/>
      </c>
    </row>
    <row r="9935" spans="1:2">
      <c r="A9935" s="136" t="str">
        <f t="shared" si="138"/>
        <v/>
      </c>
      <c r="B9935" s="136" t="str">
        <f t="shared" si="139"/>
        <v/>
      </c>
    </row>
    <row r="9936" spans="1:2">
      <c r="A9936" s="136" t="str">
        <f t="shared" si="138"/>
        <v/>
      </c>
      <c r="B9936" s="136" t="str">
        <f t="shared" si="139"/>
        <v/>
      </c>
    </row>
    <row r="9937" spans="1:2">
      <c r="A9937" s="136" t="str">
        <f t="shared" si="138"/>
        <v/>
      </c>
      <c r="B9937" s="136" t="str">
        <f t="shared" si="139"/>
        <v/>
      </c>
    </row>
    <row r="9938" spans="1:2">
      <c r="A9938" s="136" t="str">
        <f t="shared" si="138"/>
        <v/>
      </c>
      <c r="B9938" s="136" t="str">
        <f t="shared" si="139"/>
        <v/>
      </c>
    </row>
    <row r="9939" spans="1:2">
      <c r="A9939" s="136" t="str">
        <f t="shared" si="138"/>
        <v/>
      </c>
      <c r="B9939" s="136" t="str">
        <f t="shared" si="139"/>
        <v/>
      </c>
    </row>
    <row r="9940" spans="1:2">
      <c r="A9940" s="136" t="str">
        <f t="shared" si="138"/>
        <v/>
      </c>
      <c r="B9940" s="136" t="str">
        <f t="shared" si="139"/>
        <v/>
      </c>
    </row>
    <row r="9941" spans="1:2">
      <c r="A9941" s="136" t="str">
        <f t="shared" si="138"/>
        <v/>
      </c>
      <c r="B9941" s="136" t="str">
        <f t="shared" si="139"/>
        <v/>
      </c>
    </row>
    <row r="9942" spans="1:2">
      <c r="A9942" s="136" t="str">
        <f t="shared" si="138"/>
        <v/>
      </c>
      <c r="B9942" s="136" t="str">
        <f t="shared" si="139"/>
        <v/>
      </c>
    </row>
    <row r="9943" spans="1:2">
      <c r="A9943" s="136" t="str">
        <f t="shared" si="138"/>
        <v/>
      </c>
      <c r="B9943" s="136" t="str">
        <f t="shared" si="139"/>
        <v/>
      </c>
    </row>
    <row r="9944" spans="1:2">
      <c r="A9944" s="136" t="str">
        <f t="shared" si="138"/>
        <v/>
      </c>
      <c r="B9944" s="136" t="str">
        <f t="shared" si="139"/>
        <v/>
      </c>
    </row>
    <row r="9945" spans="1:2">
      <c r="A9945" s="136" t="str">
        <f t="shared" si="138"/>
        <v/>
      </c>
      <c r="B9945" s="136" t="str">
        <f t="shared" si="139"/>
        <v/>
      </c>
    </row>
    <row r="9946" spans="1:2">
      <c r="A9946" s="136" t="str">
        <f t="shared" si="138"/>
        <v/>
      </c>
      <c r="B9946" s="136" t="str">
        <f t="shared" si="139"/>
        <v/>
      </c>
    </row>
    <row r="9947" spans="1:2">
      <c r="A9947" s="136" t="str">
        <f t="shared" si="138"/>
        <v/>
      </c>
      <c r="B9947" s="136" t="str">
        <f t="shared" si="139"/>
        <v/>
      </c>
    </row>
    <row r="9948" spans="1:2">
      <c r="A9948" s="136" t="str">
        <f t="shared" si="138"/>
        <v/>
      </c>
      <c r="B9948" s="136" t="str">
        <f t="shared" si="139"/>
        <v/>
      </c>
    </row>
    <row r="9949" spans="1:2">
      <c r="A9949" s="136" t="str">
        <f t="shared" si="138"/>
        <v/>
      </c>
      <c r="B9949" s="136" t="str">
        <f t="shared" si="139"/>
        <v/>
      </c>
    </row>
    <row r="9950" spans="1:2">
      <c r="A9950" s="136" t="str">
        <f t="shared" si="138"/>
        <v/>
      </c>
      <c r="B9950" s="136" t="str">
        <f t="shared" si="139"/>
        <v/>
      </c>
    </row>
    <row r="9951" spans="1:2">
      <c r="A9951" s="136" t="str">
        <f t="shared" si="138"/>
        <v/>
      </c>
      <c r="B9951" s="136" t="str">
        <f t="shared" si="139"/>
        <v/>
      </c>
    </row>
    <row r="9952" spans="1:2">
      <c r="A9952" s="136" t="str">
        <f t="shared" si="138"/>
        <v/>
      </c>
      <c r="B9952" s="136" t="str">
        <f t="shared" si="139"/>
        <v/>
      </c>
    </row>
    <row r="9953" spans="1:2">
      <c r="A9953" s="136" t="str">
        <f t="shared" si="138"/>
        <v/>
      </c>
      <c r="B9953" s="136" t="str">
        <f t="shared" si="139"/>
        <v/>
      </c>
    </row>
    <row r="9954" spans="1:2">
      <c r="A9954" s="136" t="str">
        <f t="shared" si="138"/>
        <v/>
      </c>
      <c r="B9954" s="136" t="str">
        <f t="shared" si="139"/>
        <v/>
      </c>
    </row>
    <row r="9955" spans="1:2">
      <c r="A9955" s="136" t="str">
        <f t="shared" si="138"/>
        <v/>
      </c>
      <c r="B9955" s="136" t="str">
        <f t="shared" si="139"/>
        <v/>
      </c>
    </row>
    <row r="9956" spans="1:2">
      <c r="A9956" s="136" t="str">
        <f t="shared" si="138"/>
        <v/>
      </c>
      <c r="B9956" s="136" t="str">
        <f t="shared" si="139"/>
        <v/>
      </c>
    </row>
    <row r="9957" spans="1:2">
      <c r="A9957" s="136" t="str">
        <f t="shared" si="138"/>
        <v/>
      </c>
      <c r="B9957" s="136" t="str">
        <f t="shared" si="139"/>
        <v/>
      </c>
    </row>
    <row r="9958" spans="1:2">
      <c r="A9958" s="136" t="str">
        <f t="shared" si="138"/>
        <v/>
      </c>
      <c r="B9958" s="136" t="str">
        <f t="shared" si="139"/>
        <v/>
      </c>
    </row>
    <row r="9959" spans="1:2">
      <c r="A9959" s="136" t="str">
        <f t="shared" si="138"/>
        <v/>
      </c>
      <c r="B9959" s="136" t="str">
        <f t="shared" si="139"/>
        <v/>
      </c>
    </row>
    <row r="9960" spans="1:2">
      <c r="A9960" s="136" t="str">
        <f t="shared" si="138"/>
        <v/>
      </c>
      <c r="B9960" s="136" t="str">
        <f t="shared" si="139"/>
        <v/>
      </c>
    </row>
    <row r="9961" spans="1:2">
      <c r="A9961" s="136" t="str">
        <f t="shared" si="138"/>
        <v/>
      </c>
      <c r="B9961" s="136" t="str">
        <f t="shared" si="139"/>
        <v/>
      </c>
    </row>
    <row r="9962" spans="1:2">
      <c r="A9962" s="136" t="str">
        <f t="shared" si="138"/>
        <v/>
      </c>
      <c r="B9962" s="136" t="str">
        <f t="shared" si="139"/>
        <v/>
      </c>
    </row>
    <row r="9963" spans="1:2">
      <c r="A9963" s="136" t="str">
        <f t="shared" si="138"/>
        <v/>
      </c>
      <c r="B9963" s="136" t="str">
        <f t="shared" si="139"/>
        <v/>
      </c>
    </row>
    <row r="9964" spans="1:2">
      <c r="A9964" s="136" t="str">
        <f t="shared" si="138"/>
        <v/>
      </c>
      <c r="B9964" s="136" t="str">
        <f t="shared" si="139"/>
        <v/>
      </c>
    </row>
    <row r="9965" spans="1:2">
      <c r="A9965" s="136" t="str">
        <f t="shared" si="138"/>
        <v/>
      </c>
      <c r="B9965" s="136" t="str">
        <f t="shared" si="139"/>
        <v/>
      </c>
    </row>
    <row r="9966" spans="1:2">
      <c r="A9966" s="136" t="str">
        <f t="shared" si="138"/>
        <v/>
      </c>
      <c r="B9966" s="136" t="str">
        <f t="shared" si="139"/>
        <v/>
      </c>
    </row>
    <row r="9967" spans="1:2">
      <c r="A9967" s="136" t="str">
        <f t="shared" si="138"/>
        <v/>
      </c>
      <c r="B9967" s="136" t="str">
        <f t="shared" si="139"/>
        <v/>
      </c>
    </row>
    <row r="9968" spans="1:2">
      <c r="A9968" s="136" t="str">
        <f t="shared" si="138"/>
        <v/>
      </c>
      <c r="B9968" s="136" t="str">
        <f t="shared" si="139"/>
        <v/>
      </c>
    </row>
    <row r="9969" spans="1:2">
      <c r="A9969" s="136" t="str">
        <f t="shared" si="138"/>
        <v/>
      </c>
      <c r="B9969" s="136" t="str">
        <f t="shared" si="139"/>
        <v/>
      </c>
    </row>
    <row r="9970" spans="1:2">
      <c r="A9970" s="136" t="str">
        <f t="shared" si="138"/>
        <v/>
      </c>
      <c r="B9970" s="136" t="str">
        <f t="shared" si="139"/>
        <v/>
      </c>
    </row>
    <row r="9971" spans="1:2">
      <c r="A9971" s="136" t="str">
        <f t="shared" si="138"/>
        <v/>
      </c>
      <c r="B9971" s="136" t="str">
        <f t="shared" si="139"/>
        <v/>
      </c>
    </row>
    <row r="9972" spans="1:2">
      <c r="A9972" s="136" t="str">
        <f t="shared" si="138"/>
        <v/>
      </c>
      <c r="B9972" s="136" t="str">
        <f t="shared" si="139"/>
        <v/>
      </c>
    </row>
    <row r="9973" spans="1:2">
      <c r="A9973" s="136" t="str">
        <f t="shared" si="138"/>
        <v/>
      </c>
      <c r="B9973" s="136" t="str">
        <f t="shared" si="139"/>
        <v/>
      </c>
    </row>
    <row r="9974" spans="1:2">
      <c r="A9974" s="136" t="str">
        <f t="shared" si="138"/>
        <v/>
      </c>
      <c r="B9974" s="136" t="str">
        <f t="shared" si="139"/>
        <v/>
      </c>
    </row>
    <row r="9975" spans="1:2">
      <c r="A9975" s="136" t="str">
        <f t="shared" si="138"/>
        <v/>
      </c>
      <c r="B9975" s="136" t="str">
        <f t="shared" si="139"/>
        <v/>
      </c>
    </row>
    <row r="9976" spans="1:2">
      <c r="A9976" s="136" t="str">
        <f t="shared" si="138"/>
        <v/>
      </c>
      <c r="B9976" s="136" t="str">
        <f t="shared" si="139"/>
        <v/>
      </c>
    </row>
    <row r="9977" spans="1:2">
      <c r="A9977" s="136" t="str">
        <f t="shared" si="138"/>
        <v/>
      </c>
      <c r="B9977" s="136" t="str">
        <f t="shared" si="139"/>
        <v/>
      </c>
    </row>
    <row r="9978" spans="1:2">
      <c r="A9978" s="136" t="str">
        <f t="shared" si="138"/>
        <v/>
      </c>
      <c r="B9978" s="136" t="str">
        <f t="shared" si="139"/>
        <v/>
      </c>
    </row>
    <row r="9979" spans="1:2">
      <c r="A9979" s="136" t="str">
        <f t="shared" si="138"/>
        <v/>
      </c>
      <c r="B9979" s="136" t="str">
        <f t="shared" si="139"/>
        <v/>
      </c>
    </row>
    <row r="9980" spans="1:2">
      <c r="A9980" s="136" t="str">
        <f t="shared" si="138"/>
        <v/>
      </c>
      <c r="B9980" s="136" t="str">
        <f t="shared" si="139"/>
        <v/>
      </c>
    </row>
    <row r="9981" spans="1:2">
      <c r="A9981" s="136" t="str">
        <f t="shared" si="138"/>
        <v/>
      </c>
      <c r="B9981" s="136" t="str">
        <f t="shared" si="139"/>
        <v/>
      </c>
    </row>
    <row r="9982" spans="1:2">
      <c r="A9982" s="136" t="str">
        <f t="shared" si="138"/>
        <v/>
      </c>
      <c r="B9982" s="136" t="str">
        <f t="shared" si="139"/>
        <v/>
      </c>
    </row>
    <row r="9983" spans="1:2">
      <c r="A9983" s="136" t="str">
        <f t="shared" si="138"/>
        <v/>
      </c>
      <c r="B9983" s="136" t="str">
        <f t="shared" si="139"/>
        <v/>
      </c>
    </row>
    <row r="9984" spans="1:2">
      <c r="A9984" s="136" t="str">
        <f t="shared" si="138"/>
        <v/>
      </c>
      <c r="B9984" s="136" t="str">
        <f t="shared" si="139"/>
        <v/>
      </c>
    </row>
    <row r="9985" spans="1:2">
      <c r="A9985" s="136" t="str">
        <f t="shared" si="138"/>
        <v/>
      </c>
      <c r="B9985" s="136" t="str">
        <f t="shared" si="139"/>
        <v/>
      </c>
    </row>
    <row r="9986" spans="1:2">
      <c r="A9986" s="136" t="str">
        <f t="shared" si="138"/>
        <v/>
      </c>
      <c r="B9986" s="136" t="str">
        <f t="shared" si="139"/>
        <v/>
      </c>
    </row>
    <row r="9987" spans="1:2">
      <c r="A9987" s="136" t="str">
        <f t="shared" si="138"/>
        <v/>
      </c>
      <c r="B9987" s="136" t="str">
        <f t="shared" si="139"/>
        <v/>
      </c>
    </row>
    <row r="9988" spans="1:2">
      <c r="A9988" s="136" t="str">
        <f t="shared" si="138"/>
        <v/>
      </c>
      <c r="B9988" s="136" t="str">
        <f t="shared" si="139"/>
        <v/>
      </c>
    </row>
    <row r="9989" spans="1:2">
      <c r="A9989" s="136" t="str">
        <f t="shared" si="138"/>
        <v/>
      </c>
      <c r="B9989" s="136" t="str">
        <f t="shared" si="139"/>
        <v/>
      </c>
    </row>
    <row r="9990" spans="1:2">
      <c r="A9990" s="136" t="str">
        <f t="shared" si="138"/>
        <v/>
      </c>
      <c r="B9990" s="136" t="str">
        <f t="shared" si="139"/>
        <v/>
      </c>
    </row>
    <row r="9991" spans="1:2">
      <c r="A9991" s="136" t="str">
        <f t="shared" si="138"/>
        <v/>
      </c>
      <c r="B9991" s="136" t="str">
        <f t="shared" si="139"/>
        <v/>
      </c>
    </row>
    <row r="9992" spans="1:2">
      <c r="A9992" s="136" t="str">
        <f t="shared" si="138"/>
        <v/>
      </c>
      <c r="B9992" s="136" t="str">
        <f t="shared" si="139"/>
        <v/>
      </c>
    </row>
    <row r="9993" spans="1:2">
      <c r="A9993" s="136" t="str">
        <f t="shared" si="138"/>
        <v/>
      </c>
      <c r="B9993" s="136" t="str">
        <f t="shared" si="139"/>
        <v/>
      </c>
    </row>
    <row r="9994" spans="1:2">
      <c r="A9994" s="136" t="str">
        <f t="shared" si="138"/>
        <v/>
      </c>
      <c r="B9994" s="136" t="str">
        <f t="shared" si="139"/>
        <v/>
      </c>
    </row>
    <row r="9995" spans="1:2">
      <c r="A9995" s="136" t="str">
        <f t="shared" si="138"/>
        <v/>
      </c>
      <c r="B9995" s="136" t="str">
        <f t="shared" si="139"/>
        <v/>
      </c>
    </row>
    <row r="9996" spans="1:2">
      <c r="A9996" s="136" t="str">
        <f t="shared" ref="A9996:A10059" si="140">HYPERLINK("http://tw.stock.yahoo.com/q/ta?s=","")</f>
        <v/>
      </c>
      <c r="B9996" s="136" t="str">
        <f t="shared" ref="B9996:B10059" si="141">HYPERLINK("http://tw.stock.yahoo.com/d/s/earning_.html","")</f>
        <v/>
      </c>
    </row>
    <row r="9997" spans="1:2">
      <c r="A9997" s="136" t="str">
        <f t="shared" si="140"/>
        <v/>
      </c>
      <c r="B9997" s="136" t="str">
        <f t="shared" si="141"/>
        <v/>
      </c>
    </row>
    <row r="9998" spans="1:2">
      <c r="A9998" s="136" t="str">
        <f t="shared" si="140"/>
        <v/>
      </c>
      <c r="B9998" s="136" t="str">
        <f t="shared" si="141"/>
        <v/>
      </c>
    </row>
    <row r="9999" spans="1:2">
      <c r="A9999" s="136" t="str">
        <f t="shared" si="140"/>
        <v/>
      </c>
      <c r="B9999" s="136" t="str">
        <f t="shared" si="141"/>
        <v/>
      </c>
    </row>
    <row r="10000" spans="1:2">
      <c r="A10000" s="136" t="str">
        <f t="shared" si="140"/>
        <v/>
      </c>
      <c r="B10000" s="136" t="str">
        <f t="shared" si="141"/>
        <v/>
      </c>
    </row>
    <row r="10001" spans="1:2">
      <c r="A10001" s="136" t="str">
        <f t="shared" si="140"/>
        <v/>
      </c>
      <c r="B10001" s="136" t="str">
        <f t="shared" si="141"/>
        <v/>
      </c>
    </row>
    <row r="10002" spans="1:2">
      <c r="A10002" s="136" t="str">
        <f t="shared" si="140"/>
        <v/>
      </c>
      <c r="B10002" s="136" t="str">
        <f t="shared" si="141"/>
        <v/>
      </c>
    </row>
    <row r="10003" spans="1:2">
      <c r="A10003" s="136" t="str">
        <f t="shared" si="140"/>
        <v/>
      </c>
      <c r="B10003" s="136" t="str">
        <f t="shared" si="141"/>
        <v/>
      </c>
    </row>
    <row r="10004" spans="1:2">
      <c r="A10004" s="136" t="str">
        <f t="shared" si="140"/>
        <v/>
      </c>
      <c r="B10004" s="136" t="str">
        <f t="shared" si="141"/>
        <v/>
      </c>
    </row>
    <row r="10005" spans="1:2">
      <c r="A10005" s="136" t="str">
        <f t="shared" si="140"/>
        <v/>
      </c>
      <c r="B10005" s="136" t="str">
        <f t="shared" si="141"/>
        <v/>
      </c>
    </row>
    <row r="10006" spans="1:2">
      <c r="A10006" s="136" t="str">
        <f t="shared" si="140"/>
        <v/>
      </c>
      <c r="B10006" s="136" t="str">
        <f t="shared" si="141"/>
        <v/>
      </c>
    </row>
    <row r="10007" spans="1:2">
      <c r="A10007" s="136" t="str">
        <f t="shared" si="140"/>
        <v/>
      </c>
      <c r="B10007" s="136" t="str">
        <f t="shared" si="141"/>
        <v/>
      </c>
    </row>
    <row r="10008" spans="1:2">
      <c r="A10008" s="136" t="str">
        <f t="shared" si="140"/>
        <v/>
      </c>
      <c r="B10008" s="136" t="str">
        <f t="shared" si="141"/>
        <v/>
      </c>
    </row>
    <row r="10009" spans="1:2">
      <c r="A10009" s="136" t="str">
        <f t="shared" si="140"/>
        <v/>
      </c>
      <c r="B10009" s="136" t="str">
        <f t="shared" si="141"/>
        <v/>
      </c>
    </row>
    <row r="10010" spans="1:2">
      <c r="A10010" s="136" t="str">
        <f t="shared" si="140"/>
        <v/>
      </c>
      <c r="B10010" s="136" t="str">
        <f t="shared" si="141"/>
        <v/>
      </c>
    </row>
    <row r="10011" spans="1:2">
      <c r="A10011" s="136" t="str">
        <f t="shared" si="140"/>
        <v/>
      </c>
      <c r="B10011" s="136" t="str">
        <f t="shared" si="141"/>
        <v/>
      </c>
    </row>
    <row r="10012" spans="1:2">
      <c r="A10012" s="136" t="str">
        <f t="shared" si="140"/>
        <v/>
      </c>
      <c r="B10012" s="136" t="str">
        <f t="shared" si="141"/>
        <v/>
      </c>
    </row>
    <row r="10013" spans="1:2">
      <c r="A10013" s="136" t="str">
        <f t="shared" si="140"/>
        <v/>
      </c>
      <c r="B10013" s="136" t="str">
        <f t="shared" si="141"/>
        <v/>
      </c>
    </row>
    <row r="10014" spans="1:2">
      <c r="A10014" s="136" t="str">
        <f t="shared" si="140"/>
        <v/>
      </c>
      <c r="B10014" s="136" t="str">
        <f t="shared" si="141"/>
        <v/>
      </c>
    </row>
    <row r="10015" spans="1:2">
      <c r="A10015" s="136" t="str">
        <f t="shared" si="140"/>
        <v/>
      </c>
      <c r="B10015" s="136" t="str">
        <f t="shared" si="141"/>
        <v/>
      </c>
    </row>
    <row r="10016" spans="1:2">
      <c r="A10016" s="136" t="str">
        <f t="shared" si="140"/>
        <v/>
      </c>
      <c r="B10016" s="136" t="str">
        <f t="shared" si="141"/>
        <v/>
      </c>
    </row>
    <row r="10017" spans="1:2">
      <c r="A10017" s="136" t="str">
        <f t="shared" si="140"/>
        <v/>
      </c>
      <c r="B10017" s="136" t="str">
        <f t="shared" si="141"/>
        <v/>
      </c>
    </row>
    <row r="10018" spans="1:2">
      <c r="A10018" s="136" t="str">
        <f t="shared" si="140"/>
        <v/>
      </c>
      <c r="B10018" s="136" t="str">
        <f t="shared" si="141"/>
        <v/>
      </c>
    </row>
    <row r="10019" spans="1:2">
      <c r="A10019" s="136" t="str">
        <f t="shared" si="140"/>
        <v/>
      </c>
      <c r="B10019" s="136" t="str">
        <f t="shared" si="141"/>
        <v/>
      </c>
    </row>
    <row r="10020" spans="1:2">
      <c r="A10020" s="136" t="str">
        <f t="shared" si="140"/>
        <v/>
      </c>
      <c r="B10020" s="136" t="str">
        <f t="shared" si="141"/>
        <v/>
      </c>
    </row>
    <row r="10021" spans="1:2">
      <c r="A10021" s="136" t="str">
        <f t="shared" si="140"/>
        <v/>
      </c>
      <c r="B10021" s="136" t="str">
        <f t="shared" si="141"/>
        <v/>
      </c>
    </row>
    <row r="10022" spans="1:2">
      <c r="A10022" s="136" t="str">
        <f t="shared" si="140"/>
        <v/>
      </c>
      <c r="B10022" s="136" t="str">
        <f t="shared" si="141"/>
        <v/>
      </c>
    </row>
    <row r="10023" spans="1:2">
      <c r="A10023" s="136" t="str">
        <f t="shared" si="140"/>
        <v/>
      </c>
      <c r="B10023" s="136" t="str">
        <f t="shared" si="141"/>
        <v/>
      </c>
    </row>
    <row r="10024" spans="1:2">
      <c r="A10024" s="136" t="str">
        <f t="shared" si="140"/>
        <v/>
      </c>
      <c r="B10024" s="136" t="str">
        <f t="shared" si="141"/>
        <v/>
      </c>
    </row>
    <row r="10025" spans="1:2">
      <c r="A10025" s="136" t="str">
        <f t="shared" si="140"/>
        <v/>
      </c>
      <c r="B10025" s="136" t="str">
        <f t="shared" si="141"/>
        <v/>
      </c>
    </row>
    <row r="10026" spans="1:2">
      <c r="A10026" s="136" t="str">
        <f t="shared" si="140"/>
        <v/>
      </c>
      <c r="B10026" s="136" t="str">
        <f t="shared" si="141"/>
        <v/>
      </c>
    </row>
    <row r="10027" spans="1:2">
      <c r="A10027" s="136" t="str">
        <f t="shared" si="140"/>
        <v/>
      </c>
      <c r="B10027" s="136" t="str">
        <f t="shared" si="141"/>
        <v/>
      </c>
    </row>
    <row r="10028" spans="1:2">
      <c r="A10028" s="136" t="str">
        <f t="shared" si="140"/>
        <v/>
      </c>
      <c r="B10028" s="136" t="str">
        <f t="shared" si="141"/>
        <v/>
      </c>
    </row>
    <row r="10029" spans="1:2">
      <c r="A10029" s="136" t="str">
        <f t="shared" si="140"/>
        <v/>
      </c>
      <c r="B10029" s="136" t="str">
        <f t="shared" si="141"/>
        <v/>
      </c>
    </row>
    <row r="10030" spans="1:2">
      <c r="A10030" s="136" t="str">
        <f t="shared" si="140"/>
        <v/>
      </c>
      <c r="B10030" s="136" t="str">
        <f t="shared" si="141"/>
        <v/>
      </c>
    </row>
    <row r="10031" spans="1:2">
      <c r="A10031" s="136" t="str">
        <f t="shared" si="140"/>
        <v/>
      </c>
      <c r="B10031" s="136" t="str">
        <f t="shared" si="141"/>
        <v/>
      </c>
    </row>
    <row r="10032" spans="1:2">
      <c r="A10032" s="136" t="str">
        <f t="shared" si="140"/>
        <v/>
      </c>
      <c r="B10032" s="136" t="str">
        <f t="shared" si="141"/>
        <v/>
      </c>
    </row>
    <row r="10033" spans="1:2">
      <c r="A10033" s="136" t="str">
        <f t="shared" si="140"/>
        <v/>
      </c>
      <c r="B10033" s="136" t="str">
        <f t="shared" si="141"/>
        <v/>
      </c>
    </row>
    <row r="10034" spans="1:2">
      <c r="A10034" s="136" t="str">
        <f t="shared" si="140"/>
        <v/>
      </c>
      <c r="B10034" s="136" t="str">
        <f t="shared" si="141"/>
        <v/>
      </c>
    </row>
    <row r="10035" spans="1:2">
      <c r="A10035" s="136" t="str">
        <f t="shared" si="140"/>
        <v/>
      </c>
      <c r="B10035" s="136" t="str">
        <f t="shared" si="141"/>
        <v/>
      </c>
    </row>
    <row r="10036" spans="1:2">
      <c r="A10036" s="136" t="str">
        <f t="shared" si="140"/>
        <v/>
      </c>
      <c r="B10036" s="136" t="str">
        <f t="shared" si="141"/>
        <v/>
      </c>
    </row>
    <row r="10037" spans="1:2">
      <c r="A10037" s="136" t="str">
        <f t="shared" si="140"/>
        <v/>
      </c>
      <c r="B10037" s="136" t="str">
        <f t="shared" si="141"/>
        <v/>
      </c>
    </row>
    <row r="10038" spans="1:2">
      <c r="A10038" s="136" t="str">
        <f t="shared" si="140"/>
        <v/>
      </c>
      <c r="B10038" s="136" t="str">
        <f t="shared" si="141"/>
        <v/>
      </c>
    </row>
    <row r="10039" spans="1:2">
      <c r="A10039" s="136" t="str">
        <f t="shared" si="140"/>
        <v/>
      </c>
      <c r="B10039" s="136" t="str">
        <f t="shared" si="141"/>
        <v/>
      </c>
    </row>
    <row r="10040" spans="1:2">
      <c r="A10040" s="136" t="str">
        <f t="shared" si="140"/>
        <v/>
      </c>
      <c r="B10040" s="136" t="str">
        <f t="shared" si="141"/>
        <v/>
      </c>
    </row>
    <row r="10041" spans="1:2">
      <c r="A10041" s="136" t="str">
        <f t="shared" si="140"/>
        <v/>
      </c>
      <c r="B10041" s="136" t="str">
        <f t="shared" si="141"/>
        <v/>
      </c>
    </row>
    <row r="10042" spans="1:2">
      <c r="A10042" s="136" t="str">
        <f t="shared" si="140"/>
        <v/>
      </c>
      <c r="B10042" s="136" t="str">
        <f t="shared" si="141"/>
        <v/>
      </c>
    </row>
    <row r="10043" spans="1:2">
      <c r="A10043" s="136" t="str">
        <f t="shared" si="140"/>
        <v/>
      </c>
      <c r="B10043" s="136" t="str">
        <f t="shared" si="141"/>
        <v/>
      </c>
    </row>
    <row r="10044" spans="1:2">
      <c r="A10044" s="136" t="str">
        <f t="shared" si="140"/>
        <v/>
      </c>
      <c r="B10044" s="136" t="str">
        <f t="shared" si="141"/>
        <v/>
      </c>
    </row>
    <row r="10045" spans="1:2">
      <c r="A10045" s="136" t="str">
        <f t="shared" si="140"/>
        <v/>
      </c>
      <c r="B10045" s="136" t="str">
        <f t="shared" si="141"/>
        <v/>
      </c>
    </row>
    <row r="10046" spans="1:2">
      <c r="A10046" s="136" t="str">
        <f t="shared" si="140"/>
        <v/>
      </c>
      <c r="B10046" s="136" t="str">
        <f t="shared" si="141"/>
        <v/>
      </c>
    </row>
    <row r="10047" spans="1:2">
      <c r="A10047" s="136" t="str">
        <f t="shared" si="140"/>
        <v/>
      </c>
      <c r="B10047" s="136" t="str">
        <f t="shared" si="141"/>
        <v/>
      </c>
    </row>
    <row r="10048" spans="1:2">
      <c r="A10048" s="136" t="str">
        <f t="shared" si="140"/>
        <v/>
      </c>
      <c r="B10048" s="136" t="str">
        <f t="shared" si="141"/>
        <v/>
      </c>
    </row>
    <row r="10049" spans="1:2">
      <c r="A10049" s="136" t="str">
        <f t="shared" si="140"/>
        <v/>
      </c>
      <c r="B10049" s="136" t="str">
        <f t="shared" si="141"/>
        <v/>
      </c>
    </row>
    <row r="10050" spans="1:2">
      <c r="A10050" s="136" t="str">
        <f t="shared" si="140"/>
        <v/>
      </c>
      <c r="B10050" s="136" t="str">
        <f t="shared" si="141"/>
        <v/>
      </c>
    </row>
    <row r="10051" spans="1:2">
      <c r="A10051" s="136" t="str">
        <f t="shared" si="140"/>
        <v/>
      </c>
      <c r="B10051" s="136" t="str">
        <f t="shared" si="141"/>
        <v/>
      </c>
    </row>
    <row r="10052" spans="1:2">
      <c r="A10052" s="136" t="str">
        <f t="shared" si="140"/>
        <v/>
      </c>
      <c r="B10052" s="136" t="str">
        <f t="shared" si="141"/>
        <v/>
      </c>
    </row>
    <row r="10053" spans="1:2">
      <c r="A10053" s="136" t="str">
        <f t="shared" si="140"/>
        <v/>
      </c>
      <c r="B10053" s="136" t="str">
        <f t="shared" si="141"/>
        <v/>
      </c>
    </row>
    <row r="10054" spans="1:2">
      <c r="A10054" s="136" t="str">
        <f t="shared" si="140"/>
        <v/>
      </c>
      <c r="B10054" s="136" t="str">
        <f t="shared" si="141"/>
        <v/>
      </c>
    </row>
    <row r="10055" spans="1:2">
      <c r="A10055" s="136" t="str">
        <f t="shared" si="140"/>
        <v/>
      </c>
      <c r="B10055" s="136" t="str">
        <f t="shared" si="141"/>
        <v/>
      </c>
    </row>
    <row r="10056" spans="1:2">
      <c r="A10056" s="136" t="str">
        <f t="shared" si="140"/>
        <v/>
      </c>
      <c r="B10056" s="136" t="str">
        <f t="shared" si="141"/>
        <v/>
      </c>
    </row>
    <row r="10057" spans="1:2">
      <c r="A10057" s="136" t="str">
        <f t="shared" si="140"/>
        <v/>
      </c>
      <c r="B10057" s="136" t="str">
        <f t="shared" si="141"/>
        <v/>
      </c>
    </row>
    <row r="10058" spans="1:2">
      <c r="A10058" s="136" t="str">
        <f t="shared" si="140"/>
        <v/>
      </c>
      <c r="B10058" s="136" t="str">
        <f t="shared" si="141"/>
        <v/>
      </c>
    </row>
    <row r="10059" spans="1:2">
      <c r="A10059" s="136" t="str">
        <f t="shared" si="140"/>
        <v/>
      </c>
      <c r="B10059" s="136" t="str">
        <f t="shared" si="141"/>
        <v/>
      </c>
    </row>
    <row r="10060" spans="1:2">
      <c r="A10060" s="136" t="str">
        <f t="shared" ref="A10060:A10123" si="142">HYPERLINK("http://tw.stock.yahoo.com/q/ta?s=","")</f>
        <v/>
      </c>
      <c r="B10060" s="136" t="str">
        <f t="shared" ref="B10060:B10123" si="143">HYPERLINK("http://tw.stock.yahoo.com/d/s/earning_.html","")</f>
        <v/>
      </c>
    </row>
    <row r="10061" spans="1:2">
      <c r="A10061" s="136" t="str">
        <f t="shared" si="142"/>
        <v/>
      </c>
      <c r="B10061" s="136" t="str">
        <f t="shared" si="143"/>
        <v/>
      </c>
    </row>
    <row r="10062" spans="1:2">
      <c r="A10062" s="136" t="str">
        <f t="shared" si="142"/>
        <v/>
      </c>
      <c r="B10062" s="136" t="str">
        <f t="shared" si="143"/>
        <v/>
      </c>
    </row>
    <row r="10063" spans="1:2">
      <c r="A10063" s="136" t="str">
        <f t="shared" si="142"/>
        <v/>
      </c>
      <c r="B10063" s="136" t="str">
        <f t="shared" si="143"/>
        <v/>
      </c>
    </row>
    <row r="10064" spans="1:2">
      <c r="A10064" s="136" t="str">
        <f t="shared" si="142"/>
        <v/>
      </c>
      <c r="B10064" s="136" t="str">
        <f t="shared" si="143"/>
        <v/>
      </c>
    </row>
    <row r="10065" spans="1:2">
      <c r="A10065" s="136" t="str">
        <f t="shared" si="142"/>
        <v/>
      </c>
      <c r="B10065" s="136" t="str">
        <f t="shared" si="143"/>
        <v/>
      </c>
    </row>
    <row r="10066" spans="1:2">
      <c r="A10066" s="136" t="str">
        <f t="shared" si="142"/>
        <v/>
      </c>
      <c r="B10066" s="136" t="str">
        <f t="shared" si="143"/>
        <v/>
      </c>
    </row>
    <row r="10067" spans="1:2">
      <c r="A10067" s="136" t="str">
        <f t="shared" si="142"/>
        <v/>
      </c>
      <c r="B10067" s="136" t="str">
        <f t="shared" si="143"/>
        <v/>
      </c>
    </row>
    <row r="10068" spans="1:2">
      <c r="A10068" s="136" t="str">
        <f t="shared" si="142"/>
        <v/>
      </c>
      <c r="B10068" s="136" t="str">
        <f t="shared" si="143"/>
        <v/>
      </c>
    </row>
    <row r="10069" spans="1:2">
      <c r="A10069" s="136" t="str">
        <f t="shared" si="142"/>
        <v/>
      </c>
      <c r="B10069" s="136" t="str">
        <f t="shared" si="143"/>
        <v/>
      </c>
    </row>
    <row r="10070" spans="1:2">
      <c r="A10070" s="136" t="str">
        <f t="shared" si="142"/>
        <v/>
      </c>
      <c r="B10070" s="136" t="str">
        <f t="shared" si="143"/>
        <v/>
      </c>
    </row>
    <row r="10071" spans="1:2">
      <c r="A10071" s="136" t="str">
        <f t="shared" si="142"/>
        <v/>
      </c>
      <c r="B10071" s="136" t="str">
        <f t="shared" si="143"/>
        <v/>
      </c>
    </row>
    <row r="10072" spans="1:2">
      <c r="A10072" s="136" t="str">
        <f t="shared" si="142"/>
        <v/>
      </c>
      <c r="B10072" s="136" t="str">
        <f t="shared" si="143"/>
        <v/>
      </c>
    </row>
    <row r="10073" spans="1:2">
      <c r="A10073" s="136" t="str">
        <f t="shared" si="142"/>
        <v/>
      </c>
      <c r="B10073" s="136" t="str">
        <f t="shared" si="143"/>
        <v/>
      </c>
    </row>
    <row r="10074" spans="1:2">
      <c r="A10074" s="136" t="str">
        <f t="shared" si="142"/>
        <v/>
      </c>
      <c r="B10074" s="136" t="str">
        <f t="shared" si="143"/>
        <v/>
      </c>
    </row>
    <row r="10075" spans="1:2">
      <c r="A10075" s="136" t="str">
        <f t="shared" si="142"/>
        <v/>
      </c>
      <c r="B10075" s="136" t="str">
        <f t="shared" si="143"/>
        <v/>
      </c>
    </row>
    <row r="10076" spans="1:2">
      <c r="A10076" s="136" t="str">
        <f t="shared" si="142"/>
        <v/>
      </c>
      <c r="B10076" s="136" t="str">
        <f t="shared" si="143"/>
        <v/>
      </c>
    </row>
    <row r="10077" spans="1:2">
      <c r="A10077" s="136" t="str">
        <f t="shared" si="142"/>
        <v/>
      </c>
      <c r="B10077" s="136" t="str">
        <f t="shared" si="143"/>
        <v/>
      </c>
    </row>
    <row r="10078" spans="1:2">
      <c r="A10078" s="136" t="str">
        <f t="shared" si="142"/>
        <v/>
      </c>
      <c r="B10078" s="136" t="str">
        <f t="shared" si="143"/>
        <v/>
      </c>
    </row>
    <row r="10079" spans="1:2">
      <c r="A10079" s="136" t="str">
        <f t="shared" si="142"/>
        <v/>
      </c>
      <c r="B10079" s="136" t="str">
        <f t="shared" si="143"/>
        <v/>
      </c>
    </row>
    <row r="10080" spans="1:2">
      <c r="A10080" s="136" t="str">
        <f t="shared" si="142"/>
        <v/>
      </c>
      <c r="B10080" s="136" t="str">
        <f t="shared" si="143"/>
        <v/>
      </c>
    </row>
    <row r="10081" spans="1:2">
      <c r="A10081" s="136" t="str">
        <f t="shared" si="142"/>
        <v/>
      </c>
      <c r="B10081" s="136" t="str">
        <f t="shared" si="143"/>
        <v/>
      </c>
    </row>
    <row r="10082" spans="1:2">
      <c r="A10082" s="136" t="str">
        <f t="shared" si="142"/>
        <v/>
      </c>
      <c r="B10082" s="136" t="str">
        <f t="shared" si="143"/>
        <v/>
      </c>
    </row>
    <row r="10083" spans="1:2">
      <c r="A10083" s="136" t="str">
        <f t="shared" si="142"/>
        <v/>
      </c>
      <c r="B10083" s="136" t="str">
        <f t="shared" si="143"/>
        <v/>
      </c>
    </row>
    <row r="10084" spans="1:2">
      <c r="A10084" s="136" t="str">
        <f t="shared" si="142"/>
        <v/>
      </c>
      <c r="B10084" s="136" t="str">
        <f t="shared" si="143"/>
        <v/>
      </c>
    </row>
    <row r="10085" spans="1:2">
      <c r="A10085" s="136" t="str">
        <f t="shared" si="142"/>
        <v/>
      </c>
      <c r="B10085" s="136" t="str">
        <f t="shared" si="143"/>
        <v/>
      </c>
    </row>
    <row r="10086" spans="1:2">
      <c r="A10086" s="136" t="str">
        <f t="shared" si="142"/>
        <v/>
      </c>
      <c r="B10086" s="136" t="str">
        <f t="shared" si="143"/>
        <v/>
      </c>
    </row>
    <row r="10087" spans="1:2">
      <c r="A10087" s="136" t="str">
        <f t="shared" si="142"/>
        <v/>
      </c>
      <c r="B10087" s="136" t="str">
        <f t="shared" si="143"/>
        <v/>
      </c>
    </row>
    <row r="10088" spans="1:2">
      <c r="A10088" s="136" t="str">
        <f t="shared" si="142"/>
        <v/>
      </c>
      <c r="B10088" s="136" t="str">
        <f t="shared" si="143"/>
        <v/>
      </c>
    </row>
    <row r="10089" spans="1:2">
      <c r="A10089" s="136" t="str">
        <f t="shared" si="142"/>
        <v/>
      </c>
      <c r="B10089" s="136" t="str">
        <f t="shared" si="143"/>
        <v/>
      </c>
    </row>
    <row r="10090" spans="1:2">
      <c r="A10090" s="136" t="str">
        <f t="shared" si="142"/>
        <v/>
      </c>
      <c r="B10090" s="136" t="str">
        <f t="shared" si="143"/>
        <v/>
      </c>
    </row>
    <row r="10091" spans="1:2">
      <c r="A10091" s="136" t="str">
        <f t="shared" si="142"/>
        <v/>
      </c>
      <c r="B10091" s="136" t="str">
        <f t="shared" si="143"/>
        <v/>
      </c>
    </row>
    <row r="10092" spans="1:2">
      <c r="A10092" s="136" t="str">
        <f t="shared" si="142"/>
        <v/>
      </c>
      <c r="B10092" s="136" t="str">
        <f t="shared" si="143"/>
        <v/>
      </c>
    </row>
    <row r="10093" spans="1:2">
      <c r="A10093" s="136" t="str">
        <f t="shared" si="142"/>
        <v/>
      </c>
      <c r="B10093" s="136" t="str">
        <f t="shared" si="143"/>
        <v/>
      </c>
    </row>
    <row r="10094" spans="1:2">
      <c r="A10094" s="136" t="str">
        <f t="shared" si="142"/>
        <v/>
      </c>
      <c r="B10094" s="136" t="str">
        <f t="shared" si="143"/>
        <v/>
      </c>
    </row>
    <row r="10095" spans="1:2">
      <c r="A10095" s="136" t="str">
        <f t="shared" si="142"/>
        <v/>
      </c>
      <c r="B10095" s="136" t="str">
        <f t="shared" si="143"/>
        <v/>
      </c>
    </row>
    <row r="10096" spans="1:2">
      <c r="A10096" s="136" t="str">
        <f t="shared" si="142"/>
        <v/>
      </c>
      <c r="B10096" s="136" t="str">
        <f t="shared" si="143"/>
        <v/>
      </c>
    </row>
    <row r="10097" spans="1:2">
      <c r="A10097" s="136" t="str">
        <f t="shared" si="142"/>
        <v/>
      </c>
      <c r="B10097" s="136" t="str">
        <f t="shared" si="143"/>
        <v/>
      </c>
    </row>
    <row r="10098" spans="1:2">
      <c r="A10098" s="136" t="str">
        <f t="shared" si="142"/>
        <v/>
      </c>
      <c r="B10098" s="136" t="str">
        <f t="shared" si="143"/>
        <v/>
      </c>
    </row>
    <row r="10099" spans="1:2">
      <c r="A10099" s="136" t="str">
        <f t="shared" si="142"/>
        <v/>
      </c>
      <c r="B10099" s="136" t="str">
        <f t="shared" si="143"/>
        <v/>
      </c>
    </row>
    <row r="10100" spans="1:2">
      <c r="A10100" s="136" t="str">
        <f t="shared" si="142"/>
        <v/>
      </c>
      <c r="B10100" s="136" t="str">
        <f t="shared" si="143"/>
        <v/>
      </c>
    </row>
    <row r="10101" spans="1:2">
      <c r="A10101" s="136" t="str">
        <f t="shared" si="142"/>
        <v/>
      </c>
      <c r="B10101" s="136" t="str">
        <f t="shared" si="143"/>
        <v/>
      </c>
    </row>
    <row r="10102" spans="1:2">
      <c r="A10102" s="136" t="str">
        <f t="shared" si="142"/>
        <v/>
      </c>
      <c r="B10102" s="136" t="str">
        <f t="shared" si="143"/>
        <v/>
      </c>
    </row>
    <row r="10103" spans="1:2">
      <c r="A10103" s="136" t="str">
        <f t="shared" si="142"/>
        <v/>
      </c>
      <c r="B10103" s="136" t="str">
        <f t="shared" si="143"/>
        <v/>
      </c>
    </row>
    <row r="10104" spans="1:2">
      <c r="A10104" s="136" t="str">
        <f t="shared" si="142"/>
        <v/>
      </c>
      <c r="B10104" s="136" t="str">
        <f t="shared" si="143"/>
        <v/>
      </c>
    </row>
    <row r="10105" spans="1:2">
      <c r="A10105" s="136" t="str">
        <f t="shared" si="142"/>
        <v/>
      </c>
      <c r="B10105" s="136" t="str">
        <f t="shared" si="143"/>
        <v/>
      </c>
    </row>
    <row r="10106" spans="1:2">
      <c r="A10106" s="136" t="str">
        <f t="shared" si="142"/>
        <v/>
      </c>
      <c r="B10106" s="136" t="str">
        <f t="shared" si="143"/>
        <v/>
      </c>
    </row>
    <row r="10107" spans="1:2">
      <c r="A10107" s="136" t="str">
        <f t="shared" si="142"/>
        <v/>
      </c>
      <c r="B10107" s="136" t="str">
        <f t="shared" si="143"/>
        <v/>
      </c>
    </row>
    <row r="10108" spans="1:2">
      <c r="A10108" s="136" t="str">
        <f t="shared" si="142"/>
        <v/>
      </c>
      <c r="B10108" s="136" t="str">
        <f t="shared" si="143"/>
        <v/>
      </c>
    </row>
    <row r="10109" spans="1:2">
      <c r="A10109" s="136" t="str">
        <f t="shared" si="142"/>
        <v/>
      </c>
      <c r="B10109" s="136" t="str">
        <f t="shared" si="143"/>
        <v/>
      </c>
    </row>
    <row r="10110" spans="1:2">
      <c r="A10110" s="136" t="str">
        <f t="shared" si="142"/>
        <v/>
      </c>
      <c r="B10110" s="136" t="str">
        <f t="shared" si="143"/>
        <v/>
      </c>
    </row>
    <row r="10111" spans="1:2">
      <c r="A10111" s="136" t="str">
        <f t="shared" si="142"/>
        <v/>
      </c>
      <c r="B10111" s="136" t="str">
        <f t="shared" si="143"/>
        <v/>
      </c>
    </row>
    <row r="10112" spans="1:2">
      <c r="A10112" s="136" t="str">
        <f t="shared" si="142"/>
        <v/>
      </c>
      <c r="B10112" s="136" t="str">
        <f t="shared" si="143"/>
        <v/>
      </c>
    </row>
    <row r="10113" spans="1:2">
      <c r="A10113" s="136" t="str">
        <f t="shared" si="142"/>
        <v/>
      </c>
      <c r="B10113" s="136" t="str">
        <f t="shared" si="143"/>
        <v/>
      </c>
    </row>
    <row r="10114" spans="1:2">
      <c r="A10114" s="136" t="str">
        <f t="shared" si="142"/>
        <v/>
      </c>
      <c r="B10114" s="136" t="str">
        <f t="shared" si="143"/>
        <v/>
      </c>
    </row>
    <row r="10115" spans="1:2">
      <c r="A10115" s="136" t="str">
        <f t="shared" si="142"/>
        <v/>
      </c>
      <c r="B10115" s="136" t="str">
        <f t="shared" si="143"/>
        <v/>
      </c>
    </row>
    <row r="10116" spans="1:2">
      <c r="A10116" s="136" t="str">
        <f t="shared" si="142"/>
        <v/>
      </c>
      <c r="B10116" s="136" t="str">
        <f t="shared" si="143"/>
        <v/>
      </c>
    </row>
    <row r="10117" spans="1:2">
      <c r="A10117" s="136" t="str">
        <f t="shared" si="142"/>
        <v/>
      </c>
      <c r="B10117" s="136" t="str">
        <f t="shared" si="143"/>
        <v/>
      </c>
    </row>
    <row r="10118" spans="1:2">
      <c r="A10118" s="136" t="str">
        <f t="shared" si="142"/>
        <v/>
      </c>
      <c r="B10118" s="136" t="str">
        <f t="shared" si="143"/>
        <v/>
      </c>
    </row>
    <row r="10119" spans="1:2">
      <c r="A10119" s="136" t="str">
        <f t="shared" si="142"/>
        <v/>
      </c>
      <c r="B10119" s="136" t="str">
        <f t="shared" si="143"/>
        <v/>
      </c>
    </row>
    <row r="10120" spans="1:2">
      <c r="A10120" s="136" t="str">
        <f t="shared" si="142"/>
        <v/>
      </c>
      <c r="B10120" s="136" t="str">
        <f t="shared" si="143"/>
        <v/>
      </c>
    </row>
    <row r="10121" spans="1:2">
      <c r="A10121" s="136" t="str">
        <f t="shared" si="142"/>
        <v/>
      </c>
      <c r="B10121" s="136" t="str">
        <f t="shared" si="143"/>
        <v/>
      </c>
    </row>
    <row r="10122" spans="1:2">
      <c r="A10122" s="136" t="str">
        <f t="shared" si="142"/>
        <v/>
      </c>
      <c r="B10122" s="136" t="str">
        <f t="shared" si="143"/>
        <v/>
      </c>
    </row>
    <row r="10123" spans="1:2">
      <c r="A10123" s="136" t="str">
        <f t="shared" si="142"/>
        <v/>
      </c>
      <c r="B10123" s="136" t="str">
        <f t="shared" si="143"/>
        <v/>
      </c>
    </row>
    <row r="10124" spans="1:2">
      <c r="A10124" s="136" t="str">
        <f t="shared" ref="A10124:A10187" si="144">HYPERLINK("http://tw.stock.yahoo.com/q/ta?s=","")</f>
        <v/>
      </c>
      <c r="B10124" s="136" t="str">
        <f t="shared" ref="B10124:B10187" si="145">HYPERLINK("http://tw.stock.yahoo.com/d/s/earning_.html","")</f>
        <v/>
      </c>
    </row>
    <row r="10125" spans="1:2">
      <c r="A10125" s="136" t="str">
        <f t="shared" si="144"/>
        <v/>
      </c>
      <c r="B10125" s="136" t="str">
        <f t="shared" si="145"/>
        <v/>
      </c>
    </row>
    <row r="10126" spans="1:2">
      <c r="A10126" s="136" t="str">
        <f t="shared" si="144"/>
        <v/>
      </c>
      <c r="B10126" s="136" t="str">
        <f t="shared" si="145"/>
        <v/>
      </c>
    </row>
    <row r="10127" spans="1:2">
      <c r="A10127" s="136" t="str">
        <f t="shared" si="144"/>
        <v/>
      </c>
      <c r="B10127" s="136" t="str">
        <f t="shared" si="145"/>
        <v/>
      </c>
    </row>
    <row r="10128" spans="1:2">
      <c r="A10128" s="136" t="str">
        <f t="shared" si="144"/>
        <v/>
      </c>
      <c r="B10128" s="136" t="str">
        <f t="shared" si="145"/>
        <v/>
      </c>
    </row>
    <row r="10129" spans="1:2">
      <c r="A10129" s="136" t="str">
        <f t="shared" si="144"/>
        <v/>
      </c>
      <c r="B10129" s="136" t="str">
        <f t="shared" si="145"/>
        <v/>
      </c>
    </row>
    <row r="10130" spans="1:2">
      <c r="A10130" s="136" t="str">
        <f t="shared" si="144"/>
        <v/>
      </c>
      <c r="B10130" s="136" t="str">
        <f t="shared" si="145"/>
        <v/>
      </c>
    </row>
    <row r="10131" spans="1:2">
      <c r="A10131" s="136" t="str">
        <f t="shared" si="144"/>
        <v/>
      </c>
      <c r="B10131" s="136" t="str">
        <f t="shared" si="145"/>
        <v/>
      </c>
    </row>
    <row r="10132" spans="1:2">
      <c r="A10132" s="136" t="str">
        <f t="shared" si="144"/>
        <v/>
      </c>
      <c r="B10132" s="136" t="str">
        <f t="shared" si="145"/>
        <v/>
      </c>
    </row>
    <row r="10133" spans="1:2">
      <c r="A10133" s="136" t="str">
        <f t="shared" si="144"/>
        <v/>
      </c>
      <c r="B10133" s="136" t="str">
        <f t="shared" si="145"/>
        <v/>
      </c>
    </row>
    <row r="10134" spans="1:2">
      <c r="A10134" s="136" t="str">
        <f t="shared" si="144"/>
        <v/>
      </c>
      <c r="B10134" s="136" t="str">
        <f t="shared" si="145"/>
        <v/>
      </c>
    </row>
    <row r="10135" spans="1:2">
      <c r="A10135" s="136" t="str">
        <f t="shared" si="144"/>
        <v/>
      </c>
      <c r="B10135" s="136" t="str">
        <f t="shared" si="145"/>
        <v/>
      </c>
    </row>
    <row r="10136" spans="1:2">
      <c r="A10136" s="136" t="str">
        <f t="shared" si="144"/>
        <v/>
      </c>
      <c r="B10136" s="136" t="str">
        <f t="shared" si="145"/>
        <v/>
      </c>
    </row>
    <row r="10137" spans="1:2">
      <c r="A10137" s="136" t="str">
        <f t="shared" si="144"/>
        <v/>
      </c>
      <c r="B10137" s="136" t="str">
        <f t="shared" si="145"/>
        <v/>
      </c>
    </row>
    <row r="10138" spans="1:2">
      <c r="A10138" s="136" t="str">
        <f t="shared" si="144"/>
        <v/>
      </c>
      <c r="B10138" s="136" t="str">
        <f t="shared" si="145"/>
        <v/>
      </c>
    </row>
    <row r="10139" spans="1:2">
      <c r="A10139" s="136" t="str">
        <f t="shared" si="144"/>
        <v/>
      </c>
      <c r="B10139" s="136" t="str">
        <f t="shared" si="145"/>
        <v/>
      </c>
    </row>
    <row r="10140" spans="1:2">
      <c r="A10140" s="136" t="str">
        <f t="shared" si="144"/>
        <v/>
      </c>
      <c r="B10140" s="136" t="str">
        <f t="shared" si="145"/>
        <v/>
      </c>
    </row>
    <row r="10141" spans="1:2">
      <c r="A10141" s="136" t="str">
        <f t="shared" si="144"/>
        <v/>
      </c>
      <c r="B10141" s="136" t="str">
        <f t="shared" si="145"/>
        <v/>
      </c>
    </row>
    <row r="10142" spans="1:2">
      <c r="A10142" s="136" t="str">
        <f t="shared" si="144"/>
        <v/>
      </c>
      <c r="B10142" s="136" t="str">
        <f t="shared" si="145"/>
        <v/>
      </c>
    </row>
    <row r="10143" spans="1:2">
      <c r="A10143" s="136" t="str">
        <f t="shared" si="144"/>
        <v/>
      </c>
      <c r="B10143" s="136" t="str">
        <f t="shared" si="145"/>
        <v/>
      </c>
    </row>
    <row r="10144" spans="1:2">
      <c r="A10144" s="136" t="str">
        <f t="shared" si="144"/>
        <v/>
      </c>
      <c r="B10144" s="136" t="str">
        <f t="shared" si="145"/>
        <v/>
      </c>
    </row>
    <row r="10145" spans="1:2">
      <c r="A10145" s="136" t="str">
        <f t="shared" si="144"/>
        <v/>
      </c>
      <c r="B10145" s="136" t="str">
        <f t="shared" si="145"/>
        <v/>
      </c>
    </row>
    <row r="10146" spans="1:2">
      <c r="A10146" s="136" t="str">
        <f t="shared" si="144"/>
        <v/>
      </c>
      <c r="B10146" s="136" t="str">
        <f t="shared" si="145"/>
        <v/>
      </c>
    </row>
    <row r="10147" spans="1:2">
      <c r="A10147" s="136" t="str">
        <f t="shared" si="144"/>
        <v/>
      </c>
      <c r="B10147" s="136" t="str">
        <f t="shared" si="145"/>
        <v/>
      </c>
    </row>
    <row r="10148" spans="1:2">
      <c r="A10148" s="136" t="str">
        <f t="shared" si="144"/>
        <v/>
      </c>
      <c r="B10148" s="136" t="str">
        <f t="shared" si="145"/>
        <v/>
      </c>
    </row>
    <row r="10149" spans="1:2">
      <c r="A10149" s="136" t="str">
        <f t="shared" si="144"/>
        <v/>
      </c>
      <c r="B10149" s="136" t="str">
        <f t="shared" si="145"/>
        <v/>
      </c>
    </row>
    <row r="10150" spans="1:2">
      <c r="A10150" s="136" t="str">
        <f t="shared" si="144"/>
        <v/>
      </c>
      <c r="B10150" s="136" t="str">
        <f t="shared" si="145"/>
        <v/>
      </c>
    </row>
    <row r="10151" spans="1:2">
      <c r="A10151" s="136" t="str">
        <f t="shared" si="144"/>
        <v/>
      </c>
      <c r="B10151" s="136" t="str">
        <f t="shared" si="145"/>
        <v/>
      </c>
    </row>
    <row r="10152" spans="1:2">
      <c r="A10152" s="136" t="str">
        <f t="shared" si="144"/>
        <v/>
      </c>
      <c r="B10152" s="136" t="str">
        <f t="shared" si="145"/>
        <v/>
      </c>
    </row>
    <row r="10153" spans="1:2">
      <c r="A10153" s="136" t="str">
        <f t="shared" si="144"/>
        <v/>
      </c>
      <c r="B10153" s="136" t="str">
        <f t="shared" si="145"/>
        <v/>
      </c>
    </row>
    <row r="10154" spans="1:2">
      <c r="A10154" s="136" t="str">
        <f t="shared" si="144"/>
        <v/>
      </c>
      <c r="B10154" s="136" t="str">
        <f t="shared" si="145"/>
        <v/>
      </c>
    </row>
    <row r="10155" spans="1:2">
      <c r="A10155" s="136" t="str">
        <f t="shared" si="144"/>
        <v/>
      </c>
      <c r="B10155" s="136" t="str">
        <f t="shared" si="145"/>
        <v/>
      </c>
    </row>
    <row r="10156" spans="1:2">
      <c r="A10156" s="136" t="str">
        <f t="shared" si="144"/>
        <v/>
      </c>
      <c r="B10156" s="136" t="str">
        <f t="shared" si="145"/>
        <v/>
      </c>
    </row>
    <row r="10157" spans="1:2">
      <c r="A10157" s="136" t="str">
        <f t="shared" si="144"/>
        <v/>
      </c>
      <c r="B10157" s="136" t="str">
        <f t="shared" si="145"/>
        <v/>
      </c>
    </row>
    <row r="10158" spans="1:2">
      <c r="A10158" s="136" t="str">
        <f t="shared" si="144"/>
        <v/>
      </c>
      <c r="B10158" s="136" t="str">
        <f t="shared" si="145"/>
        <v/>
      </c>
    </row>
    <row r="10159" spans="1:2">
      <c r="A10159" s="136" t="str">
        <f t="shared" si="144"/>
        <v/>
      </c>
      <c r="B10159" s="136" t="str">
        <f t="shared" si="145"/>
        <v/>
      </c>
    </row>
    <row r="10160" spans="1:2">
      <c r="A10160" s="136" t="str">
        <f t="shared" si="144"/>
        <v/>
      </c>
      <c r="B10160" s="136" t="str">
        <f t="shared" si="145"/>
        <v/>
      </c>
    </row>
    <row r="10161" spans="1:2">
      <c r="A10161" s="136" t="str">
        <f t="shared" si="144"/>
        <v/>
      </c>
      <c r="B10161" s="136" t="str">
        <f t="shared" si="145"/>
        <v/>
      </c>
    </row>
    <row r="10162" spans="1:2">
      <c r="A10162" s="136" t="str">
        <f t="shared" si="144"/>
        <v/>
      </c>
      <c r="B10162" s="136" t="str">
        <f t="shared" si="145"/>
        <v/>
      </c>
    </row>
    <row r="10163" spans="1:2">
      <c r="A10163" s="136" t="str">
        <f t="shared" si="144"/>
        <v/>
      </c>
      <c r="B10163" s="136" t="str">
        <f t="shared" si="145"/>
        <v/>
      </c>
    </row>
    <row r="10164" spans="1:2">
      <c r="A10164" s="136" t="str">
        <f t="shared" si="144"/>
        <v/>
      </c>
      <c r="B10164" s="136" t="str">
        <f t="shared" si="145"/>
        <v/>
      </c>
    </row>
    <row r="10165" spans="1:2">
      <c r="A10165" s="136" t="str">
        <f t="shared" si="144"/>
        <v/>
      </c>
      <c r="B10165" s="136" t="str">
        <f t="shared" si="145"/>
        <v/>
      </c>
    </row>
    <row r="10166" spans="1:2">
      <c r="A10166" s="136" t="str">
        <f t="shared" si="144"/>
        <v/>
      </c>
      <c r="B10166" s="136" t="str">
        <f t="shared" si="145"/>
        <v/>
      </c>
    </row>
    <row r="10167" spans="1:2">
      <c r="A10167" s="136" t="str">
        <f t="shared" si="144"/>
        <v/>
      </c>
      <c r="B10167" s="136" t="str">
        <f t="shared" si="145"/>
        <v/>
      </c>
    </row>
    <row r="10168" spans="1:2">
      <c r="A10168" s="136" t="str">
        <f t="shared" si="144"/>
        <v/>
      </c>
      <c r="B10168" s="136" t="str">
        <f t="shared" si="145"/>
        <v/>
      </c>
    </row>
    <row r="10169" spans="1:2">
      <c r="A10169" s="136" t="str">
        <f t="shared" si="144"/>
        <v/>
      </c>
      <c r="B10169" s="136" t="str">
        <f t="shared" si="145"/>
        <v/>
      </c>
    </row>
    <row r="10170" spans="1:2">
      <c r="A10170" s="136" t="str">
        <f t="shared" si="144"/>
        <v/>
      </c>
      <c r="B10170" s="136" t="str">
        <f t="shared" si="145"/>
        <v/>
      </c>
    </row>
    <row r="10171" spans="1:2">
      <c r="A10171" s="136" t="str">
        <f t="shared" si="144"/>
        <v/>
      </c>
      <c r="B10171" s="136" t="str">
        <f t="shared" si="145"/>
        <v/>
      </c>
    </row>
    <row r="10172" spans="1:2">
      <c r="A10172" s="136" t="str">
        <f t="shared" si="144"/>
        <v/>
      </c>
      <c r="B10172" s="136" t="str">
        <f t="shared" si="145"/>
        <v/>
      </c>
    </row>
    <row r="10173" spans="1:2">
      <c r="A10173" s="136" t="str">
        <f t="shared" si="144"/>
        <v/>
      </c>
      <c r="B10173" s="136" t="str">
        <f t="shared" si="145"/>
        <v/>
      </c>
    </row>
    <row r="10174" spans="1:2">
      <c r="A10174" s="136" t="str">
        <f t="shared" si="144"/>
        <v/>
      </c>
      <c r="B10174" s="136" t="str">
        <f t="shared" si="145"/>
        <v/>
      </c>
    </row>
    <row r="10175" spans="1:2">
      <c r="A10175" s="136" t="str">
        <f t="shared" si="144"/>
        <v/>
      </c>
      <c r="B10175" s="136" t="str">
        <f t="shared" si="145"/>
        <v/>
      </c>
    </row>
    <row r="10176" spans="1:2">
      <c r="A10176" s="136" t="str">
        <f t="shared" si="144"/>
        <v/>
      </c>
      <c r="B10176" s="136" t="str">
        <f t="shared" si="145"/>
        <v/>
      </c>
    </row>
    <row r="10177" spans="1:2">
      <c r="A10177" s="136" t="str">
        <f t="shared" si="144"/>
        <v/>
      </c>
      <c r="B10177" s="136" t="str">
        <f t="shared" si="145"/>
        <v/>
      </c>
    </row>
    <row r="10178" spans="1:2">
      <c r="A10178" s="136" t="str">
        <f t="shared" si="144"/>
        <v/>
      </c>
      <c r="B10178" s="136" t="str">
        <f t="shared" si="145"/>
        <v/>
      </c>
    </row>
    <row r="10179" spans="1:2">
      <c r="A10179" s="136" t="str">
        <f t="shared" si="144"/>
        <v/>
      </c>
      <c r="B10179" s="136" t="str">
        <f t="shared" si="145"/>
        <v/>
      </c>
    </row>
    <row r="10180" spans="1:2">
      <c r="A10180" s="136" t="str">
        <f t="shared" si="144"/>
        <v/>
      </c>
      <c r="B10180" s="136" t="str">
        <f t="shared" si="145"/>
        <v/>
      </c>
    </row>
    <row r="10181" spans="1:2">
      <c r="A10181" s="136" t="str">
        <f t="shared" si="144"/>
        <v/>
      </c>
      <c r="B10181" s="136" t="str">
        <f t="shared" si="145"/>
        <v/>
      </c>
    </row>
    <row r="10182" spans="1:2">
      <c r="A10182" s="136" t="str">
        <f t="shared" si="144"/>
        <v/>
      </c>
      <c r="B10182" s="136" t="str">
        <f t="shared" si="145"/>
        <v/>
      </c>
    </row>
    <row r="10183" spans="1:2">
      <c r="A10183" s="136" t="str">
        <f t="shared" si="144"/>
        <v/>
      </c>
      <c r="B10183" s="136" t="str">
        <f t="shared" si="145"/>
        <v/>
      </c>
    </row>
    <row r="10184" spans="1:2">
      <c r="A10184" s="136" t="str">
        <f t="shared" si="144"/>
        <v/>
      </c>
      <c r="B10184" s="136" t="str">
        <f t="shared" si="145"/>
        <v/>
      </c>
    </row>
    <row r="10185" spans="1:2">
      <c r="A10185" s="136" t="str">
        <f t="shared" si="144"/>
        <v/>
      </c>
      <c r="B10185" s="136" t="str">
        <f t="shared" si="145"/>
        <v/>
      </c>
    </row>
    <row r="10186" spans="1:2">
      <c r="A10186" s="136" t="str">
        <f t="shared" si="144"/>
        <v/>
      </c>
      <c r="B10186" s="136" t="str">
        <f t="shared" si="145"/>
        <v/>
      </c>
    </row>
    <row r="10187" spans="1:2">
      <c r="A10187" s="136" t="str">
        <f t="shared" si="144"/>
        <v/>
      </c>
      <c r="B10187" s="136" t="str">
        <f t="shared" si="145"/>
        <v/>
      </c>
    </row>
    <row r="10188" spans="1:2">
      <c r="A10188" s="136" t="str">
        <f t="shared" ref="A10188:A10251" si="146">HYPERLINK("http://tw.stock.yahoo.com/q/ta?s=","")</f>
        <v/>
      </c>
      <c r="B10188" s="136" t="str">
        <f t="shared" ref="B10188:B10251" si="147">HYPERLINK("http://tw.stock.yahoo.com/d/s/earning_.html","")</f>
        <v/>
      </c>
    </row>
    <row r="10189" spans="1:2">
      <c r="A10189" s="136" t="str">
        <f t="shared" si="146"/>
        <v/>
      </c>
      <c r="B10189" s="136" t="str">
        <f t="shared" si="147"/>
        <v/>
      </c>
    </row>
    <row r="10190" spans="1:2">
      <c r="A10190" s="136" t="str">
        <f t="shared" si="146"/>
        <v/>
      </c>
      <c r="B10190" s="136" t="str">
        <f t="shared" si="147"/>
        <v/>
      </c>
    </row>
    <row r="10191" spans="1:2">
      <c r="A10191" s="136" t="str">
        <f t="shared" si="146"/>
        <v/>
      </c>
      <c r="B10191" s="136" t="str">
        <f t="shared" si="147"/>
        <v/>
      </c>
    </row>
    <row r="10192" spans="1:2">
      <c r="A10192" s="136" t="str">
        <f t="shared" si="146"/>
        <v/>
      </c>
      <c r="B10192" s="136" t="str">
        <f t="shared" si="147"/>
        <v/>
      </c>
    </row>
    <row r="10193" spans="1:2">
      <c r="A10193" s="136" t="str">
        <f t="shared" si="146"/>
        <v/>
      </c>
      <c r="B10193" s="136" t="str">
        <f t="shared" si="147"/>
        <v/>
      </c>
    </row>
    <row r="10194" spans="1:2">
      <c r="A10194" s="136" t="str">
        <f t="shared" si="146"/>
        <v/>
      </c>
      <c r="B10194" s="136" t="str">
        <f t="shared" si="147"/>
        <v/>
      </c>
    </row>
    <row r="10195" spans="1:2">
      <c r="A10195" s="136" t="str">
        <f t="shared" si="146"/>
        <v/>
      </c>
      <c r="B10195" s="136" t="str">
        <f t="shared" si="147"/>
        <v/>
      </c>
    </row>
    <row r="10196" spans="1:2">
      <c r="A10196" s="136" t="str">
        <f t="shared" si="146"/>
        <v/>
      </c>
      <c r="B10196" s="136" t="str">
        <f t="shared" si="147"/>
        <v/>
      </c>
    </row>
    <row r="10197" spans="1:2">
      <c r="A10197" s="136" t="str">
        <f t="shared" si="146"/>
        <v/>
      </c>
      <c r="B10197" s="136" t="str">
        <f t="shared" si="147"/>
        <v/>
      </c>
    </row>
    <row r="10198" spans="1:2">
      <c r="A10198" s="136" t="str">
        <f t="shared" si="146"/>
        <v/>
      </c>
      <c r="B10198" s="136" t="str">
        <f t="shared" si="147"/>
        <v/>
      </c>
    </row>
    <row r="10199" spans="1:2">
      <c r="A10199" s="136" t="str">
        <f t="shared" si="146"/>
        <v/>
      </c>
      <c r="B10199" s="136" t="str">
        <f t="shared" si="147"/>
        <v/>
      </c>
    </row>
    <row r="10200" spans="1:2">
      <c r="A10200" s="136" t="str">
        <f t="shared" si="146"/>
        <v/>
      </c>
      <c r="B10200" s="136" t="str">
        <f t="shared" si="147"/>
        <v/>
      </c>
    </row>
    <row r="10201" spans="1:2">
      <c r="A10201" s="136" t="str">
        <f t="shared" si="146"/>
        <v/>
      </c>
      <c r="B10201" s="136" t="str">
        <f t="shared" si="147"/>
        <v/>
      </c>
    </row>
    <row r="10202" spans="1:2">
      <c r="A10202" s="136" t="str">
        <f t="shared" si="146"/>
        <v/>
      </c>
      <c r="B10202" s="136" t="str">
        <f t="shared" si="147"/>
        <v/>
      </c>
    </row>
    <row r="10203" spans="1:2">
      <c r="A10203" s="136" t="str">
        <f t="shared" si="146"/>
        <v/>
      </c>
      <c r="B10203" s="136" t="str">
        <f t="shared" si="147"/>
        <v/>
      </c>
    </row>
    <row r="10204" spans="1:2">
      <c r="A10204" s="136" t="str">
        <f t="shared" si="146"/>
        <v/>
      </c>
      <c r="B10204" s="136" t="str">
        <f t="shared" si="147"/>
        <v/>
      </c>
    </row>
    <row r="10205" spans="1:2">
      <c r="A10205" s="136" t="str">
        <f t="shared" si="146"/>
        <v/>
      </c>
      <c r="B10205" s="136" t="str">
        <f t="shared" si="147"/>
        <v/>
      </c>
    </row>
    <row r="10206" spans="1:2">
      <c r="A10206" s="136" t="str">
        <f t="shared" si="146"/>
        <v/>
      </c>
      <c r="B10206" s="136" t="str">
        <f t="shared" si="147"/>
        <v/>
      </c>
    </row>
    <row r="10207" spans="1:2">
      <c r="A10207" s="136" t="str">
        <f t="shared" si="146"/>
        <v/>
      </c>
      <c r="B10207" s="136" t="str">
        <f t="shared" si="147"/>
        <v/>
      </c>
    </row>
    <row r="10208" spans="1:2">
      <c r="A10208" s="136" t="str">
        <f t="shared" si="146"/>
        <v/>
      </c>
      <c r="B10208" s="136" t="str">
        <f t="shared" si="147"/>
        <v/>
      </c>
    </row>
    <row r="10209" spans="1:2">
      <c r="A10209" s="136" t="str">
        <f t="shared" si="146"/>
        <v/>
      </c>
      <c r="B10209" s="136" t="str">
        <f t="shared" si="147"/>
        <v/>
      </c>
    </row>
    <row r="10210" spans="1:2">
      <c r="A10210" s="136" t="str">
        <f t="shared" si="146"/>
        <v/>
      </c>
      <c r="B10210" s="136" t="str">
        <f t="shared" si="147"/>
        <v/>
      </c>
    </row>
    <row r="10211" spans="1:2">
      <c r="A10211" s="136" t="str">
        <f t="shared" si="146"/>
        <v/>
      </c>
      <c r="B10211" s="136" t="str">
        <f t="shared" si="147"/>
        <v/>
      </c>
    </row>
    <row r="10212" spans="1:2">
      <c r="A10212" s="136" t="str">
        <f t="shared" si="146"/>
        <v/>
      </c>
      <c r="B10212" s="136" t="str">
        <f t="shared" si="147"/>
        <v/>
      </c>
    </row>
    <row r="10213" spans="1:2">
      <c r="A10213" s="136" t="str">
        <f t="shared" si="146"/>
        <v/>
      </c>
      <c r="B10213" s="136" t="str">
        <f t="shared" si="147"/>
        <v/>
      </c>
    </row>
    <row r="10214" spans="1:2">
      <c r="A10214" s="136" t="str">
        <f t="shared" si="146"/>
        <v/>
      </c>
      <c r="B10214" s="136" t="str">
        <f t="shared" si="147"/>
        <v/>
      </c>
    </row>
    <row r="10215" spans="1:2">
      <c r="A10215" s="136" t="str">
        <f t="shared" si="146"/>
        <v/>
      </c>
      <c r="B10215" s="136" t="str">
        <f t="shared" si="147"/>
        <v/>
      </c>
    </row>
    <row r="10216" spans="1:2">
      <c r="A10216" s="136" t="str">
        <f t="shared" si="146"/>
        <v/>
      </c>
      <c r="B10216" s="136" t="str">
        <f t="shared" si="147"/>
        <v/>
      </c>
    </row>
    <row r="10217" spans="1:2">
      <c r="A10217" s="136" t="str">
        <f t="shared" si="146"/>
        <v/>
      </c>
      <c r="B10217" s="136" t="str">
        <f t="shared" si="147"/>
        <v/>
      </c>
    </row>
    <row r="10218" spans="1:2">
      <c r="A10218" s="136" t="str">
        <f t="shared" si="146"/>
        <v/>
      </c>
      <c r="B10218" s="136" t="str">
        <f t="shared" si="147"/>
        <v/>
      </c>
    </row>
    <row r="10219" spans="1:2">
      <c r="A10219" s="136" t="str">
        <f t="shared" si="146"/>
        <v/>
      </c>
      <c r="B10219" s="136" t="str">
        <f t="shared" si="147"/>
        <v/>
      </c>
    </row>
    <row r="10220" spans="1:2">
      <c r="A10220" s="136" t="str">
        <f t="shared" si="146"/>
        <v/>
      </c>
      <c r="B10220" s="136" t="str">
        <f t="shared" si="147"/>
        <v/>
      </c>
    </row>
    <row r="10221" spans="1:2">
      <c r="A10221" s="136" t="str">
        <f t="shared" si="146"/>
        <v/>
      </c>
      <c r="B10221" s="136" t="str">
        <f t="shared" si="147"/>
        <v/>
      </c>
    </row>
    <row r="10222" spans="1:2">
      <c r="A10222" s="136" t="str">
        <f t="shared" si="146"/>
        <v/>
      </c>
      <c r="B10222" s="136" t="str">
        <f t="shared" si="147"/>
        <v/>
      </c>
    </row>
    <row r="10223" spans="1:2">
      <c r="A10223" s="136" t="str">
        <f t="shared" si="146"/>
        <v/>
      </c>
      <c r="B10223" s="136" t="str">
        <f t="shared" si="147"/>
        <v/>
      </c>
    </row>
    <row r="10224" spans="1:2">
      <c r="A10224" s="136" t="str">
        <f t="shared" si="146"/>
        <v/>
      </c>
      <c r="B10224" s="136" t="str">
        <f t="shared" si="147"/>
        <v/>
      </c>
    </row>
    <row r="10225" spans="1:2">
      <c r="A10225" s="136" t="str">
        <f t="shared" si="146"/>
        <v/>
      </c>
      <c r="B10225" s="136" t="str">
        <f t="shared" si="147"/>
        <v/>
      </c>
    </row>
    <row r="10226" spans="1:2">
      <c r="A10226" s="136" t="str">
        <f t="shared" si="146"/>
        <v/>
      </c>
      <c r="B10226" s="136" t="str">
        <f t="shared" si="147"/>
        <v/>
      </c>
    </row>
    <row r="10227" spans="1:2">
      <c r="A10227" s="136" t="str">
        <f t="shared" si="146"/>
        <v/>
      </c>
      <c r="B10227" s="136" t="str">
        <f t="shared" si="147"/>
        <v/>
      </c>
    </row>
    <row r="10228" spans="1:2">
      <c r="A10228" s="136" t="str">
        <f t="shared" si="146"/>
        <v/>
      </c>
      <c r="B10228" s="136" t="str">
        <f t="shared" si="147"/>
        <v/>
      </c>
    </row>
    <row r="10229" spans="1:2">
      <c r="A10229" s="136" t="str">
        <f t="shared" si="146"/>
        <v/>
      </c>
      <c r="B10229" s="136" t="str">
        <f t="shared" si="147"/>
        <v/>
      </c>
    </row>
    <row r="10230" spans="1:2">
      <c r="A10230" s="136" t="str">
        <f t="shared" si="146"/>
        <v/>
      </c>
      <c r="B10230" s="136" t="str">
        <f t="shared" si="147"/>
        <v/>
      </c>
    </row>
    <row r="10231" spans="1:2">
      <c r="A10231" s="136" t="str">
        <f t="shared" si="146"/>
        <v/>
      </c>
      <c r="B10231" s="136" t="str">
        <f t="shared" si="147"/>
        <v/>
      </c>
    </row>
    <row r="10232" spans="1:2">
      <c r="A10232" s="136" t="str">
        <f t="shared" si="146"/>
        <v/>
      </c>
      <c r="B10232" s="136" t="str">
        <f t="shared" si="147"/>
        <v/>
      </c>
    </row>
    <row r="10233" spans="1:2">
      <c r="A10233" s="136" t="str">
        <f t="shared" si="146"/>
        <v/>
      </c>
      <c r="B10233" s="136" t="str">
        <f t="shared" si="147"/>
        <v/>
      </c>
    </row>
    <row r="10234" spans="1:2">
      <c r="A10234" s="136" t="str">
        <f t="shared" si="146"/>
        <v/>
      </c>
      <c r="B10234" s="136" t="str">
        <f t="shared" si="147"/>
        <v/>
      </c>
    </row>
    <row r="10235" spans="1:2">
      <c r="A10235" s="136" t="str">
        <f t="shared" si="146"/>
        <v/>
      </c>
      <c r="B10235" s="136" t="str">
        <f t="shared" si="147"/>
        <v/>
      </c>
    </row>
    <row r="10236" spans="1:2">
      <c r="A10236" s="136" t="str">
        <f t="shared" si="146"/>
        <v/>
      </c>
      <c r="B10236" s="136" t="str">
        <f t="shared" si="147"/>
        <v/>
      </c>
    </row>
    <row r="10237" spans="1:2">
      <c r="A10237" s="136" t="str">
        <f t="shared" si="146"/>
        <v/>
      </c>
      <c r="B10237" s="136" t="str">
        <f t="shared" si="147"/>
        <v/>
      </c>
    </row>
    <row r="10238" spans="1:2">
      <c r="A10238" s="136" t="str">
        <f t="shared" si="146"/>
        <v/>
      </c>
      <c r="B10238" s="136" t="str">
        <f t="shared" si="147"/>
        <v/>
      </c>
    </row>
    <row r="10239" spans="1:2">
      <c r="A10239" s="136" t="str">
        <f t="shared" si="146"/>
        <v/>
      </c>
      <c r="B10239" s="136" t="str">
        <f t="shared" si="147"/>
        <v/>
      </c>
    </row>
    <row r="10240" spans="1:2">
      <c r="A10240" s="136" t="str">
        <f t="shared" si="146"/>
        <v/>
      </c>
      <c r="B10240" s="136" t="str">
        <f t="shared" si="147"/>
        <v/>
      </c>
    </row>
    <row r="10241" spans="1:2">
      <c r="A10241" s="136" t="str">
        <f t="shared" si="146"/>
        <v/>
      </c>
      <c r="B10241" s="136" t="str">
        <f t="shared" si="147"/>
        <v/>
      </c>
    </row>
    <row r="10242" spans="1:2">
      <c r="A10242" s="136" t="str">
        <f t="shared" si="146"/>
        <v/>
      </c>
      <c r="B10242" s="136" t="str">
        <f t="shared" si="147"/>
        <v/>
      </c>
    </row>
    <row r="10243" spans="1:2">
      <c r="A10243" s="136" t="str">
        <f t="shared" si="146"/>
        <v/>
      </c>
      <c r="B10243" s="136" t="str">
        <f t="shared" si="147"/>
        <v/>
      </c>
    </row>
    <row r="10244" spans="1:2">
      <c r="A10244" s="136" t="str">
        <f t="shared" si="146"/>
        <v/>
      </c>
      <c r="B10244" s="136" t="str">
        <f t="shared" si="147"/>
        <v/>
      </c>
    </row>
    <row r="10245" spans="1:2">
      <c r="A10245" s="136" t="str">
        <f t="shared" si="146"/>
        <v/>
      </c>
      <c r="B10245" s="136" t="str">
        <f t="shared" si="147"/>
        <v/>
      </c>
    </row>
    <row r="10246" spans="1:2">
      <c r="A10246" s="136" t="str">
        <f t="shared" si="146"/>
        <v/>
      </c>
      <c r="B10246" s="136" t="str">
        <f t="shared" si="147"/>
        <v/>
      </c>
    </row>
    <row r="10247" spans="1:2">
      <c r="A10247" s="136" t="str">
        <f t="shared" si="146"/>
        <v/>
      </c>
      <c r="B10247" s="136" t="str">
        <f t="shared" si="147"/>
        <v/>
      </c>
    </row>
    <row r="10248" spans="1:2">
      <c r="A10248" s="136" t="str">
        <f t="shared" si="146"/>
        <v/>
      </c>
      <c r="B10248" s="136" t="str">
        <f t="shared" si="147"/>
        <v/>
      </c>
    </row>
    <row r="10249" spans="1:2">
      <c r="A10249" s="136" t="str">
        <f t="shared" si="146"/>
        <v/>
      </c>
      <c r="B10249" s="136" t="str">
        <f t="shared" si="147"/>
        <v/>
      </c>
    </row>
    <row r="10250" spans="1:2">
      <c r="A10250" s="136" t="str">
        <f t="shared" si="146"/>
        <v/>
      </c>
      <c r="B10250" s="136" t="str">
        <f t="shared" si="147"/>
        <v/>
      </c>
    </row>
    <row r="10251" spans="1:2">
      <c r="A10251" s="136" t="str">
        <f t="shared" si="146"/>
        <v/>
      </c>
      <c r="B10251" s="136" t="str">
        <f t="shared" si="147"/>
        <v/>
      </c>
    </row>
    <row r="10252" spans="1:2">
      <c r="A10252" s="136" t="str">
        <f t="shared" ref="A10252:A10315" si="148">HYPERLINK("http://tw.stock.yahoo.com/q/ta?s=","")</f>
        <v/>
      </c>
      <c r="B10252" s="136" t="str">
        <f t="shared" ref="B10252:B10315" si="149">HYPERLINK("http://tw.stock.yahoo.com/d/s/earning_.html","")</f>
        <v/>
      </c>
    </row>
    <row r="10253" spans="1:2">
      <c r="A10253" s="136" t="str">
        <f t="shared" si="148"/>
        <v/>
      </c>
      <c r="B10253" s="136" t="str">
        <f t="shared" si="149"/>
        <v/>
      </c>
    </row>
    <row r="10254" spans="1:2">
      <c r="A10254" s="136" t="str">
        <f t="shared" si="148"/>
        <v/>
      </c>
      <c r="B10254" s="136" t="str">
        <f t="shared" si="149"/>
        <v/>
      </c>
    </row>
    <row r="10255" spans="1:2">
      <c r="A10255" s="136" t="str">
        <f t="shared" si="148"/>
        <v/>
      </c>
      <c r="B10255" s="136" t="str">
        <f t="shared" si="149"/>
        <v/>
      </c>
    </row>
    <row r="10256" spans="1:2">
      <c r="A10256" s="136" t="str">
        <f t="shared" si="148"/>
        <v/>
      </c>
      <c r="B10256" s="136" t="str">
        <f t="shared" si="149"/>
        <v/>
      </c>
    </row>
    <row r="10257" spans="1:2">
      <c r="A10257" s="136" t="str">
        <f t="shared" si="148"/>
        <v/>
      </c>
      <c r="B10257" s="136" t="str">
        <f t="shared" si="149"/>
        <v/>
      </c>
    </row>
    <row r="10258" spans="1:2">
      <c r="A10258" s="136" t="str">
        <f t="shared" si="148"/>
        <v/>
      </c>
      <c r="B10258" s="136" t="str">
        <f t="shared" si="149"/>
        <v/>
      </c>
    </row>
    <row r="10259" spans="1:2">
      <c r="A10259" s="136" t="str">
        <f t="shared" si="148"/>
        <v/>
      </c>
      <c r="B10259" s="136" t="str">
        <f t="shared" si="149"/>
        <v/>
      </c>
    </row>
    <row r="10260" spans="1:2">
      <c r="A10260" s="136" t="str">
        <f t="shared" si="148"/>
        <v/>
      </c>
      <c r="B10260" s="136" t="str">
        <f t="shared" si="149"/>
        <v/>
      </c>
    </row>
    <row r="10261" spans="1:2">
      <c r="A10261" s="136" t="str">
        <f t="shared" si="148"/>
        <v/>
      </c>
      <c r="B10261" s="136" t="str">
        <f t="shared" si="149"/>
        <v/>
      </c>
    </row>
    <row r="10262" spans="1:2">
      <c r="A10262" s="136" t="str">
        <f t="shared" si="148"/>
        <v/>
      </c>
      <c r="B10262" s="136" t="str">
        <f t="shared" si="149"/>
        <v/>
      </c>
    </row>
    <row r="10263" spans="1:2">
      <c r="A10263" s="136" t="str">
        <f t="shared" si="148"/>
        <v/>
      </c>
      <c r="B10263" s="136" t="str">
        <f t="shared" si="149"/>
        <v/>
      </c>
    </row>
    <row r="10264" spans="1:2">
      <c r="A10264" s="136" t="str">
        <f t="shared" si="148"/>
        <v/>
      </c>
      <c r="B10264" s="136" t="str">
        <f t="shared" si="149"/>
        <v/>
      </c>
    </row>
    <row r="10265" spans="1:2">
      <c r="A10265" s="136" t="str">
        <f t="shared" si="148"/>
        <v/>
      </c>
      <c r="B10265" s="136" t="str">
        <f t="shared" si="149"/>
        <v/>
      </c>
    </row>
    <row r="10266" spans="1:2">
      <c r="A10266" s="136" t="str">
        <f t="shared" si="148"/>
        <v/>
      </c>
      <c r="B10266" s="136" t="str">
        <f t="shared" si="149"/>
        <v/>
      </c>
    </row>
    <row r="10267" spans="1:2">
      <c r="A10267" s="136" t="str">
        <f t="shared" si="148"/>
        <v/>
      </c>
      <c r="B10267" s="136" t="str">
        <f t="shared" si="149"/>
        <v/>
      </c>
    </row>
    <row r="10268" spans="1:2">
      <c r="A10268" s="136" t="str">
        <f t="shared" si="148"/>
        <v/>
      </c>
      <c r="B10268" s="136" t="str">
        <f t="shared" si="149"/>
        <v/>
      </c>
    </row>
    <row r="10269" spans="1:2">
      <c r="A10269" s="136" t="str">
        <f t="shared" si="148"/>
        <v/>
      </c>
      <c r="B10269" s="136" t="str">
        <f t="shared" si="149"/>
        <v/>
      </c>
    </row>
    <row r="10270" spans="1:2">
      <c r="A10270" s="136" t="str">
        <f t="shared" si="148"/>
        <v/>
      </c>
      <c r="B10270" s="136" t="str">
        <f t="shared" si="149"/>
        <v/>
      </c>
    </row>
    <row r="10271" spans="1:2">
      <c r="A10271" s="136" t="str">
        <f t="shared" si="148"/>
        <v/>
      </c>
      <c r="B10271" s="136" t="str">
        <f t="shared" si="149"/>
        <v/>
      </c>
    </row>
    <row r="10272" spans="1:2">
      <c r="A10272" s="136" t="str">
        <f t="shared" si="148"/>
        <v/>
      </c>
      <c r="B10272" s="136" t="str">
        <f t="shared" si="149"/>
        <v/>
      </c>
    </row>
    <row r="10273" spans="1:2">
      <c r="A10273" s="136" t="str">
        <f t="shared" si="148"/>
        <v/>
      </c>
      <c r="B10273" s="136" t="str">
        <f t="shared" si="149"/>
        <v/>
      </c>
    </row>
    <row r="10274" spans="1:2">
      <c r="A10274" s="136" t="str">
        <f t="shared" si="148"/>
        <v/>
      </c>
      <c r="B10274" s="136" t="str">
        <f t="shared" si="149"/>
        <v/>
      </c>
    </row>
    <row r="10275" spans="1:2">
      <c r="A10275" s="136" t="str">
        <f t="shared" si="148"/>
        <v/>
      </c>
      <c r="B10275" s="136" t="str">
        <f t="shared" si="149"/>
        <v/>
      </c>
    </row>
    <row r="10276" spans="1:2">
      <c r="A10276" s="136" t="str">
        <f t="shared" si="148"/>
        <v/>
      </c>
      <c r="B10276" s="136" t="str">
        <f t="shared" si="149"/>
        <v/>
      </c>
    </row>
    <row r="10277" spans="1:2">
      <c r="A10277" s="136" t="str">
        <f t="shared" si="148"/>
        <v/>
      </c>
      <c r="B10277" s="136" t="str">
        <f t="shared" si="149"/>
        <v/>
      </c>
    </row>
    <row r="10278" spans="1:2">
      <c r="A10278" s="136" t="str">
        <f t="shared" si="148"/>
        <v/>
      </c>
      <c r="B10278" s="136" t="str">
        <f t="shared" si="149"/>
        <v/>
      </c>
    </row>
    <row r="10279" spans="1:2">
      <c r="A10279" s="136" t="str">
        <f t="shared" si="148"/>
        <v/>
      </c>
      <c r="B10279" s="136" t="str">
        <f t="shared" si="149"/>
        <v/>
      </c>
    </row>
    <row r="10280" spans="1:2">
      <c r="A10280" s="136" t="str">
        <f t="shared" si="148"/>
        <v/>
      </c>
      <c r="B10280" s="136" t="str">
        <f t="shared" si="149"/>
        <v/>
      </c>
    </row>
    <row r="10281" spans="1:2">
      <c r="A10281" s="136" t="str">
        <f t="shared" si="148"/>
        <v/>
      </c>
      <c r="B10281" s="136" t="str">
        <f t="shared" si="149"/>
        <v/>
      </c>
    </row>
    <row r="10282" spans="1:2">
      <c r="A10282" s="136" t="str">
        <f t="shared" si="148"/>
        <v/>
      </c>
      <c r="B10282" s="136" t="str">
        <f t="shared" si="149"/>
        <v/>
      </c>
    </row>
    <row r="10283" spans="1:2">
      <c r="A10283" s="136" t="str">
        <f t="shared" si="148"/>
        <v/>
      </c>
      <c r="B10283" s="136" t="str">
        <f t="shared" si="149"/>
        <v/>
      </c>
    </row>
    <row r="10284" spans="1:2">
      <c r="A10284" s="136" t="str">
        <f t="shared" si="148"/>
        <v/>
      </c>
      <c r="B10284" s="136" t="str">
        <f t="shared" si="149"/>
        <v/>
      </c>
    </row>
    <row r="10285" spans="1:2">
      <c r="A10285" s="136" t="str">
        <f t="shared" si="148"/>
        <v/>
      </c>
      <c r="B10285" s="136" t="str">
        <f t="shared" si="149"/>
        <v/>
      </c>
    </row>
    <row r="10286" spans="1:2">
      <c r="A10286" s="136" t="str">
        <f t="shared" si="148"/>
        <v/>
      </c>
      <c r="B10286" s="136" t="str">
        <f t="shared" si="149"/>
        <v/>
      </c>
    </row>
    <row r="10287" spans="1:2">
      <c r="A10287" s="136" t="str">
        <f t="shared" si="148"/>
        <v/>
      </c>
      <c r="B10287" s="136" t="str">
        <f t="shared" si="149"/>
        <v/>
      </c>
    </row>
    <row r="10288" spans="1:2">
      <c r="A10288" s="136" t="str">
        <f t="shared" si="148"/>
        <v/>
      </c>
      <c r="B10288" s="136" t="str">
        <f t="shared" si="149"/>
        <v/>
      </c>
    </row>
    <row r="10289" spans="1:2">
      <c r="A10289" s="136" t="str">
        <f t="shared" si="148"/>
        <v/>
      </c>
      <c r="B10289" s="136" t="str">
        <f t="shared" si="149"/>
        <v/>
      </c>
    </row>
    <row r="10290" spans="1:2">
      <c r="A10290" s="136" t="str">
        <f t="shared" si="148"/>
        <v/>
      </c>
      <c r="B10290" s="136" t="str">
        <f t="shared" si="149"/>
        <v/>
      </c>
    </row>
    <row r="10291" spans="1:2">
      <c r="A10291" s="136" t="str">
        <f t="shared" si="148"/>
        <v/>
      </c>
      <c r="B10291" s="136" t="str">
        <f t="shared" si="149"/>
        <v/>
      </c>
    </row>
    <row r="10292" spans="1:2">
      <c r="A10292" s="136" t="str">
        <f t="shared" si="148"/>
        <v/>
      </c>
      <c r="B10292" s="136" t="str">
        <f t="shared" si="149"/>
        <v/>
      </c>
    </row>
    <row r="10293" spans="1:2">
      <c r="A10293" s="136" t="str">
        <f t="shared" si="148"/>
        <v/>
      </c>
      <c r="B10293" s="136" t="str">
        <f t="shared" si="149"/>
        <v/>
      </c>
    </row>
    <row r="10294" spans="1:2">
      <c r="A10294" s="136" t="str">
        <f t="shared" si="148"/>
        <v/>
      </c>
      <c r="B10294" s="136" t="str">
        <f t="shared" si="149"/>
        <v/>
      </c>
    </row>
    <row r="10295" spans="1:2">
      <c r="A10295" s="136" t="str">
        <f t="shared" si="148"/>
        <v/>
      </c>
      <c r="B10295" s="136" t="str">
        <f t="shared" si="149"/>
        <v/>
      </c>
    </row>
    <row r="10296" spans="1:2">
      <c r="A10296" s="136" t="str">
        <f t="shared" si="148"/>
        <v/>
      </c>
      <c r="B10296" s="136" t="str">
        <f t="shared" si="149"/>
        <v/>
      </c>
    </row>
    <row r="10297" spans="1:2">
      <c r="A10297" s="136" t="str">
        <f t="shared" si="148"/>
        <v/>
      </c>
      <c r="B10297" s="136" t="str">
        <f t="shared" si="149"/>
        <v/>
      </c>
    </row>
    <row r="10298" spans="1:2">
      <c r="A10298" s="136" t="str">
        <f t="shared" si="148"/>
        <v/>
      </c>
      <c r="B10298" s="136" t="str">
        <f t="shared" si="149"/>
        <v/>
      </c>
    </row>
    <row r="10299" spans="1:2">
      <c r="A10299" s="136" t="str">
        <f t="shared" si="148"/>
        <v/>
      </c>
      <c r="B10299" s="136" t="str">
        <f t="shared" si="149"/>
        <v/>
      </c>
    </row>
    <row r="10300" spans="1:2">
      <c r="A10300" s="136" t="str">
        <f t="shared" si="148"/>
        <v/>
      </c>
      <c r="B10300" s="136" t="str">
        <f t="shared" si="149"/>
        <v/>
      </c>
    </row>
    <row r="10301" spans="1:2">
      <c r="A10301" s="136" t="str">
        <f t="shared" si="148"/>
        <v/>
      </c>
      <c r="B10301" s="136" t="str">
        <f t="shared" si="149"/>
        <v/>
      </c>
    </row>
    <row r="10302" spans="1:2">
      <c r="A10302" s="136" t="str">
        <f t="shared" si="148"/>
        <v/>
      </c>
      <c r="B10302" s="136" t="str">
        <f t="shared" si="149"/>
        <v/>
      </c>
    </row>
    <row r="10303" spans="1:2">
      <c r="A10303" s="136" t="str">
        <f t="shared" si="148"/>
        <v/>
      </c>
      <c r="B10303" s="136" t="str">
        <f t="shared" si="149"/>
        <v/>
      </c>
    </row>
    <row r="10304" spans="1:2">
      <c r="A10304" s="136" t="str">
        <f t="shared" si="148"/>
        <v/>
      </c>
      <c r="B10304" s="136" t="str">
        <f t="shared" si="149"/>
        <v/>
      </c>
    </row>
    <row r="10305" spans="1:2">
      <c r="A10305" s="136" t="str">
        <f t="shared" si="148"/>
        <v/>
      </c>
      <c r="B10305" s="136" t="str">
        <f t="shared" si="149"/>
        <v/>
      </c>
    </row>
    <row r="10306" spans="1:2">
      <c r="A10306" s="136" t="str">
        <f t="shared" si="148"/>
        <v/>
      </c>
      <c r="B10306" s="136" t="str">
        <f t="shared" si="149"/>
        <v/>
      </c>
    </row>
    <row r="10307" spans="1:2">
      <c r="A10307" s="136" t="str">
        <f t="shared" si="148"/>
        <v/>
      </c>
      <c r="B10307" s="136" t="str">
        <f t="shared" si="149"/>
        <v/>
      </c>
    </row>
    <row r="10308" spans="1:2">
      <c r="A10308" s="136" t="str">
        <f t="shared" si="148"/>
        <v/>
      </c>
      <c r="B10308" s="136" t="str">
        <f t="shared" si="149"/>
        <v/>
      </c>
    </row>
    <row r="10309" spans="1:2">
      <c r="A10309" s="136" t="str">
        <f t="shared" si="148"/>
        <v/>
      </c>
      <c r="B10309" s="136" t="str">
        <f t="shared" si="149"/>
        <v/>
      </c>
    </row>
    <row r="10310" spans="1:2">
      <c r="A10310" s="136" t="str">
        <f t="shared" si="148"/>
        <v/>
      </c>
      <c r="B10310" s="136" t="str">
        <f t="shared" si="149"/>
        <v/>
      </c>
    </row>
    <row r="10311" spans="1:2">
      <c r="A10311" s="136" t="str">
        <f t="shared" si="148"/>
        <v/>
      </c>
      <c r="B10311" s="136" t="str">
        <f t="shared" si="149"/>
        <v/>
      </c>
    </row>
    <row r="10312" spans="1:2">
      <c r="A10312" s="136" t="str">
        <f t="shared" si="148"/>
        <v/>
      </c>
      <c r="B10312" s="136" t="str">
        <f t="shared" si="149"/>
        <v/>
      </c>
    </row>
    <row r="10313" spans="1:2">
      <c r="A10313" s="136" t="str">
        <f t="shared" si="148"/>
        <v/>
      </c>
      <c r="B10313" s="136" t="str">
        <f t="shared" si="149"/>
        <v/>
      </c>
    </row>
    <row r="10314" spans="1:2">
      <c r="A10314" s="136" t="str">
        <f t="shared" si="148"/>
        <v/>
      </c>
      <c r="B10314" s="136" t="str">
        <f t="shared" si="149"/>
        <v/>
      </c>
    </row>
    <row r="10315" spans="1:2">
      <c r="A10315" s="136" t="str">
        <f t="shared" si="148"/>
        <v/>
      </c>
      <c r="B10315" s="136" t="str">
        <f t="shared" si="149"/>
        <v/>
      </c>
    </row>
    <row r="10316" spans="1:2">
      <c r="A10316" s="136" t="str">
        <f t="shared" ref="A10316:A10350" si="150">HYPERLINK("http://tw.stock.yahoo.com/q/ta?s=","")</f>
        <v/>
      </c>
      <c r="B10316" s="136" t="str">
        <f t="shared" ref="B10316:B10350" si="151">HYPERLINK("http://tw.stock.yahoo.com/d/s/earning_.html","")</f>
        <v/>
      </c>
    </row>
    <row r="10317" spans="1:2">
      <c r="A10317" s="136" t="str">
        <f t="shared" si="150"/>
        <v/>
      </c>
      <c r="B10317" s="136" t="str">
        <f t="shared" si="151"/>
        <v/>
      </c>
    </row>
    <row r="10318" spans="1:2">
      <c r="A10318" s="136" t="str">
        <f t="shared" si="150"/>
        <v/>
      </c>
      <c r="B10318" s="136" t="str">
        <f t="shared" si="151"/>
        <v/>
      </c>
    </row>
    <row r="10319" spans="1:2">
      <c r="A10319" s="136" t="str">
        <f t="shared" si="150"/>
        <v/>
      </c>
      <c r="B10319" s="136" t="str">
        <f t="shared" si="151"/>
        <v/>
      </c>
    </row>
    <row r="10320" spans="1:2">
      <c r="A10320" s="136" t="str">
        <f t="shared" si="150"/>
        <v/>
      </c>
      <c r="B10320" s="136" t="str">
        <f t="shared" si="151"/>
        <v/>
      </c>
    </row>
    <row r="10321" spans="1:2">
      <c r="A10321" s="136" t="str">
        <f t="shared" si="150"/>
        <v/>
      </c>
      <c r="B10321" s="136" t="str">
        <f t="shared" si="151"/>
        <v/>
      </c>
    </row>
    <row r="10322" spans="1:2">
      <c r="A10322" s="136" t="str">
        <f t="shared" si="150"/>
        <v/>
      </c>
      <c r="B10322" s="136" t="str">
        <f t="shared" si="151"/>
        <v/>
      </c>
    </row>
    <row r="10323" spans="1:2">
      <c r="A10323" s="136" t="str">
        <f t="shared" si="150"/>
        <v/>
      </c>
      <c r="B10323" s="136" t="str">
        <f t="shared" si="151"/>
        <v/>
      </c>
    </row>
    <row r="10324" spans="1:2">
      <c r="A10324" s="136" t="str">
        <f t="shared" si="150"/>
        <v/>
      </c>
      <c r="B10324" s="136" t="str">
        <f t="shared" si="151"/>
        <v/>
      </c>
    </row>
    <row r="10325" spans="1:2">
      <c r="A10325" s="136" t="str">
        <f t="shared" si="150"/>
        <v/>
      </c>
      <c r="B10325" s="136" t="str">
        <f t="shared" si="151"/>
        <v/>
      </c>
    </row>
    <row r="10326" spans="1:2">
      <c r="A10326" s="136" t="str">
        <f t="shared" si="150"/>
        <v/>
      </c>
      <c r="B10326" s="136" t="str">
        <f t="shared" si="151"/>
        <v/>
      </c>
    </row>
    <row r="10327" spans="1:2">
      <c r="A10327" s="136" t="str">
        <f t="shared" si="150"/>
        <v/>
      </c>
      <c r="B10327" s="136" t="str">
        <f t="shared" si="151"/>
        <v/>
      </c>
    </row>
    <row r="10328" spans="1:2">
      <c r="A10328" s="136" t="str">
        <f t="shared" si="150"/>
        <v/>
      </c>
      <c r="B10328" s="136" t="str">
        <f t="shared" si="151"/>
        <v/>
      </c>
    </row>
    <row r="10329" spans="1:2">
      <c r="A10329" s="136" t="str">
        <f t="shared" si="150"/>
        <v/>
      </c>
      <c r="B10329" s="136" t="str">
        <f t="shared" si="151"/>
        <v/>
      </c>
    </row>
    <row r="10330" spans="1:2">
      <c r="A10330" s="136" t="str">
        <f t="shared" si="150"/>
        <v/>
      </c>
      <c r="B10330" s="136" t="str">
        <f t="shared" si="151"/>
        <v/>
      </c>
    </row>
    <row r="10331" spans="1:2">
      <c r="A10331" s="136" t="str">
        <f t="shared" si="150"/>
        <v/>
      </c>
      <c r="B10331" s="136" t="str">
        <f t="shared" si="151"/>
        <v/>
      </c>
    </row>
    <row r="10332" spans="1:2">
      <c r="A10332" s="136" t="str">
        <f t="shared" si="150"/>
        <v/>
      </c>
      <c r="B10332" s="136" t="str">
        <f t="shared" si="151"/>
        <v/>
      </c>
    </row>
    <row r="10333" spans="1:2">
      <c r="A10333" s="136" t="str">
        <f t="shared" si="150"/>
        <v/>
      </c>
      <c r="B10333" s="136" t="str">
        <f t="shared" si="151"/>
        <v/>
      </c>
    </row>
    <row r="10334" spans="1:2">
      <c r="A10334" s="136" t="str">
        <f t="shared" si="150"/>
        <v/>
      </c>
      <c r="B10334" s="136" t="str">
        <f t="shared" si="151"/>
        <v/>
      </c>
    </row>
    <row r="10335" spans="1:2">
      <c r="A10335" s="136" t="str">
        <f t="shared" si="150"/>
        <v/>
      </c>
      <c r="B10335" s="136" t="str">
        <f t="shared" si="151"/>
        <v/>
      </c>
    </row>
    <row r="10336" spans="1:2">
      <c r="A10336" s="136" t="str">
        <f t="shared" si="150"/>
        <v/>
      </c>
      <c r="B10336" s="136" t="str">
        <f t="shared" si="151"/>
        <v/>
      </c>
    </row>
    <row r="10337" spans="1:2">
      <c r="A10337" s="136" t="str">
        <f t="shared" si="150"/>
        <v/>
      </c>
      <c r="B10337" s="136" t="str">
        <f t="shared" si="151"/>
        <v/>
      </c>
    </row>
    <row r="10338" spans="1:2">
      <c r="A10338" s="136" t="str">
        <f t="shared" si="150"/>
        <v/>
      </c>
      <c r="B10338" s="136" t="str">
        <f t="shared" si="151"/>
        <v/>
      </c>
    </row>
    <row r="10339" spans="1:2">
      <c r="A10339" s="136" t="str">
        <f t="shared" si="150"/>
        <v/>
      </c>
      <c r="B10339" s="136" t="str">
        <f t="shared" si="151"/>
        <v/>
      </c>
    </row>
    <row r="10340" spans="1:2">
      <c r="A10340" s="136" t="str">
        <f t="shared" si="150"/>
        <v/>
      </c>
      <c r="B10340" s="136" t="str">
        <f t="shared" si="151"/>
        <v/>
      </c>
    </row>
    <row r="10341" spans="1:2">
      <c r="A10341" s="136" t="str">
        <f t="shared" si="150"/>
        <v/>
      </c>
      <c r="B10341" s="136" t="str">
        <f t="shared" si="151"/>
        <v/>
      </c>
    </row>
    <row r="10342" spans="1:2">
      <c r="A10342" s="136" t="str">
        <f t="shared" si="150"/>
        <v/>
      </c>
      <c r="B10342" s="136" t="str">
        <f t="shared" si="151"/>
        <v/>
      </c>
    </row>
    <row r="10343" spans="1:2">
      <c r="A10343" s="136" t="str">
        <f t="shared" si="150"/>
        <v/>
      </c>
      <c r="B10343" s="136" t="str">
        <f t="shared" si="151"/>
        <v/>
      </c>
    </row>
    <row r="10344" spans="1:2">
      <c r="A10344" s="136" t="str">
        <f t="shared" si="150"/>
        <v/>
      </c>
      <c r="B10344" s="136" t="str">
        <f t="shared" si="151"/>
        <v/>
      </c>
    </row>
    <row r="10345" spans="1:2">
      <c r="A10345" s="136" t="str">
        <f t="shared" si="150"/>
        <v/>
      </c>
      <c r="B10345" s="136" t="str">
        <f t="shared" si="151"/>
        <v/>
      </c>
    </row>
    <row r="10346" spans="1:2">
      <c r="A10346" s="136" t="str">
        <f t="shared" si="150"/>
        <v/>
      </c>
      <c r="B10346" s="136" t="str">
        <f t="shared" si="151"/>
        <v/>
      </c>
    </row>
    <row r="10347" spans="1:2">
      <c r="A10347" s="136" t="str">
        <f t="shared" si="150"/>
        <v/>
      </c>
      <c r="B10347" s="136" t="str">
        <f t="shared" si="151"/>
        <v/>
      </c>
    </row>
    <row r="10348" spans="1:2">
      <c r="A10348" s="136" t="str">
        <f t="shared" si="150"/>
        <v/>
      </c>
      <c r="B10348" s="136" t="str">
        <f t="shared" si="151"/>
        <v/>
      </c>
    </row>
    <row r="10349" spans="1:2">
      <c r="A10349" s="136" t="str">
        <f t="shared" si="150"/>
        <v/>
      </c>
      <c r="B10349" s="136" t="str">
        <f t="shared" si="151"/>
        <v/>
      </c>
    </row>
    <row r="10350" spans="1:2">
      <c r="A10350" s="136" t="str">
        <f t="shared" si="150"/>
        <v/>
      </c>
      <c r="B10350" s="136" t="str">
        <f t="shared" si="151"/>
        <v/>
      </c>
    </row>
  </sheetData>
  <autoFilter ref="A1:M14218"/>
  <sortState ref="A2:K5000">
    <sortCondition descending="1" ref="A2:A50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7" r:id="rId4" name="CommandButton1">
          <controlPr defaultSize="0" autoLine="0" autoPict="0" r:id="rId5">
            <anchor moveWithCells="1">
              <from>
                <xdr:col>11</xdr:col>
                <xdr:colOff>809625</xdr:colOff>
                <xdr:row>0</xdr:row>
                <xdr:rowOff>0</xdr:rowOff>
              </from>
              <to>
                <xdr:col>12</xdr:col>
                <xdr:colOff>0</xdr:colOff>
                <xdr:row>0</xdr:row>
                <xdr:rowOff>323850</xdr:rowOff>
              </to>
            </anchor>
          </controlPr>
        </control>
      </mc:Choice>
      <mc:Fallback>
        <control shapeId="12297" r:id="rId4" name="CommandButton1"/>
      </mc:Fallback>
    </mc:AlternateContent>
    <mc:AlternateContent xmlns:mc="http://schemas.openxmlformats.org/markup-compatibility/2006">
      <mc:Choice Requires="x14">
        <control shapeId="12296" r:id="rId6" name="CommandButton6">
          <controlPr defaultSize="0" autoLine="0" autoPict="0" r:id="rId7">
            <anchor moveWithCells="1">
              <from>
                <xdr:col>0</xdr:col>
                <xdr:colOff>19050</xdr:colOff>
                <xdr:row>0</xdr:row>
                <xdr:rowOff>38100</xdr:rowOff>
              </from>
              <to>
                <xdr:col>1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12296" r:id="rId6" name="CommandButton6"/>
      </mc:Fallback>
    </mc:AlternateContent>
    <mc:AlternateContent xmlns:mc="http://schemas.openxmlformats.org/markup-compatibility/2006">
      <mc:Choice Requires="x14">
        <control shapeId="12295" r:id="rId8" name="CommandButton5">
          <controlPr defaultSize="0" autoLine="0" autoPict="0" r:id="rId9">
            <anchor moveWithCells="1">
              <from>
                <xdr:col>12</xdr:col>
                <xdr:colOff>19050</xdr:colOff>
                <xdr:row>0</xdr:row>
                <xdr:rowOff>0</xdr:rowOff>
              </from>
              <to>
                <xdr:col>12</xdr:col>
                <xdr:colOff>742950</xdr:colOff>
                <xdr:row>1</xdr:row>
                <xdr:rowOff>0</xdr:rowOff>
              </to>
            </anchor>
          </controlPr>
        </control>
      </mc:Choice>
      <mc:Fallback>
        <control shapeId="12295" r:id="rId8" name="CommandButton5"/>
      </mc:Fallback>
    </mc:AlternateContent>
    <mc:AlternateContent xmlns:mc="http://schemas.openxmlformats.org/markup-compatibility/2006">
      <mc:Choice Requires="x14">
        <control shapeId="12293" r:id="rId10" name="CommandButton4">
          <controlPr defaultSize="0" autoLine="0" autoPict="0" r:id="rId11">
            <anchor moveWithCells="1">
              <from>
                <xdr:col>11</xdr:col>
                <xdr:colOff>47625</xdr:colOff>
                <xdr:row>0</xdr:row>
                <xdr:rowOff>0</xdr:rowOff>
              </from>
              <to>
                <xdr:col>11</xdr:col>
                <xdr:colOff>800100</xdr:colOff>
                <xdr:row>1</xdr:row>
                <xdr:rowOff>0</xdr:rowOff>
              </to>
            </anchor>
          </controlPr>
        </control>
      </mc:Choice>
      <mc:Fallback>
        <control shapeId="12293" r:id="rId10" name="CommandButton4"/>
      </mc:Fallback>
    </mc:AlternateContent>
    <mc:AlternateContent xmlns:mc="http://schemas.openxmlformats.org/markup-compatibility/2006">
      <mc:Choice Requires="x14">
        <control shapeId="12289" r:id="rId12" name="ComboBox1">
          <controlPr defaultSize="0" autoLine="0" linkedCell="A1" r:id="rId13">
            <anchor moveWithCells="1">
              <from>
                <xdr:col>10</xdr:col>
                <xdr:colOff>0</xdr:colOff>
                <xdr:row>0</xdr:row>
                <xdr:rowOff>19050</xdr:rowOff>
              </from>
              <to>
                <xdr:col>11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12289" r:id="rId12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P85"/>
  <sheetViews>
    <sheetView zoomScaleNormal="100" workbookViewId="0">
      <pane xSplit="5" ySplit="20" topLeftCell="F21" activePane="bottomRight" state="frozen"/>
      <selection pane="topRight" activeCell="F1" sqref="F1"/>
      <selection pane="bottomLeft" activeCell="A20" sqref="A20"/>
      <selection pane="bottomRight" activeCell="I22" sqref="I22"/>
    </sheetView>
  </sheetViews>
  <sheetFormatPr defaultRowHeight="16.5"/>
  <cols>
    <col min="1" max="1" width="7.5" style="192" customWidth="1"/>
    <col min="2" max="2" width="53.375" customWidth="1"/>
    <col min="3" max="4" width="12.625" customWidth="1"/>
    <col min="5" max="5" width="2.375" style="1" customWidth="1"/>
    <col min="6" max="6" width="9.5" style="201" bestFit="1" customWidth="1"/>
    <col min="7" max="7" width="9" style="200"/>
    <col min="8" max="8" width="11.625" style="200" bestFit="1" customWidth="1"/>
  </cols>
  <sheetData>
    <row r="1" spans="1:8" ht="19.5">
      <c r="A1" s="503" t="s">
        <v>1907</v>
      </c>
      <c r="B1" s="503"/>
      <c r="C1" s="503"/>
      <c r="D1" s="503"/>
      <c r="E1" s="215"/>
      <c r="F1" s="502" t="s">
        <v>1930</v>
      </c>
      <c r="G1" s="502"/>
      <c r="H1" s="502"/>
    </row>
    <row r="2" spans="1:8" ht="19.5">
      <c r="A2" s="503" t="s">
        <v>1908</v>
      </c>
      <c r="B2" s="503"/>
      <c r="C2" s="503"/>
      <c r="D2" s="503"/>
      <c r="E2" s="215"/>
      <c r="F2" s="502"/>
      <c r="G2" s="502"/>
      <c r="H2" s="502"/>
    </row>
    <row r="3" spans="1:8" ht="20.25" thickBot="1">
      <c r="A3" s="504">
        <f ca="1">TODAY()</f>
        <v>42438</v>
      </c>
      <c r="B3" s="504"/>
      <c r="C3" s="504"/>
      <c r="D3" s="504"/>
      <c r="E3" s="216"/>
      <c r="F3" s="502"/>
      <c r="G3" s="502"/>
      <c r="H3" s="502"/>
    </row>
    <row r="4" spans="1:8" ht="24.75" customHeight="1">
      <c r="A4" s="211" t="s">
        <v>1925</v>
      </c>
      <c r="B4" s="212" t="s">
        <v>2561</v>
      </c>
      <c r="C4" s="505"/>
      <c r="D4" s="506"/>
      <c r="E4" s="216"/>
      <c r="F4" s="202" t="s">
        <v>1922</v>
      </c>
      <c r="G4" s="203" t="s">
        <v>1923</v>
      </c>
      <c r="H4" s="203" t="s">
        <v>1924</v>
      </c>
    </row>
    <row r="5" spans="1:8">
      <c r="A5" s="351" t="s">
        <v>1921</v>
      </c>
      <c r="B5" s="352" t="s">
        <v>1918</v>
      </c>
      <c r="C5" s="352" t="s">
        <v>1920</v>
      </c>
      <c r="D5" s="353" t="s">
        <v>1919</v>
      </c>
      <c r="F5" s="201">
        <v>3152</v>
      </c>
      <c r="G5" s="200" t="s">
        <v>1973</v>
      </c>
      <c r="H5" s="200" t="s">
        <v>1927</v>
      </c>
    </row>
    <row r="6" spans="1:8">
      <c r="A6" s="204" t="s">
        <v>1909</v>
      </c>
      <c r="B6" s="205" t="s">
        <v>2025</v>
      </c>
      <c r="C6" s="233" t="s">
        <v>2563</v>
      </c>
      <c r="D6" s="206"/>
      <c r="F6" s="201">
        <v>8422</v>
      </c>
      <c r="G6" s="200" t="s">
        <v>1926</v>
      </c>
      <c r="H6" s="200" t="s">
        <v>1928</v>
      </c>
    </row>
    <row r="7" spans="1:8">
      <c r="A7" s="204" t="s">
        <v>1910</v>
      </c>
      <c r="B7" s="205" t="s">
        <v>2026</v>
      </c>
      <c r="C7" s="225" t="e">
        <f>VLOOKUP(1568,RPS!A:C,6,0)</f>
        <v>#REF!</v>
      </c>
      <c r="D7" s="206"/>
      <c r="F7" s="201">
        <v>1597</v>
      </c>
      <c r="G7" s="200" t="s">
        <v>1974</v>
      </c>
      <c r="H7" s="200" t="s">
        <v>1929</v>
      </c>
    </row>
    <row r="8" spans="1:8">
      <c r="A8" s="204" t="s">
        <v>1911</v>
      </c>
      <c r="B8" s="205" t="s">
        <v>2020</v>
      </c>
      <c r="C8" s="225">
        <f>VLOOKUP(1568,PSR!A:I,9,0)</f>
        <v>0.96921033561710723</v>
      </c>
      <c r="D8" s="206"/>
      <c r="F8" s="201">
        <v>8049</v>
      </c>
      <c r="H8" s="200" t="s">
        <v>2007</v>
      </c>
    </row>
    <row r="9" spans="1:8">
      <c r="A9" s="204" t="s">
        <v>2028</v>
      </c>
      <c r="B9" s="205" t="s">
        <v>2027</v>
      </c>
      <c r="C9" s="225">
        <f>VLOOKUP(1568,葛林公式!A:L,12,0)</f>
        <v>547</v>
      </c>
      <c r="D9" s="206"/>
      <c r="F9" s="201">
        <v>1788</v>
      </c>
      <c r="H9" s="200" t="s">
        <v>2008</v>
      </c>
    </row>
    <row r="10" spans="1:8">
      <c r="A10" s="207" t="s">
        <v>2029</v>
      </c>
      <c r="B10" s="75" t="s">
        <v>1912</v>
      </c>
      <c r="C10" s="226">
        <v>0</v>
      </c>
      <c r="D10" s="208"/>
      <c r="F10" s="201">
        <v>3152</v>
      </c>
      <c r="H10" s="200" t="s">
        <v>1931</v>
      </c>
    </row>
    <row r="11" spans="1:8">
      <c r="A11" s="207" t="s">
        <v>2030</v>
      </c>
      <c r="B11" s="75" t="s">
        <v>1913</v>
      </c>
      <c r="C11" s="226">
        <f>紅綠燈!R1</f>
        <v>1</v>
      </c>
      <c r="D11" s="208"/>
      <c r="F11" s="201">
        <v>3068</v>
      </c>
      <c r="H11" s="200" t="s">
        <v>1932</v>
      </c>
    </row>
    <row r="12" spans="1:8">
      <c r="A12" s="207" t="s">
        <v>2031</v>
      </c>
      <c r="B12" s="75" t="s">
        <v>2005</v>
      </c>
      <c r="C12" s="226">
        <f>紅綠燈!U63</f>
        <v>0</v>
      </c>
      <c r="D12" s="208"/>
      <c r="F12" s="201">
        <v>3044</v>
      </c>
      <c r="H12" s="200" t="s">
        <v>1933</v>
      </c>
    </row>
    <row r="13" spans="1:8">
      <c r="A13" s="207" t="s">
        <v>2032</v>
      </c>
      <c r="B13" s="75" t="s">
        <v>2004</v>
      </c>
      <c r="C13" s="227">
        <v>0.27848101265822778</v>
      </c>
      <c r="D13" s="208"/>
      <c r="F13" s="201">
        <v>5388</v>
      </c>
      <c r="H13" s="200" t="s">
        <v>1934</v>
      </c>
    </row>
    <row r="14" spans="1:8">
      <c r="A14" s="207" t="s">
        <v>2033</v>
      </c>
      <c r="B14" s="75" t="s">
        <v>2003</v>
      </c>
      <c r="C14" s="226">
        <f>紅綠燈!V35</f>
        <v>0.96571428571428575</v>
      </c>
      <c r="D14" s="208"/>
      <c r="F14" s="201">
        <v>1568</v>
      </c>
      <c r="H14" s="200" t="s">
        <v>1935</v>
      </c>
    </row>
    <row r="15" spans="1:8">
      <c r="A15" s="209" t="s">
        <v>2034</v>
      </c>
      <c r="B15" s="76" t="s">
        <v>2021</v>
      </c>
      <c r="C15" s="228"/>
      <c r="D15" s="210"/>
      <c r="H15" s="200" t="s">
        <v>1936</v>
      </c>
    </row>
    <row r="16" spans="1:8">
      <c r="A16" s="209" t="s">
        <v>2035</v>
      </c>
      <c r="B16" s="213" t="s">
        <v>2022</v>
      </c>
      <c r="C16" s="229"/>
      <c r="D16" s="210"/>
      <c r="H16" s="200" t="s">
        <v>1937</v>
      </c>
    </row>
    <row r="17" spans="1:16">
      <c r="A17" s="209" t="s">
        <v>2036</v>
      </c>
      <c r="B17" s="76" t="s">
        <v>2023</v>
      </c>
      <c r="C17" s="229"/>
      <c r="D17" s="210"/>
      <c r="H17" s="200" t="s">
        <v>2002</v>
      </c>
    </row>
    <row r="18" spans="1:16">
      <c r="A18" s="223" t="s">
        <v>2037</v>
      </c>
      <c r="B18" s="73" t="s">
        <v>2024</v>
      </c>
      <c r="C18" s="230"/>
      <c r="D18" s="224"/>
    </row>
    <row r="19" spans="1:16">
      <c r="A19" s="221" t="s">
        <v>2009</v>
      </c>
      <c r="B19" s="218" t="s">
        <v>2011</v>
      </c>
      <c r="C19" s="231"/>
      <c r="D19" s="222"/>
    </row>
    <row r="20" spans="1:16" ht="17.25" thickBot="1">
      <c r="A20" s="219" t="s">
        <v>2010</v>
      </c>
      <c r="B20" s="218" t="s">
        <v>2012</v>
      </c>
      <c r="C20" s="232"/>
      <c r="D20" s="220"/>
    </row>
    <row r="21" spans="1:16" ht="17.25" thickBot="1">
      <c r="A21" s="507" t="s">
        <v>1914</v>
      </c>
      <c r="B21" s="509"/>
      <c r="C21" s="509"/>
      <c r="D21" s="508"/>
    </row>
    <row r="22" spans="1:16" ht="279.75" customHeight="1" thickBot="1">
      <c r="A22" s="510" t="s">
        <v>2006</v>
      </c>
      <c r="B22" s="511"/>
      <c r="C22" s="511"/>
      <c r="D22" s="512"/>
    </row>
    <row r="23" spans="1:16" ht="17.25" thickBot="1">
      <c r="A23" s="507" t="s">
        <v>1938</v>
      </c>
      <c r="B23" s="508"/>
      <c r="C23" s="197" t="s">
        <v>1915</v>
      </c>
      <c r="D23" s="199">
        <v>83.4</v>
      </c>
    </row>
    <row r="24" spans="1:16">
      <c r="A24" s="496"/>
      <c r="B24" s="497"/>
      <c r="C24" s="193" t="s">
        <v>1916</v>
      </c>
      <c r="D24" s="194"/>
    </row>
    <row r="25" spans="1:16">
      <c r="A25" s="498"/>
      <c r="B25" s="499"/>
      <c r="C25" s="195" t="s">
        <v>1916</v>
      </c>
      <c r="D25" s="196"/>
    </row>
    <row r="26" spans="1:16">
      <c r="A26" s="498"/>
      <c r="B26" s="499"/>
      <c r="C26" s="195" t="s">
        <v>1916</v>
      </c>
      <c r="D26" s="196"/>
    </row>
    <row r="27" spans="1:16">
      <c r="A27" s="498"/>
      <c r="B27" s="499"/>
      <c r="C27" s="195" t="s">
        <v>1916</v>
      </c>
      <c r="D27" s="196"/>
    </row>
    <row r="28" spans="1:16" ht="17.25" thickBot="1">
      <c r="A28" s="498"/>
      <c r="B28" s="499"/>
      <c r="C28" s="195" t="s">
        <v>1916</v>
      </c>
      <c r="D28" s="196"/>
      <c r="I28" s="200"/>
      <c r="J28" s="200"/>
      <c r="K28" s="200"/>
      <c r="L28" s="200"/>
      <c r="M28" s="200"/>
      <c r="N28" s="200"/>
      <c r="O28" s="200"/>
      <c r="P28" s="200"/>
    </row>
    <row r="29" spans="1:16" ht="17.25" thickBot="1">
      <c r="A29" s="500"/>
      <c r="B29" s="501"/>
      <c r="C29" s="197" t="s">
        <v>1917</v>
      </c>
      <c r="D29" s="198"/>
      <c r="I29" s="200"/>
      <c r="J29" s="200"/>
      <c r="K29" s="200"/>
      <c r="L29" s="200"/>
      <c r="M29" s="200"/>
      <c r="N29" s="200"/>
      <c r="O29" s="200"/>
      <c r="P29" s="200"/>
    </row>
    <row r="30" spans="1:16" s="1" customFormat="1">
      <c r="A30" s="39"/>
      <c r="F30" s="217"/>
      <c r="G30" s="39"/>
      <c r="H30" s="39"/>
    </row>
    <row r="31" spans="1:16" s="1" customFormat="1">
      <c r="A31" s="39"/>
      <c r="F31" s="217"/>
      <c r="G31" s="39"/>
      <c r="H31" s="39"/>
    </row>
    <row r="32" spans="1:16" s="1" customFormat="1">
      <c r="A32" s="39"/>
      <c r="F32" s="217"/>
      <c r="G32" s="39"/>
      <c r="H32" s="39"/>
    </row>
    <row r="33" spans="1:8" s="1" customFormat="1">
      <c r="A33" s="39"/>
      <c r="F33" s="217"/>
      <c r="G33" s="39"/>
      <c r="H33" s="39"/>
    </row>
    <row r="34" spans="1:8" s="1" customFormat="1">
      <c r="A34" s="39"/>
      <c r="F34" s="217"/>
      <c r="G34" s="39"/>
      <c r="H34" s="39"/>
    </row>
    <row r="35" spans="1:8" s="1" customFormat="1">
      <c r="A35" s="39"/>
      <c r="F35" s="217"/>
      <c r="G35" s="39"/>
      <c r="H35" s="39"/>
    </row>
    <row r="36" spans="1:8" s="1" customFormat="1">
      <c r="A36" s="39"/>
      <c r="F36" s="217"/>
      <c r="G36" s="39"/>
      <c r="H36" s="39"/>
    </row>
    <row r="37" spans="1:8" s="1" customFormat="1">
      <c r="A37" s="39"/>
      <c r="F37" s="217"/>
      <c r="G37" s="39"/>
      <c r="H37" s="39"/>
    </row>
    <row r="38" spans="1:8" s="1" customFormat="1">
      <c r="A38" s="39"/>
      <c r="F38" s="217"/>
      <c r="G38" s="39"/>
      <c r="H38" s="39"/>
    </row>
    <row r="39" spans="1:8" s="1" customFormat="1">
      <c r="A39" s="39"/>
      <c r="F39" s="217"/>
      <c r="G39" s="39"/>
      <c r="H39" s="39"/>
    </row>
    <row r="40" spans="1:8" s="1" customFormat="1">
      <c r="A40" s="39"/>
      <c r="F40" s="217"/>
      <c r="G40" s="39"/>
      <c r="H40" s="39"/>
    </row>
    <row r="41" spans="1:8" s="1" customFormat="1">
      <c r="A41" s="39"/>
      <c r="F41" s="217"/>
      <c r="G41" s="39"/>
      <c r="H41" s="39"/>
    </row>
    <row r="42" spans="1:8" s="1" customFormat="1">
      <c r="A42" s="39"/>
      <c r="F42" s="217"/>
      <c r="G42" s="39"/>
      <c r="H42" s="39"/>
    </row>
    <row r="43" spans="1:8" s="1" customFormat="1">
      <c r="A43" s="39"/>
      <c r="F43" s="217"/>
      <c r="G43" s="39"/>
      <c r="H43" s="39"/>
    </row>
    <row r="44" spans="1:8" s="1" customFormat="1">
      <c r="A44" s="39"/>
      <c r="F44" s="217"/>
      <c r="G44" s="39"/>
      <c r="H44" s="39"/>
    </row>
    <row r="45" spans="1:8" s="1" customFormat="1">
      <c r="A45" s="39"/>
      <c r="F45" s="217"/>
      <c r="G45" s="39"/>
      <c r="H45" s="39"/>
    </row>
    <row r="46" spans="1:8" s="1" customFormat="1">
      <c r="A46" s="39"/>
      <c r="F46" s="217"/>
      <c r="G46" s="39"/>
      <c r="H46" s="39"/>
    </row>
    <row r="47" spans="1:8" s="1" customFormat="1">
      <c r="A47" s="39"/>
      <c r="F47" s="217"/>
      <c r="G47" s="39"/>
      <c r="H47" s="39"/>
    </row>
    <row r="48" spans="1:8" s="1" customFormat="1">
      <c r="A48" s="39"/>
      <c r="F48" s="217"/>
      <c r="G48" s="39"/>
      <c r="H48" s="39"/>
    </row>
    <row r="49" spans="1:8" s="1" customFormat="1">
      <c r="A49" s="39"/>
      <c r="F49" s="217"/>
      <c r="G49" s="39"/>
      <c r="H49" s="39"/>
    </row>
    <row r="50" spans="1:8" s="1" customFormat="1">
      <c r="A50" s="39"/>
      <c r="F50" s="217"/>
      <c r="G50" s="39"/>
      <c r="H50" s="39"/>
    </row>
    <row r="51" spans="1:8" s="1" customFormat="1">
      <c r="A51" s="39"/>
      <c r="F51" s="217"/>
      <c r="G51" s="39"/>
      <c r="H51" s="39"/>
    </row>
    <row r="52" spans="1:8" s="1" customFormat="1">
      <c r="A52" s="39"/>
      <c r="F52" s="217"/>
      <c r="G52" s="39"/>
      <c r="H52" s="39"/>
    </row>
    <row r="53" spans="1:8" s="1" customFormat="1">
      <c r="A53" s="39"/>
      <c r="F53" s="217"/>
      <c r="G53" s="39"/>
      <c r="H53" s="39"/>
    </row>
    <row r="54" spans="1:8" s="1" customFormat="1">
      <c r="A54" s="39"/>
      <c r="F54" s="217"/>
      <c r="G54" s="39"/>
      <c r="H54" s="39"/>
    </row>
    <row r="55" spans="1:8" s="1" customFormat="1">
      <c r="A55" s="39"/>
      <c r="F55" s="217"/>
      <c r="G55" s="39"/>
      <c r="H55" s="39"/>
    </row>
    <row r="56" spans="1:8" s="1" customFormat="1">
      <c r="A56" s="39"/>
      <c r="F56" s="217"/>
      <c r="G56" s="39"/>
      <c r="H56" s="39"/>
    </row>
    <row r="57" spans="1:8" s="1" customFormat="1">
      <c r="A57" s="39"/>
      <c r="F57" s="217"/>
      <c r="G57" s="39"/>
      <c r="H57" s="39"/>
    </row>
    <row r="58" spans="1:8" s="1" customFormat="1">
      <c r="A58" s="39"/>
      <c r="F58" s="217"/>
      <c r="G58" s="39"/>
      <c r="H58" s="39"/>
    </row>
    <row r="59" spans="1:8" s="1" customFormat="1">
      <c r="A59" s="39"/>
      <c r="F59" s="217"/>
      <c r="G59" s="39"/>
      <c r="H59" s="39"/>
    </row>
    <row r="60" spans="1:8" s="1" customFormat="1">
      <c r="A60" s="39"/>
      <c r="F60" s="217"/>
      <c r="G60" s="39"/>
      <c r="H60" s="39"/>
    </row>
    <row r="61" spans="1:8" s="1" customFormat="1">
      <c r="A61" s="39"/>
      <c r="F61" s="217"/>
      <c r="G61" s="39"/>
      <c r="H61" s="39"/>
    </row>
    <row r="62" spans="1:8" s="1" customFormat="1">
      <c r="A62" s="39"/>
      <c r="F62" s="217"/>
      <c r="G62" s="39"/>
      <c r="H62" s="39"/>
    </row>
    <row r="63" spans="1:8" s="1" customFormat="1">
      <c r="A63" s="39"/>
      <c r="F63" s="217"/>
      <c r="G63" s="39"/>
      <c r="H63" s="39"/>
    </row>
    <row r="64" spans="1:8" s="1" customFormat="1">
      <c r="A64" s="39"/>
      <c r="F64" s="217"/>
      <c r="G64" s="39"/>
      <c r="H64" s="39"/>
    </row>
    <row r="65" spans="1:15" s="1" customFormat="1">
      <c r="A65" s="39"/>
      <c r="F65" s="217"/>
      <c r="G65" s="39"/>
      <c r="H65" s="39"/>
    </row>
    <row r="66" spans="1:15" s="1" customFormat="1">
      <c r="A66" s="39"/>
      <c r="F66" s="217"/>
      <c r="G66" s="39"/>
      <c r="H66" s="39"/>
    </row>
    <row r="67" spans="1:15" s="1" customFormat="1">
      <c r="A67" s="39"/>
      <c r="F67" s="217"/>
      <c r="G67" s="39"/>
      <c r="H67" s="39"/>
    </row>
    <row r="68" spans="1:15" s="1" customFormat="1">
      <c r="A68" s="39"/>
      <c r="F68" s="217"/>
      <c r="G68" s="39"/>
      <c r="H68" s="39"/>
    </row>
    <row r="69" spans="1:15" s="1" customFormat="1">
      <c r="A69" s="39"/>
      <c r="F69" s="217"/>
      <c r="G69" s="39"/>
      <c r="H69" s="39"/>
    </row>
    <row r="70" spans="1:15" s="1" customFormat="1">
      <c r="A70" s="39"/>
      <c r="F70" s="217"/>
      <c r="G70" s="39"/>
      <c r="H70" s="39"/>
    </row>
    <row r="71" spans="1:15" s="1" customFormat="1">
      <c r="A71" s="39"/>
      <c r="F71" s="217"/>
      <c r="G71" s="39"/>
      <c r="H71" s="39"/>
      <c r="J71"/>
      <c r="K71"/>
      <c r="L71"/>
      <c r="M71"/>
      <c r="N71"/>
      <c r="O71"/>
    </row>
    <row r="72" spans="1:15" s="1" customFormat="1">
      <c r="A72" s="39"/>
      <c r="F72" s="217"/>
      <c r="G72" s="39"/>
      <c r="H72" s="39"/>
      <c r="J72"/>
      <c r="K72"/>
      <c r="L72"/>
      <c r="M72"/>
      <c r="N72"/>
      <c r="O72"/>
    </row>
    <row r="73" spans="1:15" s="1" customFormat="1">
      <c r="A73" s="39"/>
      <c r="F73" s="217"/>
      <c r="G73" s="39"/>
      <c r="H73" s="39"/>
      <c r="J73"/>
      <c r="K73"/>
      <c r="L73"/>
      <c r="M73"/>
      <c r="N73"/>
      <c r="O73"/>
    </row>
    <row r="74" spans="1:15" s="1" customFormat="1">
      <c r="A74" s="39"/>
      <c r="F74" s="217"/>
      <c r="G74" s="39"/>
      <c r="H74" s="39"/>
      <c r="J74"/>
      <c r="K74"/>
      <c r="L74"/>
      <c r="M74"/>
      <c r="N74"/>
      <c r="O74"/>
    </row>
    <row r="75" spans="1:15" s="1" customFormat="1">
      <c r="A75" s="39"/>
      <c r="F75" s="217"/>
      <c r="G75" s="39"/>
      <c r="H75" s="39"/>
      <c r="J75"/>
      <c r="K75"/>
      <c r="L75"/>
      <c r="M75"/>
      <c r="N75"/>
      <c r="O75"/>
    </row>
    <row r="76" spans="1:15" s="1" customFormat="1">
      <c r="A76" s="39"/>
      <c r="F76" s="217"/>
      <c r="G76" s="39"/>
      <c r="H76" s="39"/>
      <c r="J76"/>
      <c r="K76"/>
      <c r="L76"/>
      <c r="M76"/>
      <c r="N76"/>
      <c r="O76"/>
    </row>
    <row r="77" spans="1:15" s="1" customFormat="1">
      <c r="A77" s="39"/>
      <c r="F77" s="217"/>
      <c r="G77" s="39"/>
      <c r="H77" s="39"/>
      <c r="J77"/>
      <c r="K77"/>
      <c r="L77"/>
      <c r="M77"/>
      <c r="N77"/>
      <c r="O77"/>
    </row>
    <row r="78" spans="1:15" s="1" customFormat="1">
      <c r="A78" s="39"/>
      <c r="F78" s="217"/>
      <c r="G78" s="39"/>
      <c r="H78" s="39"/>
      <c r="J78"/>
      <c r="K78"/>
      <c r="L78"/>
      <c r="M78"/>
      <c r="N78"/>
      <c r="O78"/>
    </row>
    <row r="79" spans="1:15" s="1" customFormat="1">
      <c r="A79" s="39"/>
      <c r="F79" s="217"/>
      <c r="G79" s="39"/>
      <c r="H79" s="39"/>
      <c r="J79"/>
      <c r="K79"/>
      <c r="L79"/>
      <c r="M79"/>
      <c r="N79"/>
      <c r="O79"/>
    </row>
    <row r="80" spans="1:15" s="1" customFormat="1">
      <c r="A80" s="39"/>
      <c r="F80" s="217"/>
      <c r="G80" s="39"/>
      <c r="H80" s="39"/>
      <c r="J80"/>
      <c r="K80"/>
      <c r="L80"/>
      <c r="M80"/>
      <c r="N80"/>
      <c r="O80"/>
    </row>
    <row r="81" spans="1:15" s="1" customFormat="1">
      <c r="A81" s="39"/>
      <c r="F81" s="217"/>
      <c r="G81" s="39"/>
      <c r="H81" s="39"/>
      <c r="J81"/>
      <c r="K81"/>
      <c r="L81"/>
      <c r="M81"/>
      <c r="N81"/>
      <c r="O81"/>
    </row>
    <row r="82" spans="1:15" s="1" customFormat="1">
      <c r="A82" s="39"/>
      <c r="F82" s="217"/>
      <c r="G82" s="39"/>
      <c r="H82" s="39"/>
      <c r="J82"/>
      <c r="K82"/>
      <c r="L82"/>
      <c r="M82"/>
      <c r="N82"/>
      <c r="O82"/>
    </row>
    <row r="83" spans="1:15" s="1" customFormat="1">
      <c r="A83" s="39"/>
      <c r="F83" s="217"/>
      <c r="G83" s="39"/>
      <c r="H83" s="39"/>
      <c r="J83"/>
      <c r="K83"/>
      <c r="L83"/>
      <c r="M83"/>
      <c r="N83"/>
      <c r="O83"/>
    </row>
    <row r="84" spans="1:15" s="1" customFormat="1">
      <c r="A84" s="39"/>
      <c r="F84" s="217"/>
      <c r="G84" s="39"/>
      <c r="H84" s="39"/>
      <c r="J84"/>
      <c r="K84"/>
      <c r="L84"/>
      <c r="M84"/>
      <c r="N84"/>
      <c r="O84"/>
    </row>
    <row r="85" spans="1:15" s="1" customFormat="1">
      <c r="A85" s="39"/>
      <c r="F85" s="217"/>
      <c r="G85" s="39"/>
      <c r="H85" s="39"/>
      <c r="J85"/>
      <c r="K85"/>
      <c r="L85"/>
      <c r="M85"/>
      <c r="N85"/>
      <c r="O85"/>
    </row>
  </sheetData>
  <mergeCells count="9">
    <mergeCell ref="A24:B29"/>
    <mergeCell ref="F1:H3"/>
    <mergeCell ref="A1:D1"/>
    <mergeCell ref="A2:D2"/>
    <mergeCell ref="A3:D3"/>
    <mergeCell ref="C4:D4"/>
    <mergeCell ref="A23:B23"/>
    <mergeCell ref="A21:D21"/>
    <mergeCell ref="A22:D2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73" r:id="rId4" name="ComboBox3">
          <controlPr defaultSize="0" autoLine="0" listFillRange="H5:H18" r:id="rId5">
            <anchor moveWithCells="1">
              <from>
                <xdr:col>1</xdr:col>
                <xdr:colOff>2447925</xdr:colOff>
                <xdr:row>3</xdr:row>
                <xdr:rowOff>19050</xdr:rowOff>
              </from>
              <to>
                <xdr:col>1</xdr:col>
                <xdr:colOff>4048125</xdr:colOff>
                <xdr:row>3</xdr:row>
                <xdr:rowOff>295275</xdr:rowOff>
              </to>
            </anchor>
          </controlPr>
        </control>
      </mc:Choice>
      <mc:Fallback>
        <control shapeId="62473" r:id="rId4" name="ComboBox3"/>
      </mc:Fallback>
    </mc:AlternateContent>
    <mc:AlternateContent xmlns:mc="http://schemas.openxmlformats.org/markup-compatibility/2006">
      <mc:Choice Requires="x14">
        <control shapeId="62472" r:id="rId6" name="ComboBox2">
          <controlPr defaultSize="0" autoLine="0" listFillRange="G5:G7" r:id="rId7">
            <anchor moveWithCells="1">
              <from>
                <xdr:col>1</xdr:col>
                <xdr:colOff>1162050</xdr:colOff>
                <xdr:row>3</xdr:row>
                <xdr:rowOff>19050</xdr:rowOff>
              </from>
              <to>
                <xdr:col>1</xdr:col>
                <xdr:colOff>2419350</xdr:colOff>
                <xdr:row>3</xdr:row>
                <xdr:rowOff>295275</xdr:rowOff>
              </to>
            </anchor>
          </controlPr>
        </control>
      </mc:Choice>
      <mc:Fallback>
        <control shapeId="62472" r:id="rId6" name="ComboBox2"/>
      </mc:Fallback>
    </mc:AlternateContent>
    <mc:AlternateContent xmlns:mc="http://schemas.openxmlformats.org/markup-compatibility/2006">
      <mc:Choice Requires="x14">
        <control shapeId="62470" r:id="rId8" name="ComboBox1">
          <controlPr defaultSize="0" autoLine="0" linkedCell="B4" listFillRange="F5:F17" r:id="rId9">
            <anchor moveWithCells="1">
              <from>
                <xdr:col>1</xdr:col>
                <xdr:colOff>28575</xdr:colOff>
                <xdr:row>3</xdr:row>
                <xdr:rowOff>19050</xdr:rowOff>
              </from>
              <to>
                <xdr:col>1</xdr:col>
                <xdr:colOff>1143000</xdr:colOff>
                <xdr:row>3</xdr:row>
                <xdr:rowOff>295275</xdr:rowOff>
              </to>
            </anchor>
          </controlPr>
        </control>
      </mc:Choice>
      <mc:Fallback>
        <control shapeId="62470" r:id="rId8" name="ComboBox1"/>
      </mc:Fallback>
    </mc:AlternateContent>
    <mc:AlternateContent xmlns:mc="http://schemas.openxmlformats.org/markup-compatibility/2006">
      <mc:Choice Requires="x14">
        <control shapeId="62466" r:id="rId10" name="CommandButton1">
          <controlPr defaultSize="0" autoLine="0" autoPict="0" r:id="rId11">
            <anchor moveWithCells="1">
              <from>
                <xdr:col>2</xdr:col>
                <xdr:colOff>28575</xdr:colOff>
                <xdr:row>3</xdr:row>
                <xdr:rowOff>28575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62466" r:id="rId10" name="CommandButton1"/>
      </mc:Fallback>
    </mc:AlternateContent>
    <mc:AlternateContent xmlns:mc="http://schemas.openxmlformats.org/markup-compatibility/2006">
      <mc:Choice Requires="x14">
        <control shapeId="62468" r:id="rId12" name="CommandButton2">
          <controlPr defaultSize="0" autoLine="0" r:id="rId13">
            <anchor moveWithCells="1">
              <from>
                <xdr:col>3</xdr:col>
                <xdr:colOff>19050</xdr:colOff>
                <xdr:row>3</xdr:row>
                <xdr:rowOff>19050</xdr:rowOff>
              </from>
              <to>
                <xdr:col>3</xdr:col>
                <xdr:colOff>942975</xdr:colOff>
                <xdr:row>3</xdr:row>
                <xdr:rowOff>304800</xdr:rowOff>
              </to>
            </anchor>
          </controlPr>
        </control>
      </mc:Choice>
      <mc:Fallback>
        <control shapeId="62468" r:id="rId12" name="CommandButton2"/>
      </mc:Fallback>
    </mc:AlternateContent>
    <mc:AlternateContent xmlns:mc="http://schemas.openxmlformats.org/markup-compatibility/2006">
      <mc:Choice Requires="x14">
        <control shapeId="62474" r:id="rId14" name="CommandButton3">
          <controlPr defaultSize="0" autoLine="0" r:id="rId15">
            <anchor moveWithCells="1">
              <from>
                <xdr:col>4</xdr:col>
                <xdr:colOff>28575</xdr:colOff>
                <xdr:row>17</xdr:row>
                <xdr:rowOff>28575</xdr:rowOff>
              </from>
              <to>
                <xdr:col>4</xdr:col>
                <xdr:colOff>152400</xdr:colOff>
                <xdr:row>18</xdr:row>
                <xdr:rowOff>9525</xdr:rowOff>
              </to>
            </anchor>
          </controlPr>
        </control>
      </mc:Choice>
      <mc:Fallback>
        <control shapeId="62474" r:id="rId14" name="CommandButton3"/>
      </mc:Fallback>
    </mc:AlternateContent>
    <mc:AlternateContent xmlns:mc="http://schemas.openxmlformats.org/markup-compatibility/2006">
      <mc:Choice Requires="x14">
        <control shapeId="62475" r:id="rId16" name="CommandButton4">
          <controlPr defaultSize="0" autoLine="0" r:id="rId17">
            <anchor moveWithCells="1">
              <from>
                <xdr:col>7</xdr:col>
                <xdr:colOff>190500</xdr:colOff>
                <xdr:row>0</xdr:row>
                <xdr:rowOff>152400</xdr:rowOff>
              </from>
              <to>
                <xdr:col>7</xdr:col>
                <xdr:colOff>723900</xdr:colOff>
                <xdr:row>2</xdr:row>
                <xdr:rowOff>161925</xdr:rowOff>
              </to>
            </anchor>
          </controlPr>
        </control>
      </mc:Choice>
      <mc:Fallback>
        <control shapeId="62475" r:id="rId16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SR"/>
  <dimension ref="A1:AD1487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H7" sqref="H7"/>
    </sheetView>
  </sheetViews>
  <sheetFormatPr defaultColWidth="9" defaultRowHeight="16.5"/>
  <cols>
    <col min="1" max="1" width="14.375" style="55" bestFit="1" customWidth="1"/>
    <col min="2" max="2" width="13.625" style="45" bestFit="1" customWidth="1"/>
    <col min="3" max="3" width="14.375" style="123" customWidth="1"/>
    <col min="4" max="4" width="19.75" style="121" bestFit="1" customWidth="1"/>
    <col min="5" max="5" width="12.625" style="242" customWidth="1"/>
    <col min="6" max="6" width="14.375" style="123" customWidth="1"/>
    <col min="7" max="7" width="19.75" style="46" bestFit="1" customWidth="1"/>
    <col min="8" max="8" width="20.375" style="46" customWidth="1"/>
    <col min="9" max="9" width="11.125" style="56" bestFit="1" customWidth="1"/>
    <col min="10" max="10" width="9.625" style="125" bestFit="1" customWidth="1"/>
    <col min="11" max="13" width="9.625" style="22" customWidth="1"/>
    <col min="14" max="14" width="10.5" style="22" customWidth="1"/>
    <col min="15" max="15" width="81" style="22" customWidth="1"/>
    <col min="16" max="16" width="7.375" style="22" customWidth="1"/>
    <col min="17" max="17" width="10.625" style="22" customWidth="1"/>
    <col min="18" max="18" width="7.375" style="22" customWidth="1"/>
    <col min="19" max="19" width="10.25" style="22" customWidth="1"/>
    <col min="20" max="20" width="7.375" style="22" customWidth="1"/>
    <col min="21" max="21" width="9.625" style="22" customWidth="1"/>
    <col min="22" max="23" width="7.375" style="22" customWidth="1"/>
    <col min="24" max="16384" width="9" style="22"/>
  </cols>
  <sheetData>
    <row r="1" spans="1:30" ht="33" customHeight="1">
      <c r="A1" s="54" t="s">
        <v>232</v>
      </c>
      <c r="B1" s="47" t="s">
        <v>219</v>
      </c>
      <c r="C1" s="240" t="s">
        <v>229</v>
      </c>
      <c r="D1" s="48" t="s">
        <v>231</v>
      </c>
      <c r="E1" s="240"/>
      <c r="F1" s="240" t="s">
        <v>2462</v>
      </c>
      <c r="G1" s="48" t="s">
        <v>230</v>
      </c>
      <c r="H1" s="48" t="s">
        <v>1858</v>
      </c>
      <c r="I1" s="57" t="s">
        <v>521</v>
      </c>
      <c r="J1" s="124" t="s">
        <v>1859</v>
      </c>
      <c r="K1" s="22" t="s">
        <v>2467</v>
      </c>
      <c r="L1" s="22" t="s">
        <v>2468</v>
      </c>
      <c r="M1" s="22" t="s">
        <v>2469</v>
      </c>
      <c r="N1" s="22">
        <f>AVERAGEA(I:I)</f>
        <v>1.6376020150319628</v>
      </c>
      <c r="O1" s="214"/>
    </row>
    <row r="2" spans="1:30">
      <c r="A2" s="55">
        <v>1213</v>
      </c>
      <c r="B2" s="114">
        <v>0.35</v>
      </c>
      <c r="C2" s="122">
        <v>0</v>
      </c>
      <c r="D2" s="116">
        <v>0</v>
      </c>
      <c r="E2" s="241">
        <v>0.15</v>
      </c>
      <c r="F2" s="122">
        <v>7.1199999999999999E-2</v>
      </c>
      <c r="G2" s="116">
        <v>0</v>
      </c>
      <c r="H2" s="116">
        <v>736373000</v>
      </c>
      <c r="I2" s="114">
        <v>0</v>
      </c>
      <c r="J2" s="116">
        <v>0</v>
      </c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</row>
    <row r="3" spans="1:30">
      <c r="A3" s="55">
        <v>1435</v>
      </c>
      <c r="B3" s="114">
        <v>0</v>
      </c>
      <c r="C3" s="122">
        <v>0</v>
      </c>
      <c r="D3" s="116">
        <v>0</v>
      </c>
      <c r="E3" s="241">
        <v>1</v>
      </c>
      <c r="F3" s="122">
        <v>9.0333333333333325E-3</v>
      </c>
      <c r="G3" s="116">
        <v>0</v>
      </c>
      <c r="H3" s="116">
        <v>29955000</v>
      </c>
      <c r="I3" s="114">
        <v>0</v>
      </c>
      <c r="J3" s="116">
        <v>0</v>
      </c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</row>
    <row r="4" spans="1:30">
      <c r="A4" s="55">
        <v>1439</v>
      </c>
      <c r="B4" s="114">
        <v>0</v>
      </c>
      <c r="C4" s="122">
        <v>0</v>
      </c>
      <c r="D4" s="116">
        <v>0</v>
      </c>
      <c r="E4" s="241">
        <v>0.05</v>
      </c>
      <c r="F4" s="122">
        <v>8.7075E-2</v>
      </c>
      <c r="G4" s="116">
        <v>0</v>
      </c>
      <c r="H4" s="116">
        <v>358380000</v>
      </c>
      <c r="I4" s="114">
        <v>0</v>
      </c>
      <c r="J4" s="116">
        <v>0</v>
      </c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</row>
    <row r="5" spans="1:30">
      <c r="A5" s="55">
        <v>1528</v>
      </c>
      <c r="B5" s="114">
        <v>0</v>
      </c>
      <c r="C5" s="122">
        <v>0</v>
      </c>
      <c r="D5" s="116">
        <v>0</v>
      </c>
      <c r="E5" s="241">
        <v>0.31</v>
      </c>
      <c r="F5" s="122">
        <v>3.9749999999999987E-2</v>
      </c>
      <c r="G5" s="116">
        <v>0</v>
      </c>
      <c r="H5" s="116">
        <v>3207460000</v>
      </c>
      <c r="I5" s="114">
        <v>0</v>
      </c>
      <c r="J5" s="116">
        <v>0</v>
      </c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</row>
    <row r="6" spans="1:30">
      <c r="A6" s="55">
        <v>1615</v>
      </c>
      <c r="B6" s="114">
        <v>0.16</v>
      </c>
      <c r="C6" s="122">
        <v>0</v>
      </c>
      <c r="D6" s="116">
        <v>0</v>
      </c>
      <c r="E6" s="241">
        <v>7.0000000000000007E-2</v>
      </c>
      <c r="F6" s="122">
        <v>2.4074999999999996E-2</v>
      </c>
      <c r="G6" s="116">
        <v>0</v>
      </c>
      <c r="H6" s="116">
        <v>2393947000</v>
      </c>
      <c r="I6" s="114">
        <v>0</v>
      </c>
      <c r="J6" s="116">
        <v>0</v>
      </c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</row>
    <row r="7" spans="1:30">
      <c r="A7" s="55">
        <v>1781</v>
      </c>
      <c r="B7" s="114">
        <v>0.01</v>
      </c>
      <c r="C7" s="122">
        <v>0</v>
      </c>
      <c r="D7" s="116">
        <v>0</v>
      </c>
      <c r="E7" s="241">
        <v>0.09</v>
      </c>
      <c r="F7" s="122">
        <v>8.099166666666667E-2</v>
      </c>
      <c r="G7" s="116">
        <v>0</v>
      </c>
      <c r="H7" s="116">
        <v>684604000</v>
      </c>
      <c r="I7" s="114">
        <v>0</v>
      </c>
      <c r="J7" s="116">
        <v>0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</row>
    <row r="8" spans="1:30">
      <c r="A8" s="55">
        <v>2230</v>
      </c>
      <c r="B8" s="114">
        <v>0.28999999999999998</v>
      </c>
      <c r="C8" s="122">
        <v>0</v>
      </c>
      <c r="D8" s="116">
        <v>0</v>
      </c>
      <c r="E8" s="241">
        <v>0.2</v>
      </c>
      <c r="F8" s="122">
        <v>3.7683333333333319E-2</v>
      </c>
      <c r="G8" s="116">
        <v>0</v>
      </c>
      <c r="H8" s="116">
        <v>359986000</v>
      </c>
      <c r="I8" s="114">
        <v>0</v>
      </c>
      <c r="J8" s="116">
        <v>0</v>
      </c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</row>
    <row r="9" spans="1:30">
      <c r="A9" s="55">
        <v>2302</v>
      </c>
      <c r="B9" s="114">
        <v>0.11</v>
      </c>
      <c r="C9" s="122">
        <v>0</v>
      </c>
      <c r="D9" s="116">
        <v>0</v>
      </c>
      <c r="E9" s="241">
        <v>0.32</v>
      </c>
      <c r="F9" s="122">
        <v>1.3375000000000007E-2</v>
      </c>
      <c r="G9" s="116">
        <v>0</v>
      </c>
      <c r="H9" s="116">
        <v>508818000</v>
      </c>
      <c r="I9" s="114">
        <v>0</v>
      </c>
      <c r="J9" s="116">
        <v>0</v>
      </c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</row>
    <row r="10" spans="1:30">
      <c r="A10" s="55">
        <v>2348</v>
      </c>
      <c r="B10" s="114">
        <v>0.53</v>
      </c>
      <c r="C10" s="122">
        <v>1</v>
      </c>
      <c r="D10" s="116">
        <v>84905660.377358481</v>
      </c>
      <c r="E10" s="241">
        <v>0.23</v>
      </c>
      <c r="F10" s="122">
        <v>-5.3916666666666647E-2</v>
      </c>
      <c r="G10" s="116">
        <v>0</v>
      </c>
      <c r="H10" s="116">
        <v>916675000</v>
      </c>
      <c r="I10" s="114">
        <v>0</v>
      </c>
      <c r="J10" s="116">
        <v>0</v>
      </c>
      <c r="N10" s="26"/>
      <c r="O10" s="26"/>
      <c r="P10" s="117"/>
      <c r="Q10" s="118"/>
      <c r="R10" s="117"/>
      <c r="S10" s="118"/>
      <c r="T10" s="117"/>
      <c r="U10" s="118"/>
      <c r="V10" s="26"/>
      <c r="W10" s="26"/>
      <c r="X10" s="26"/>
      <c r="Y10" s="26"/>
      <c r="Z10" s="26"/>
      <c r="AA10" s="26"/>
      <c r="AB10" s="26"/>
      <c r="AC10" s="26"/>
      <c r="AD10" s="26"/>
    </row>
    <row r="11" spans="1:30">
      <c r="A11" s="55">
        <v>2361</v>
      </c>
      <c r="B11" s="114">
        <v>0.26</v>
      </c>
      <c r="C11" s="122">
        <v>1</v>
      </c>
      <c r="D11" s="116">
        <v>73076923.076923072</v>
      </c>
      <c r="E11" s="241">
        <v>0.2</v>
      </c>
      <c r="F11" s="122">
        <v>3.7991666666666653E-2</v>
      </c>
      <c r="G11" s="116">
        <v>0</v>
      </c>
      <c r="H11" s="116">
        <v>858266000</v>
      </c>
      <c r="I11" s="114">
        <v>0</v>
      </c>
      <c r="J11" s="116">
        <v>0</v>
      </c>
      <c r="N11" s="26"/>
      <c r="O11" s="26"/>
      <c r="P11" s="117"/>
      <c r="Q11" s="118"/>
      <c r="R11" s="117"/>
      <c r="S11" s="118"/>
      <c r="T11" s="117"/>
      <c r="U11" s="118"/>
      <c r="V11" s="26"/>
      <c r="W11" s="26"/>
      <c r="X11" s="26"/>
      <c r="Y11" s="26"/>
      <c r="Z11" s="26"/>
      <c r="AA11" s="26"/>
      <c r="AB11" s="26"/>
      <c r="AC11" s="26"/>
      <c r="AD11" s="26"/>
    </row>
    <row r="12" spans="1:30">
      <c r="A12" s="55">
        <v>2429</v>
      </c>
      <c r="B12" s="114">
        <v>-0.45</v>
      </c>
      <c r="C12" s="122">
        <v>1</v>
      </c>
      <c r="D12" s="116">
        <v>35555555.555555552</v>
      </c>
      <c r="E12" s="241">
        <v>-0.04</v>
      </c>
      <c r="F12" s="122">
        <v>1.2466666666666668E-2</v>
      </c>
      <c r="G12" s="116">
        <v>0</v>
      </c>
      <c r="H12" s="116">
        <v>747520000</v>
      </c>
      <c r="I12" s="114">
        <v>0</v>
      </c>
      <c r="J12" s="116">
        <v>0</v>
      </c>
      <c r="N12" s="26"/>
      <c r="O12" s="26"/>
      <c r="P12" s="117"/>
      <c r="Q12" s="118"/>
      <c r="R12" s="117"/>
      <c r="S12" s="118"/>
      <c r="T12" s="117"/>
      <c r="U12" s="118"/>
      <c r="V12" s="26"/>
      <c r="W12" s="26"/>
      <c r="X12" s="26"/>
      <c r="Y12" s="26"/>
      <c r="Z12" s="26"/>
      <c r="AA12" s="26"/>
      <c r="AB12" s="26"/>
      <c r="AC12" s="26"/>
      <c r="AD12" s="26"/>
    </row>
    <row r="13" spans="1:30">
      <c r="A13" s="55">
        <v>2467</v>
      </c>
      <c r="B13" s="114">
        <v>0</v>
      </c>
      <c r="C13" s="122">
        <v>0</v>
      </c>
      <c r="D13" s="116">
        <v>0</v>
      </c>
      <c r="E13" s="241">
        <v>0.26</v>
      </c>
      <c r="F13" s="122">
        <v>0.20445000000000002</v>
      </c>
      <c r="G13" s="116">
        <v>0</v>
      </c>
      <c r="H13" s="116">
        <v>3389386000</v>
      </c>
      <c r="I13" s="114">
        <v>0</v>
      </c>
      <c r="J13" s="116">
        <v>0</v>
      </c>
      <c r="N13" s="26"/>
      <c r="O13" s="26"/>
      <c r="P13" s="117"/>
      <c r="Q13" s="118"/>
      <c r="R13" s="117"/>
      <c r="S13" s="118"/>
      <c r="T13" s="117"/>
      <c r="U13" s="118"/>
      <c r="V13" s="26"/>
      <c r="W13" s="26"/>
      <c r="X13" s="26"/>
      <c r="Y13" s="26"/>
      <c r="Z13" s="26"/>
      <c r="AA13" s="26"/>
      <c r="AB13" s="26"/>
      <c r="AC13" s="26"/>
      <c r="AD13" s="26"/>
    </row>
    <row r="14" spans="1:30">
      <c r="A14" s="55">
        <v>2611</v>
      </c>
      <c r="B14" s="114">
        <v>0.18</v>
      </c>
      <c r="C14" s="122">
        <v>0</v>
      </c>
      <c r="D14" s="116">
        <v>0</v>
      </c>
      <c r="E14" s="241">
        <v>0.28000000000000003</v>
      </c>
      <c r="F14" s="122">
        <v>-3.0083333333333329E-3</v>
      </c>
      <c r="G14" s="116">
        <v>0</v>
      </c>
      <c r="H14" s="116">
        <v>1362643000</v>
      </c>
      <c r="I14" s="114">
        <v>0</v>
      </c>
      <c r="J14" s="116">
        <v>0</v>
      </c>
      <c r="N14" s="26"/>
      <c r="O14" s="26"/>
      <c r="P14" s="117"/>
      <c r="Q14" s="118"/>
      <c r="R14" s="117"/>
      <c r="S14" s="118"/>
      <c r="T14" s="117"/>
      <c r="U14" s="118"/>
      <c r="V14" s="26"/>
      <c r="W14" s="26"/>
      <c r="X14" s="26"/>
      <c r="Y14" s="26"/>
      <c r="Z14" s="26"/>
      <c r="AA14" s="26"/>
      <c r="AB14" s="26"/>
      <c r="AC14" s="26"/>
      <c r="AD14" s="26"/>
    </row>
    <row r="15" spans="1:30">
      <c r="A15" s="55">
        <v>2718</v>
      </c>
      <c r="B15" s="114">
        <v>0.26</v>
      </c>
      <c r="C15" s="122">
        <v>0.83333333333333337</v>
      </c>
      <c r="D15" s="116">
        <v>23076923.076923076</v>
      </c>
      <c r="E15" s="241">
        <v>0.25</v>
      </c>
      <c r="F15" s="122">
        <v>6.7583333333333245E-3</v>
      </c>
      <c r="G15" s="116">
        <v>0</v>
      </c>
      <c r="H15" s="116">
        <v>278213000</v>
      </c>
      <c r="I15" s="114">
        <v>0</v>
      </c>
      <c r="J15" s="116">
        <v>0</v>
      </c>
      <c r="N15" s="26"/>
      <c r="O15" s="26"/>
      <c r="P15" s="117"/>
      <c r="Q15" s="118"/>
      <c r="R15" s="117"/>
      <c r="S15" s="118"/>
      <c r="T15" s="117"/>
      <c r="U15" s="118"/>
      <c r="V15" s="26"/>
      <c r="W15" s="26"/>
      <c r="X15" s="26"/>
      <c r="Y15" s="26"/>
      <c r="Z15" s="26"/>
      <c r="AA15" s="26"/>
      <c r="AB15" s="26"/>
      <c r="AC15" s="26"/>
      <c r="AD15" s="26"/>
    </row>
    <row r="16" spans="1:30">
      <c r="A16" s="55">
        <v>3219</v>
      </c>
      <c r="B16" s="114">
        <v>0.12</v>
      </c>
      <c r="C16" s="122">
        <v>0</v>
      </c>
      <c r="D16" s="116">
        <v>0</v>
      </c>
      <c r="E16" s="241">
        <v>0.31</v>
      </c>
      <c r="F16" s="122">
        <v>4.9575000000000008E-2</v>
      </c>
      <c r="G16" s="116">
        <v>0</v>
      </c>
      <c r="H16" s="116">
        <v>171208000</v>
      </c>
      <c r="I16" s="114">
        <v>0</v>
      </c>
      <c r="J16" s="116">
        <v>0</v>
      </c>
      <c r="N16" s="26"/>
      <c r="O16" s="26"/>
      <c r="P16" s="117"/>
      <c r="Q16" s="118"/>
      <c r="R16" s="117"/>
      <c r="S16" s="118"/>
      <c r="T16" s="117"/>
      <c r="U16" s="118"/>
      <c r="V16" s="26"/>
      <c r="W16" s="26"/>
      <c r="X16" s="26"/>
      <c r="Y16" s="26"/>
      <c r="Z16" s="26"/>
      <c r="AA16" s="26"/>
      <c r="AB16" s="26"/>
      <c r="AC16" s="26"/>
      <c r="AD16" s="26"/>
    </row>
    <row r="17" spans="1:30">
      <c r="A17" s="55">
        <v>3221</v>
      </c>
      <c r="B17" s="114">
        <v>0.57999999999999996</v>
      </c>
      <c r="C17" s="122">
        <v>0</v>
      </c>
      <c r="D17" s="116">
        <v>0</v>
      </c>
      <c r="E17" s="241">
        <v>0.19</v>
      </c>
      <c r="F17" s="122">
        <v>3.0491666666666667E-2</v>
      </c>
      <c r="G17" s="116">
        <v>0</v>
      </c>
      <c r="H17" s="116">
        <v>1749462000</v>
      </c>
      <c r="I17" s="114">
        <v>0</v>
      </c>
      <c r="J17" s="116">
        <v>0</v>
      </c>
      <c r="N17" s="26"/>
      <c r="O17" s="26"/>
      <c r="P17" s="117"/>
      <c r="Q17" s="118"/>
      <c r="R17" s="117"/>
      <c r="S17" s="118"/>
      <c r="T17" s="117"/>
      <c r="U17" s="118"/>
      <c r="V17" s="26"/>
      <c r="W17" s="26"/>
      <c r="X17" s="26"/>
      <c r="Y17" s="26"/>
      <c r="Z17" s="26"/>
      <c r="AA17" s="26"/>
      <c r="AB17" s="26"/>
      <c r="AC17" s="26"/>
      <c r="AD17" s="26"/>
    </row>
    <row r="18" spans="1:30">
      <c r="A18" s="55">
        <v>3372</v>
      </c>
      <c r="B18" s="114">
        <v>0</v>
      </c>
      <c r="C18" s="122">
        <v>0</v>
      </c>
      <c r="D18" s="116">
        <v>0</v>
      </c>
      <c r="E18" s="241">
        <v>-0.1</v>
      </c>
      <c r="F18" s="122">
        <v>5.8750000000000009E-3</v>
      </c>
      <c r="G18" s="116">
        <v>0</v>
      </c>
      <c r="H18" s="116">
        <v>1840627000</v>
      </c>
      <c r="I18" s="114">
        <v>0</v>
      </c>
      <c r="J18" s="116">
        <v>0</v>
      </c>
      <c r="N18" s="26"/>
      <c r="O18" s="26"/>
      <c r="P18" s="117"/>
      <c r="Q18" s="118"/>
      <c r="R18" s="117"/>
      <c r="S18" s="118"/>
      <c r="T18" s="117"/>
      <c r="U18" s="118"/>
      <c r="V18" s="26"/>
      <c r="W18" s="26"/>
      <c r="X18" s="26"/>
      <c r="Y18" s="26"/>
      <c r="Z18" s="26"/>
      <c r="AA18" s="26"/>
      <c r="AB18" s="26"/>
      <c r="AC18" s="26"/>
      <c r="AD18" s="26"/>
    </row>
    <row r="19" spans="1:30">
      <c r="A19" s="55">
        <v>3380</v>
      </c>
      <c r="B19" s="114">
        <v>-0.65</v>
      </c>
      <c r="C19" s="122">
        <v>0</v>
      </c>
      <c r="D19" s="116">
        <v>0</v>
      </c>
      <c r="E19" s="241">
        <v>0.13</v>
      </c>
      <c r="F19" s="122">
        <v>2.8874999999999994E-2</v>
      </c>
      <c r="G19" s="116">
        <v>0</v>
      </c>
      <c r="H19" s="116">
        <v>22995238000</v>
      </c>
      <c r="I19" s="114">
        <v>0</v>
      </c>
      <c r="J19" s="116">
        <v>0</v>
      </c>
      <c r="N19" s="26"/>
      <c r="O19" s="26"/>
      <c r="P19" s="117"/>
      <c r="Q19" s="118"/>
      <c r="R19" s="117"/>
      <c r="S19" s="118"/>
      <c r="T19" s="117"/>
      <c r="U19" s="118"/>
      <c r="V19" s="26"/>
      <c r="W19" s="26"/>
      <c r="X19" s="26"/>
      <c r="Y19" s="26"/>
      <c r="Z19" s="26"/>
      <c r="AA19" s="26"/>
      <c r="AB19" s="26"/>
      <c r="AC19" s="26"/>
      <c r="AD19" s="26"/>
    </row>
    <row r="20" spans="1:30">
      <c r="A20" s="55">
        <v>3465</v>
      </c>
      <c r="B20" s="114">
        <v>-0.86</v>
      </c>
      <c r="C20" s="122">
        <v>1</v>
      </c>
      <c r="D20" s="116">
        <v>26744186.046511628</v>
      </c>
      <c r="E20" s="241">
        <v>-0.14000000000000001</v>
      </c>
      <c r="F20" s="122">
        <v>3.6199999999999989E-2</v>
      </c>
      <c r="G20" s="116">
        <v>0</v>
      </c>
      <c r="H20" s="116">
        <v>176400000</v>
      </c>
      <c r="I20" s="114">
        <v>0</v>
      </c>
      <c r="J20" s="116">
        <v>0</v>
      </c>
      <c r="N20" s="26"/>
      <c r="O20" s="26"/>
      <c r="P20" s="117"/>
      <c r="Q20" s="118"/>
      <c r="R20" s="117"/>
      <c r="S20" s="118"/>
      <c r="T20" s="117"/>
      <c r="U20" s="118"/>
      <c r="V20" s="26"/>
      <c r="W20" s="26"/>
      <c r="X20" s="26"/>
      <c r="Y20" s="26"/>
      <c r="Z20" s="26"/>
      <c r="AA20" s="26"/>
      <c r="AB20" s="26"/>
      <c r="AC20" s="26"/>
      <c r="AD20" s="26"/>
    </row>
    <row r="21" spans="1:30">
      <c r="A21" s="55">
        <v>3499</v>
      </c>
      <c r="B21" s="114">
        <v>0.28999999999999998</v>
      </c>
      <c r="C21" s="122">
        <v>0</v>
      </c>
      <c r="D21" s="116">
        <v>0</v>
      </c>
      <c r="E21" s="241">
        <v>0.27</v>
      </c>
      <c r="F21" s="122">
        <v>1.5750000000000007E-2</v>
      </c>
      <c r="G21" s="116">
        <v>0</v>
      </c>
      <c r="H21" s="116">
        <v>618544000</v>
      </c>
      <c r="I21" s="114">
        <v>0</v>
      </c>
      <c r="J21" s="116">
        <v>0</v>
      </c>
      <c r="N21" s="26"/>
      <c r="O21" s="26"/>
      <c r="P21" s="117"/>
      <c r="Q21" s="118"/>
      <c r="R21" s="117"/>
      <c r="S21" s="118"/>
      <c r="T21" s="117"/>
      <c r="U21" s="118"/>
      <c r="V21" s="26"/>
      <c r="W21" s="26"/>
      <c r="X21" s="26"/>
      <c r="Y21" s="26"/>
      <c r="Z21" s="26"/>
      <c r="AA21" s="26"/>
      <c r="AB21" s="26"/>
      <c r="AC21" s="26"/>
      <c r="AD21" s="26"/>
    </row>
    <row r="22" spans="1:30">
      <c r="A22" s="55">
        <v>4174</v>
      </c>
      <c r="B22" s="45">
        <v>-0.79</v>
      </c>
      <c r="C22" s="123">
        <v>1</v>
      </c>
      <c r="D22" s="121">
        <v>169620253.16455695</v>
      </c>
      <c r="E22" s="241">
        <f>VLOOKUP(4174,季財報!$A:$H,8,0)</f>
        <v>1</v>
      </c>
      <c r="F22" s="123">
        <v>0</v>
      </c>
      <c r="G22" s="46">
        <v>108217721518.98734</v>
      </c>
      <c r="H22" s="46">
        <v>0</v>
      </c>
      <c r="I22" s="56">
        <v>0</v>
      </c>
      <c r="J22" s="125">
        <v>0</v>
      </c>
      <c r="N22" s="26"/>
      <c r="O22" s="26"/>
      <c r="P22" s="117"/>
      <c r="Q22" s="118"/>
      <c r="R22" s="117"/>
      <c r="S22" s="118"/>
      <c r="T22" s="117"/>
      <c r="U22" s="118"/>
      <c r="V22" s="26"/>
      <c r="W22" s="26"/>
      <c r="X22" s="26"/>
      <c r="Y22" s="26"/>
      <c r="Z22" s="26"/>
      <c r="AA22" s="26"/>
      <c r="AB22" s="26"/>
      <c r="AC22" s="26"/>
      <c r="AD22" s="26"/>
    </row>
    <row r="23" spans="1:30">
      <c r="A23" s="55">
        <v>4406</v>
      </c>
      <c r="B23" s="45">
        <v>0</v>
      </c>
      <c r="C23" s="123">
        <v>0</v>
      </c>
      <c r="D23" s="121">
        <v>0</v>
      </c>
      <c r="E23" s="241">
        <v>0.02</v>
      </c>
      <c r="F23" s="123">
        <v>1.9125E-2</v>
      </c>
      <c r="G23" s="46">
        <v>0</v>
      </c>
      <c r="H23" s="46">
        <v>765412000</v>
      </c>
      <c r="I23" s="56">
        <v>0</v>
      </c>
      <c r="J23" s="125">
        <v>0</v>
      </c>
      <c r="N23" s="26"/>
      <c r="O23" s="26"/>
      <c r="P23" s="117"/>
      <c r="Q23" s="118"/>
      <c r="R23" s="117"/>
      <c r="S23" s="118"/>
      <c r="T23" s="117"/>
      <c r="U23" s="118"/>
      <c r="V23" s="26"/>
      <c r="W23" s="26"/>
      <c r="X23" s="26"/>
      <c r="Y23" s="26"/>
      <c r="Z23" s="26"/>
      <c r="AA23" s="26"/>
      <c r="AB23" s="26"/>
      <c r="AC23" s="26"/>
      <c r="AD23" s="26"/>
    </row>
    <row r="24" spans="1:30">
      <c r="A24" s="55">
        <v>4413</v>
      </c>
      <c r="B24" s="45">
        <v>0.4</v>
      </c>
      <c r="C24" s="123">
        <v>0</v>
      </c>
      <c r="D24" s="121">
        <v>0</v>
      </c>
      <c r="E24" s="241">
        <v>0.15</v>
      </c>
      <c r="F24" s="123">
        <v>4.8050000000000002E-2</v>
      </c>
      <c r="G24" s="46">
        <v>0</v>
      </c>
      <c r="H24" s="46">
        <v>202028000</v>
      </c>
      <c r="I24" s="56">
        <v>0</v>
      </c>
      <c r="J24" s="125">
        <v>0</v>
      </c>
      <c r="N24" s="26"/>
      <c r="O24" s="26"/>
      <c r="P24" s="117"/>
      <c r="Q24" s="118"/>
      <c r="R24" s="117"/>
      <c r="S24" s="118"/>
      <c r="T24" s="117"/>
      <c r="U24" s="118"/>
      <c r="V24" s="26"/>
      <c r="W24" s="26"/>
      <c r="X24" s="26"/>
      <c r="Y24" s="26"/>
      <c r="Z24" s="26"/>
      <c r="AA24" s="26"/>
      <c r="AB24" s="26"/>
      <c r="AC24" s="26"/>
      <c r="AD24" s="26"/>
    </row>
    <row r="25" spans="1:30">
      <c r="A25" s="55">
        <v>4916</v>
      </c>
      <c r="B25" s="45">
        <v>0.28000000000000003</v>
      </c>
      <c r="C25" s="123">
        <v>0</v>
      </c>
      <c r="D25" s="121">
        <v>0</v>
      </c>
      <c r="E25" s="241">
        <v>0.16</v>
      </c>
      <c r="F25" s="123">
        <v>5.2158333333333327E-2</v>
      </c>
      <c r="G25" s="46">
        <v>0</v>
      </c>
      <c r="H25" s="46">
        <v>1445703000</v>
      </c>
      <c r="I25" s="56">
        <v>0</v>
      </c>
      <c r="J25" s="125">
        <v>0</v>
      </c>
      <c r="N25" s="26"/>
      <c r="O25" s="26"/>
      <c r="P25" s="117"/>
      <c r="Q25" s="26"/>
      <c r="R25" s="117"/>
      <c r="S25" s="118"/>
      <c r="T25" s="117"/>
      <c r="U25" s="118"/>
      <c r="V25" s="26"/>
      <c r="W25" s="26"/>
      <c r="X25" s="26"/>
      <c r="Y25" s="26"/>
      <c r="Z25" s="26"/>
      <c r="AA25" s="26"/>
      <c r="AB25" s="26"/>
      <c r="AC25" s="26"/>
      <c r="AD25" s="26"/>
    </row>
    <row r="26" spans="1:30">
      <c r="A26" s="55">
        <v>4930</v>
      </c>
      <c r="B26" s="45">
        <v>0</v>
      </c>
      <c r="C26" s="123">
        <v>0</v>
      </c>
      <c r="D26" s="121">
        <v>0</v>
      </c>
      <c r="E26" s="241">
        <v>0.13</v>
      </c>
      <c r="F26" s="123">
        <v>-1.8524999999999989E-2</v>
      </c>
      <c r="G26" s="46">
        <v>0</v>
      </c>
      <c r="H26" s="46">
        <v>13706230000</v>
      </c>
      <c r="I26" s="56">
        <v>0</v>
      </c>
      <c r="J26" s="125">
        <v>0</v>
      </c>
      <c r="N26" s="26"/>
      <c r="O26" s="26"/>
      <c r="P26" s="117"/>
      <c r="Q26" s="118"/>
      <c r="R26" s="117"/>
      <c r="S26" s="118"/>
      <c r="T26" s="117"/>
      <c r="U26" s="118"/>
      <c r="V26" s="26"/>
      <c r="W26" s="26"/>
      <c r="X26" s="26"/>
      <c r="Y26" s="26"/>
      <c r="Z26" s="26"/>
      <c r="AA26" s="26"/>
      <c r="AB26" s="26"/>
      <c r="AC26" s="26"/>
      <c r="AD26" s="26"/>
    </row>
    <row r="27" spans="1:30">
      <c r="A27" s="55">
        <v>5205</v>
      </c>
      <c r="B27" s="45">
        <v>-0.2</v>
      </c>
      <c r="C27" s="123">
        <v>1</v>
      </c>
      <c r="D27" s="121">
        <v>15000000</v>
      </c>
      <c r="E27" s="241">
        <v>0</v>
      </c>
      <c r="F27" s="123">
        <v>3.1991333333333327</v>
      </c>
      <c r="G27" s="46">
        <v>0</v>
      </c>
      <c r="H27" s="46">
        <v>2064000</v>
      </c>
      <c r="I27" s="56">
        <v>0</v>
      </c>
      <c r="J27" s="125">
        <v>0</v>
      </c>
      <c r="N27" s="26"/>
      <c r="O27" s="26"/>
      <c r="P27" s="117"/>
      <c r="Q27" s="118"/>
      <c r="R27" s="117"/>
      <c r="S27" s="118"/>
      <c r="T27" s="117"/>
      <c r="U27" s="118"/>
      <c r="V27" s="26"/>
      <c r="W27" s="26"/>
      <c r="X27" s="26"/>
      <c r="Y27" s="26"/>
      <c r="Z27" s="26"/>
      <c r="AA27" s="26"/>
      <c r="AB27" s="26"/>
      <c r="AC27" s="26"/>
      <c r="AD27" s="26"/>
    </row>
    <row r="28" spans="1:30">
      <c r="A28" s="55">
        <v>5348</v>
      </c>
      <c r="B28" s="45">
        <v>0.11</v>
      </c>
      <c r="C28" s="123">
        <v>1</v>
      </c>
      <c r="D28" s="121">
        <v>27272727.272727273</v>
      </c>
      <c r="E28" s="241">
        <v>0.26</v>
      </c>
      <c r="F28" s="123">
        <v>0.10792500000000001</v>
      </c>
      <c r="G28" s="46">
        <v>0</v>
      </c>
      <c r="H28" s="46">
        <v>206094000</v>
      </c>
      <c r="I28" s="56">
        <v>0</v>
      </c>
      <c r="J28" s="125">
        <v>0</v>
      </c>
      <c r="N28" s="26"/>
      <c r="O28" s="26"/>
      <c r="P28" s="117"/>
      <c r="Q28" s="118"/>
      <c r="R28" s="117"/>
      <c r="S28" s="118"/>
      <c r="T28" s="117"/>
      <c r="U28" s="118"/>
      <c r="V28" s="26"/>
      <c r="W28" s="26"/>
      <c r="X28" s="26"/>
      <c r="Y28" s="26"/>
      <c r="Z28" s="26"/>
      <c r="AA28" s="26"/>
      <c r="AB28" s="26"/>
      <c r="AC28" s="26"/>
      <c r="AD28" s="26"/>
    </row>
    <row r="29" spans="1:30">
      <c r="A29" s="55">
        <v>5426</v>
      </c>
      <c r="B29" s="45">
        <v>0.27</v>
      </c>
      <c r="C29" s="123">
        <v>0</v>
      </c>
      <c r="D29" s="121">
        <v>0</v>
      </c>
      <c r="E29" s="241">
        <v>0.18</v>
      </c>
      <c r="F29" s="123">
        <v>1.5000000000000007E-3</v>
      </c>
      <c r="G29" s="46">
        <v>0</v>
      </c>
      <c r="H29" s="46">
        <v>1615052000</v>
      </c>
      <c r="I29" s="56">
        <v>0</v>
      </c>
      <c r="J29" s="125">
        <v>0</v>
      </c>
      <c r="N29" s="26"/>
      <c r="O29" s="26"/>
      <c r="P29" s="117"/>
      <c r="Q29" s="118"/>
      <c r="R29" s="117"/>
      <c r="S29" s="118"/>
      <c r="T29" s="117"/>
      <c r="U29" s="118"/>
      <c r="V29" s="26"/>
      <c r="W29" s="26"/>
      <c r="X29" s="26"/>
      <c r="Y29" s="26"/>
      <c r="Z29" s="26"/>
      <c r="AA29" s="26"/>
      <c r="AB29" s="26"/>
      <c r="AC29" s="26"/>
      <c r="AD29" s="26"/>
    </row>
    <row r="30" spans="1:30">
      <c r="A30" s="55">
        <v>5506</v>
      </c>
      <c r="B30" s="45">
        <v>-0.03</v>
      </c>
      <c r="C30" s="123">
        <v>0.12840466926070038</v>
      </c>
      <c r="D30" s="121">
        <v>152439024.39024392</v>
      </c>
      <c r="E30" s="241">
        <f>VLOOKUP(5506,季財報!$A:$H,8,0)</f>
        <v>0</v>
      </c>
      <c r="F30" s="123">
        <v>-2.1508333333333334E-2</v>
      </c>
      <c r="G30" s="46">
        <v>0</v>
      </c>
      <c r="H30" s="46">
        <v>384110000</v>
      </c>
      <c r="I30" s="56">
        <v>0</v>
      </c>
      <c r="J30" s="125">
        <v>0</v>
      </c>
      <c r="N30" s="26"/>
      <c r="O30" s="26"/>
      <c r="P30" s="117"/>
      <c r="Q30" s="26"/>
      <c r="R30" s="117"/>
      <c r="S30" s="118"/>
      <c r="T30" s="117"/>
      <c r="U30" s="118"/>
      <c r="V30" s="26"/>
      <c r="W30" s="26"/>
      <c r="X30" s="26"/>
      <c r="Y30" s="26"/>
      <c r="Z30" s="26"/>
      <c r="AA30" s="26"/>
      <c r="AB30" s="26"/>
      <c r="AC30" s="26"/>
      <c r="AD30" s="26"/>
    </row>
    <row r="31" spans="1:30">
      <c r="A31" s="55">
        <v>5601</v>
      </c>
      <c r="B31" s="45">
        <v>0.09</v>
      </c>
      <c r="C31" s="123">
        <v>1</v>
      </c>
      <c r="D31" s="121">
        <v>66666666.666666672</v>
      </c>
      <c r="E31" s="241">
        <v>0.63</v>
      </c>
      <c r="F31" s="123">
        <v>1.0833333333333337E-3</v>
      </c>
      <c r="G31" s="46">
        <v>0</v>
      </c>
      <c r="H31" s="46">
        <v>75367000</v>
      </c>
      <c r="I31" s="56">
        <v>0</v>
      </c>
      <c r="J31" s="125">
        <v>0</v>
      </c>
      <c r="N31" s="26"/>
      <c r="O31" s="26"/>
      <c r="P31" s="117"/>
      <c r="Q31" s="118"/>
      <c r="R31" s="117"/>
      <c r="S31" s="118"/>
      <c r="T31" s="117"/>
      <c r="U31" s="118"/>
      <c r="V31" s="26"/>
      <c r="W31" s="26"/>
      <c r="X31" s="26"/>
      <c r="Y31" s="26"/>
      <c r="Z31" s="26"/>
      <c r="AA31" s="26"/>
      <c r="AB31" s="26"/>
      <c r="AC31" s="26"/>
      <c r="AD31" s="26"/>
    </row>
    <row r="32" spans="1:30">
      <c r="A32" s="55">
        <v>6130</v>
      </c>
      <c r="B32" s="45">
        <v>-0.28999999999999998</v>
      </c>
      <c r="C32" s="123">
        <v>0</v>
      </c>
      <c r="D32" s="121">
        <v>0</v>
      </c>
      <c r="E32" s="241">
        <v>0.31</v>
      </c>
      <c r="F32" s="123">
        <v>-1.0691666666666669E-2</v>
      </c>
      <c r="G32" s="46">
        <v>0</v>
      </c>
      <c r="H32" s="46">
        <v>244926000</v>
      </c>
      <c r="I32" s="56">
        <v>0</v>
      </c>
      <c r="J32" s="125">
        <v>0</v>
      </c>
      <c r="N32" s="26"/>
      <c r="O32" s="26"/>
      <c r="P32" s="117"/>
      <c r="Q32" s="26"/>
      <c r="R32" s="117"/>
      <c r="S32" s="118"/>
      <c r="T32" s="117"/>
      <c r="U32" s="118"/>
      <c r="V32" s="26"/>
      <c r="W32" s="26"/>
      <c r="X32" s="26"/>
      <c r="Y32" s="26"/>
      <c r="Z32" s="26"/>
      <c r="AA32" s="26"/>
      <c r="AB32" s="26"/>
      <c r="AC32" s="26"/>
      <c r="AD32" s="26"/>
    </row>
    <row r="33" spans="1:30">
      <c r="A33" s="55">
        <v>6186</v>
      </c>
      <c r="B33" s="45">
        <v>0</v>
      </c>
      <c r="C33" s="123">
        <v>0</v>
      </c>
      <c r="D33" s="121">
        <v>0</v>
      </c>
      <c r="E33" s="241">
        <v>0</v>
      </c>
      <c r="F33" s="123">
        <v>-0.18941666666666668</v>
      </c>
      <c r="G33" s="46">
        <v>0</v>
      </c>
      <c r="H33" s="46">
        <v>1727684000</v>
      </c>
      <c r="I33" s="56">
        <v>0</v>
      </c>
      <c r="J33" s="125">
        <v>0</v>
      </c>
      <c r="N33" s="26"/>
      <c r="O33" s="26"/>
      <c r="P33" s="117"/>
      <c r="Q33" s="26"/>
      <c r="R33" s="117"/>
      <c r="S33" s="118"/>
      <c r="T33" s="117"/>
      <c r="U33" s="118"/>
      <c r="V33" s="26"/>
      <c r="W33" s="26"/>
      <c r="X33" s="26"/>
      <c r="Y33" s="26"/>
      <c r="Z33" s="26"/>
      <c r="AA33" s="26"/>
      <c r="AB33" s="26"/>
      <c r="AC33" s="26"/>
      <c r="AD33" s="26"/>
    </row>
    <row r="34" spans="1:30">
      <c r="A34" s="55">
        <v>6211</v>
      </c>
      <c r="B34" s="45">
        <v>0.72</v>
      </c>
      <c r="C34" s="123">
        <v>0</v>
      </c>
      <c r="D34" s="121">
        <v>0</v>
      </c>
      <c r="E34" s="241">
        <v>0.16</v>
      </c>
      <c r="F34" s="123">
        <v>0.10525833333333334</v>
      </c>
      <c r="G34" s="46">
        <v>0</v>
      </c>
      <c r="H34" s="46">
        <v>65728000</v>
      </c>
      <c r="I34" s="56">
        <v>0</v>
      </c>
      <c r="J34" s="125">
        <v>0</v>
      </c>
      <c r="N34" s="26"/>
      <c r="O34" s="26"/>
      <c r="P34" s="117"/>
      <c r="Q34" s="118"/>
      <c r="R34" s="117"/>
      <c r="S34" s="118"/>
      <c r="T34" s="117"/>
      <c r="U34" s="118"/>
      <c r="V34" s="26"/>
      <c r="W34" s="26"/>
      <c r="X34" s="26"/>
      <c r="Y34" s="26"/>
      <c r="Z34" s="26"/>
      <c r="AA34" s="26"/>
      <c r="AB34" s="26"/>
      <c r="AC34" s="26"/>
      <c r="AD34" s="26"/>
    </row>
    <row r="35" spans="1:30">
      <c r="A35" s="55">
        <v>6212</v>
      </c>
      <c r="B35" s="45">
        <v>-0.08</v>
      </c>
      <c r="C35" s="123">
        <v>1</v>
      </c>
      <c r="D35" s="121">
        <v>112500000</v>
      </c>
      <c r="E35" s="241">
        <v>0.13</v>
      </c>
      <c r="F35" s="123">
        <v>175.68238333333332</v>
      </c>
      <c r="G35" s="46">
        <v>0</v>
      </c>
      <c r="H35" s="46">
        <v>3507029000</v>
      </c>
      <c r="I35" s="56">
        <v>0</v>
      </c>
      <c r="J35" s="125">
        <v>0</v>
      </c>
      <c r="N35" s="26"/>
      <c r="O35" s="26"/>
      <c r="P35" s="117"/>
      <c r="Q35" s="118"/>
      <c r="R35" s="117"/>
      <c r="S35" s="118"/>
      <c r="T35" s="117"/>
      <c r="U35" s="118"/>
      <c r="V35" s="26"/>
      <c r="W35" s="26"/>
      <c r="X35" s="26"/>
      <c r="Y35" s="26"/>
      <c r="Z35" s="26"/>
      <c r="AA35" s="26"/>
      <c r="AB35" s="26"/>
      <c r="AC35" s="26"/>
      <c r="AD35" s="26"/>
    </row>
    <row r="36" spans="1:30">
      <c r="A36" s="55">
        <v>6218</v>
      </c>
      <c r="B36" s="45">
        <v>0.67</v>
      </c>
      <c r="C36" s="123">
        <v>0</v>
      </c>
      <c r="D36" s="121">
        <v>0</v>
      </c>
      <c r="E36" s="241">
        <v>0.49</v>
      </c>
      <c r="F36" s="123">
        <v>7.9975000000000004E-2</v>
      </c>
      <c r="G36" s="46">
        <v>0</v>
      </c>
      <c r="H36" s="46">
        <v>1047715000</v>
      </c>
      <c r="I36" s="56">
        <v>0</v>
      </c>
      <c r="J36" s="125">
        <v>0</v>
      </c>
      <c r="N36" s="26"/>
      <c r="O36" s="26"/>
      <c r="P36" s="117"/>
      <c r="Q36" s="118"/>
      <c r="R36" s="117"/>
      <c r="S36" s="118"/>
      <c r="T36" s="117"/>
      <c r="U36" s="118"/>
      <c r="V36" s="26"/>
      <c r="W36" s="26"/>
      <c r="X36" s="26"/>
      <c r="Y36" s="26"/>
      <c r="Z36" s="26"/>
      <c r="AA36" s="26"/>
      <c r="AB36" s="26"/>
      <c r="AC36" s="26"/>
      <c r="AD36" s="26"/>
    </row>
    <row r="37" spans="1:30">
      <c r="A37" s="55">
        <v>6229</v>
      </c>
      <c r="B37" s="45">
        <v>0.19</v>
      </c>
      <c r="C37" s="123">
        <v>0</v>
      </c>
      <c r="D37" s="121">
        <v>0</v>
      </c>
      <c r="E37" s="241">
        <v>0.1</v>
      </c>
      <c r="F37" s="123">
        <v>0.11655833333333336</v>
      </c>
      <c r="G37" s="46">
        <v>0</v>
      </c>
      <c r="H37" s="46">
        <v>948987000</v>
      </c>
      <c r="I37" s="56">
        <v>0</v>
      </c>
      <c r="J37" s="125">
        <v>0</v>
      </c>
      <c r="N37" s="26"/>
      <c r="O37" s="26"/>
      <c r="P37" s="117"/>
      <c r="Q37" s="118"/>
      <c r="R37" s="117"/>
      <c r="S37" s="118"/>
      <c r="T37" s="117"/>
      <c r="U37" s="118"/>
      <c r="V37" s="26"/>
      <c r="W37" s="26"/>
      <c r="X37" s="26"/>
      <c r="Y37" s="26"/>
      <c r="Z37" s="26"/>
      <c r="AA37" s="26"/>
      <c r="AB37" s="26"/>
      <c r="AC37" s="26"/>
      <c r="AD37" s="26"/>
    </row>
    <row r="38" spans="1:30">
      <c r="A38" s="55">
        <v>6240</v>
      </c>
      <c r="B38" s="45">
        <v>1.33</v>
      </c>
      <c r="C38" s="123">
        <v>0.7</v>
      </c>
      <c r="D38" s="121">
        <v>23308270.67669173</v>
      </c>
      <c r="E38" s="241">
        <v>0.22</v>
      </c>
      <c r="F38" s="123">
        <v>0.25801666666666662</v>
      </c>
      <c r="G38" s="46">
        <v>0</v>
      </c>
      <c r="H38" s="46">
        <v>232028000</v>
      </c>
      <c r="I38" s="56">
        <v>0</v>
      </c>
      <c r="J38" s="125">
        <v>0</v>
      </c>
      <c r="N38" s="26"/>
      <c r="O38" s="26"/>
      <c r="P38" s="117"/>
      <c r="Q38" s="26"/>
      <c r="R38" s="117"/>
      <c r="S38" s="118"/>
      <c r="T38" s="117"/>
      <c r="U38" s="118"/>
      <c r="V38" s="26"/>
      <c r="W38" s="26"/>
      <c r="X38" s="26"/>
      <c r="Y38" s="26"/>
      <c r="Z38" s="26"/>
      <c r="AA38" s="26"/>
      <c r="AB38" s="26"/>
      <c r="AC38" s="26"/>
      <c r="AD38" s="26"/>
    </row>
    <row r="39" spans="1:30">
      <c r="A39" s="55">
        <v>6242</v>
      </c>
      <c r="B39" s="45">
        <v>0.38</v>
      </c>
      <c r="C39" s="123">
        <v>0.9642857142857143</v>
      </c>
      <c r="D39" s="121">
        <v>21052631.578947369</v>
      </c>
      <c r="E39" s="241">
        <v>0.67</v>
      </c>
      <c r="F39" s="123">
        <v>7.2125000000000009E-2</v>
      </c>
      <c r="G39" s="46">
        <v>0</v>
      </c>
      <c r="H39" s="46">
        <v>455808000</v>
      </c>
      <c r="I39" s="56">
        <v>0</v>
      </c>
      <c r="J39" s="125">
        <v>0</v>
      </c>
      <c r="N39" s="26"/>
      <c r="O39" s="26"/>
      <c r="P39" s="117"/>
      <c r="Q39" s="118"/>
      <c r="R39" s="117"/>
      <c r="S39" s="118"/>
      <c r="T39" s="117"/>
      <c r="U39" s="118"/>
      <c r="V39" s="26"/>
      <c r="W39" s="26"/>
      <c r="X39" s="26"/>
      <c r="Y39" s="26"/>
      <c r="Z39" s="26"/>
      <c r="AA39" s="26"/>
      <c r="AB39" s="26"/>
      <c r="AC39" s="26"/>
      <c r="AD39" s="26"/>
    </row>
    <row r="40" spans="1:30">
      <c r="A40" s="55">
        <v>6250</v>
      </c>
      <c r="B40" s="45">
        <v>-1.86</v>
      </c>
      <c r="C40" s="123">
        <v>0.9555555555555556</v>
      </c>
      <c r="D40" s="121">
        <v>18279569.892473117</v>
      </c>
      <c r="E40" s="241">
        <v>-0.27</v>
      </c>
      <c r="F40" s="123">
        <v>0.50057499999999999</v>
      </c>
      <c r="G40" s="46">
        <v>0</v>
      </c>
      <c r="H40" s="46">
        <v>113910000</v>
      </c>
      <c r="I40" s="56">
        <v>0</v>
      </c>
      <c r="J40" s="125">
        <v>0</v>
      </c>
      <c r="N40" s="26"/>
      <c r="O40" s="26"/>
      <c r="P40" s="117"/>
      <c r="Q40" s="118"/>
      <c r="R40" s="117"/>
      <c r="S40" s="118"/>
      <c r="T40" s="117"/>
      <c r="U40" s="118"/>
      <c r="V40" s="26"/>
      <c r="W40" s="26"/>
      <c r="X40" s="26"/>
      <c r="Y40" s="26"/>
      <c r="Z40" s="26"/>
      <c r="AA40" s="26"/>
      <c r="AB40" s="26"/>
      <c r="AC40" s="26"/>
      <c r="AD40" s="26"/>
    </row>
    <row r="41" spans="1:30">
      <c r="A41" s="55">
        <v>6291</v>
      </c>
      <c r="B41" s="45">
        <v>-0.45</v>
      </c>
      <c r="C41" s="123">
        <v>1</v>
      </c>
      <c r="D41" s="121">
        <v>26666666.666666664</v>
      </c>
      <c r="E41" s="241">
        <v>0.26</v>
      </c>
      <c r="F41" s="123">
        <v>2.3624999999999997E-2</v>
      </c>
      <c r="G41" s="46">
        <v>0</v>
      </c>
      <c r="H41" s="46">
        <v>243911000</v>
      </c>
      <c r="I41" s="56">
        <v>0</v>
      </c>
      <c r="J41" s="125">
        <v>0</v>
      </c>
      <c r="N41" s="26"/>
      <c r="O41" s="26"/>
      <c r="P41" s="117"/>
      <c r="Q41" s="118"/>
      <c r="R41" s="117"/>
      <c r="S41" s="118"/>
      <c r="T41" s="117"/>
      <c r="U41" s="118"/>
      <c r="V41" s="26"/>
      <c r="W41" s="26"/>
      <c r="X41" s="26"/>
      <c r="Y41" s="26"/>
      <c r="Z41" s="26"/>
      <c r="AA41" s="26"/>
      <c r="AB41" s="26"/>
      <c r="AC41" s="26"/>
      <c r="AD41" s="26"/>
    </row>
    <row r="42" spans="1:30">
      <c r="A42" s="55">
        <v>8034</v>
      </c>
      <c r="B42" s="45">
        <v>-0.01</v>
      </c>
      <c r="C42" s="123">
        <v>0</v>
      </c>
      <c r="D42" s="121">
        <v>0</v>
      </c>
      <c r="E42" s="241">
        <v>0.41</v>
      </c>
      <c r="F42" s="123">
        <v>0.36326666666666679</v>
      </c>
      <c r="G42" s="46">
        <v>0</v>
      </c>
      <c r="H42" s="46">
        <v>214777000</v>
      </c>
      <c r="I42" s="56">
        <v>0</v>
      </c>
      <c r="J42" s="125">
        <v>0</v>
      </c>
      <c r="N42" s="26"/>
      <c r="O42" s="26"/>
      <c r="P42" s="117"/>
      <c r="Q42" s="118"/>
      <c r="R42" s="117"/>
      <c r="S42" s="118"/>
      <c r="T42" s="117"/>
      <c r="U42" s="118"/>
      <c r="V42" s="26"/>
      <c r="W42" s="26"/>
      <c r="X42" s="26"/>
      <c r="Y42" s="26"/>
      <c r="Z42" s="26"/>
      <c r="AA42" s="26"/>
      <c r="AB42" s="26"/>
      <c r="AC42" s="26"/>
      <c r="AD42" s="26"/>
    </row>
    <row r="43" spans="1:30">
      <c r="A43" s="55">
        <v>8053</v>
      </c>
      <c r="B43" s="45">
        <v>-0.62</v>
      </c>
      <c r="C43" s="123">
        <v>0.83483483483483478</v>
      </c>
      <c r="D43" s="121">
        <v>409677419.35483873</v>
      </c>
      <c r="E43" s="241">
        <v>-0.02</v>
      </c>
      <c r="F43" s="123">
        <v>-6.000000000000001E-3</v>
      </c>
      <c r="G43" s="46">
        <v>0</v>
      </c>
      <c r="H43" s="46">
        <v>3585289000</v>
      </c>
      <c r="I43" s="56">
        <v>0</v>
      </c>
      <c r="J43" s="125">
        <v>0</v>
      </c>
      <c r="K43" s="26"/>
      <c r="N43" s="26"/>
      <c r="O43" s="26"/>
      <c r="P43" s="117"/>
      <c r="Q43" s="118"/>
      <c r="R43" s="117"/>
      <c r="S43" s="118"/>
      <c r="T43" s="117"/>
      <c r="U43" s="118"/>
      <c r="V43" s="26"/>
      <c r="W43" s="26"/>
      <c r="X43" s="26"/>
      <c r="Y43" s="26"/>
      <c r="Z43" s="26"/>
      <c r="AA43" s="26"/>
      <c r="AB43" s="26"/>
      <c r="AC43" s="26"/>
      <c r="AD43" s="26"/>
    </row>
    <row r="44" spans="1:30">
      <c r="A44" s="55">
        <v>8068</v>
      </c>
      <c r="B44" s="45">
        <v>0</v>
      </c>
      <c r="C44" s="123">
        <v>0</v>
      </c>
      <c r="D44" s="121">
        <v>0</v>
      </c>
      <c r="E44" s="241">
        <v>0.04</v>
      </c>
      <c r="F44" s="123">
        <v>9.3600000000000017E-2</v>
      </c>
      <c r="G44" s="46">
        <v>0</v>
      </c>
      <c r="H44" s="46">
        <v>1507967000</v>
      </c>
      <c r="I44" s="56">
        <v>0</v>
      </c>
      <c r="J44" s="125">
        <v>0</v>
      </c>
      <c r="N44" s="26"/>
      <c r="O44" s="26"/>
      <c r="P44" s="117"/>
      <c r="Q44" s="118"/>
      <c r="R44" s="117"/>
      <c r="S44" s="118"/>
      <c r="T44" s="117"/>
      <c r="U44" s="118"/>
      <c r="V44" s="26"/>
      <c r="W44" s="26"/>
      <c r="X44" s="26"/>
      <c r="Y44" s="26"/>
      <c r="Z44" s="26"/>
      <c r="AA44" s="26"/>
      <c r="AB44" s="26"/>
      <c r="AC44" s="26"/>
      <c r="AD44" s="26"/>
    </row>
    <row r="45" spans="1:30">
      <c r="A45" s="55">
        <v>8097</v>
      </c>
      <c r="B45" s="45">
        <v>-0.2</v>
      </c>
      <c r="C45" s="123">
        <v>1</v>
      </c>
      <c r="D45" s="121">
        <v>25000000</v>
      </c>
      <c r="E45" s="241">
        <v>0.14000000000000001</v>
      </c>
      <c r="F45" s="123">
        <v>1.0345583333333332</v>
      </c>
      <c r="G45" s="46">
        <v>0</v>
      </c>
      <c r="H45" s="46">
        <v>54999000</v>
      </c>
      <c r="I45" s="56">
        <v>0</v>
      </c>
      <c r="J45" s="125">
        <v>0</v>
      </c>
      <c r="N45" s="26"/>
      <c r="O45" s="26"/>
      <c r="P45" s="117"/>
      <c r="Q45" s="118"/>
      <c r="R45" s="117"/>
      <c r="S45" s="118"/>
      <c r="T45" s="117"/>
      <c r="U45" s="118"/>
      <c r="V45" s="26"/>
      <c r="W45" s="26"/>
      <c r="X45" s="26"/>
      <c r="Y45" s="26"/>
      <c r="Z45" s="26"/>
      <c r="AA45" s="26"/>
      <c r="AB45" s="26"/>
      <c r="AC45" s="26"/>
      <c r="AD45" s="26"/>
    </row>
    <row r="46" spans="1:30">
      <c r="A46" s="55">
        <v>8390</v>
      </c>
      <c r="B46" s="45">
        <v>0</v>
      </c>
      <c r="C46" s="123">
        <v>0</v>
      </c>
      <c r="D46" s="121">
        <v>0</v>
      </c>
      <c r="E46" s="241">
        <v>0</v>
      </c>
      <c r="F46" s="123">
        <v>-2.8908333333333317E-2</v>
      </c>
      <c r="G46" s="46">
        <v>0</v>
      </c>
      <c r="H46" s="46">
        <v>2953365000</v>
      </c>
      <c r="I46" s="56">
        <v>0</v>
      </c>
      <c r="J46" s="125">
        <v>0</v>
      </c>
      <c r="N46" s="26"/>
      <c r="O46" s="26"/>
      <c r="P46" s="117"/>
      <c r="Q46" s="118"/>
      <c r="R46" s="26"/>
      <c r="S46" s="26"/>
      <c r="T46" s="117"/>
      <c r="U46" s="26"/>
      <c r="V46" s="26"/>
      <c r="W46" s="26"/>
      <c r="X46" s="26"/>
      <c r="Y46" s="26"/>
      <c r="Z46" s="26"/>
      <c r="AA46" s="26"/>
      <c r="AB46" s="26"/>
      <c r="AC46" s="26"/>
      <c r="AD46" s="26"/>
    </row>
    <row r="47" spans="1:30">
      <c r="A47" s="55">
        <v>8925</v>
      </c>
      <c r="B47" s="45">
        <v>-0.9</v>
      </c>
      <c r="C47" s="123">
        <v>9.6907993966817499E-2</v>
      </c>
      <c r="D47" s="121">
        <v>364444444.44444442</v>
      </c>
      <c r="E47" s="241">
        <v>0.04</v>
      </c>
      <c r="F47" s="123">
        <v>-0.10840833333333333</v>
      </c>
      <c r="G47" s="46">
        <v>0</v>
      </c>
      <c r="H47" s="46">
        <v>1108755000</v>
      </c>
      <c r="I47" s="56">
        <v>0</v>
      </c>
      <c r="J47" s="125">
        <v>0</v>
      </c>
      <c r="N47" s="26"/>
      <c r="O47" s="26"/>
      <c r="P47" s="117"/>
      <c r="Q47" s="118"/>
      <c r="R47" s="26"/>
      <c r="S47" s="26"/>
      <c r="T47" s="117"/>
      <c r="U47" s="26"/>
      <c r="V47" s="26"/>
      <c r="W47" s="26"/>
      <c r="X47" s="26"/>
      <c r="Y47" s="26"/>
      <c r="Z47" s="26"/>
      <c r="AA47" s="26"/>
      <c r="AB47" s="26"/>
      <c r="AC47" s="26"/>
      <c r="AD47" s="26"/>
    </row>
    <row r="48" spans="1:30">
      <c r="A48" s="55">
        <v>8927</v>
      </c>
      <c r="B48" s="45">
        <v>-0.15</v>
      </c>
      <c r="C48" s="123">
        <v>0</v>
      </c>
      <c r="D48" s="121">
        <v>0</v>
      </c>
      <c r="E48" s="241">
        <v>0.1</v>
      </c>
      <c r="F48" s="123">
        <v>8.5583333333333345E-3</v>
      </c>
      <c r="G48" s="46">
        <v>0</v>
      </c>
      <c r="H48" s="46">
        <v>3371382000</v>
      </c>
      <c r="I48" s="56">
        <v>0</v>
      </c>
      <c r="J48" s="125">
        <v>0</v>
      </c>
      <c r="N48" s="26"/>
      <c r="O48" s="26"/>
      <c r="P48" s="117"/>
      <c r="Q48" s="118"/>
      <c r="R48" s="26"/>
      <c r="S48" s="26"/>
      <c r="T48" s="117"/>
      <c r="U48" s="26"/>
      <c r="V48" s="26"/>
      <c r="W48" s="26"/>
      <c r="X48" s="26"/>
      <c r="Y48" s="26"/>
      <c r="Z48" s="26"/>
      <c r="AA48" s="26"/>
      <c r="AB48" s="26"/>
      <c r="AC48" s="26"/>
      <c r="AD48" s="26"/>
    </row>
    <row r="49" spans="1:30">
      <c r="A49" s="55">
        <v>8934</v>
      </c>
      <c r="B49" s="45">
        <v>-0.42</v>
      </c>
      <c r="C49" s="123">
        <v>1</v>
      </c>
      <c r="D49" s="121">
        <v>7142857.1428571427</v>
      </c>
      <c r="E49" s="241">
        <v>0.15</v>
      </c>
      <c r="F49" s="123">
        <v>4.280833333333333E-2</v>
      </c>
      <c r="G49" s="46">
        <v>0</v>
      </c>
      <c r="H49" s="46">
        <v>691238000</v>
      </c>
      <c r="I49" s="56">
        <v>0</v>
      </c>
      <c r="J49" s="125">
        <v>0</v>
      </c>
      <c r="N49" s="26"/>
      <c r="O49" s="26"/>
      <c r="P49" s="117"/>
      <c r="Q49" s="26"/>
      <c r="R49" s="26"/>
      <c r="S49" s="26"/>
      <c r="T49" s="117"/>
      <c r="U49" s="26"/>
      <c r="V49" s="26"/>
      <c r="W49" s="26"/>
      <c r="X49" s="26"/>
      <c r="Y49" s="26"/>
      <c r="Z49" s="26"/>
      <c r="AA49" s="26"/>
      <c r="AB49" s="26"/>
      <c r="AC49" s="26"/>
      <c r="AD49" s="26"/>
    </row>
    <row r="50" spans="1:30">
      <c r="A50" s="55">
        <v>9906</v>
      </c>
      <c r="B50" s="45">
        <v>0</v>
      </c>
      <c r="C50" s="123">
        <v>0</v>
      </c>
      <c r="D50" s="121">
        <v>0</v>
      </c>
      <c r="E50" s="241">
        <v>0</v>
      </c>
      <c r="F50" s="123">
        <v>1650.0575999999999</v>
      </c>
      <c r="G50" s="46">
        <v>0</v>
      </c>
      <c r="H50" s="46">
        <v>769553000</v>
      </c>
      <c r="I50" s="56">
        <v>0</v>
      </c>
      <c r="J50" s="125">
        <v>0</v>
      </c>
      <c r="N50" s="26"/>
      <c r="O50" s="26"/>
      <c r="P50" s="117"/>
      <c r="Q50" s="26"/>
      <c r="R50" s="26"/>
      <c r="S50" s="26"/>
      <c r="T50" s="117"/>
      <c r="U50" s="26"/>
      <c r="V50" s="26"/>
      <c r="W50" s="26"/>
      <c r="X50" s="26"/>
      <c r="Y50" s="26"/>
      <c r="Z50" s="26"/>
      <c r="AA50" s="26"/>
      <c r="AB50" s="26"/>
      <c r="AC50" s="26"/>
      <c r="AD50" s="26"/>
    </row>
    <row r="51" spans="1:30">
      <c r="A51" s="55">
        <v>2025</v>
      </c>
      <c r="B51" s="114">
        <v>-0.56000000000000005</v>
      </c>
      <c r="C51" s="122">
        <v>0.66666666666666663</v>
      </c>
      <c r="D51" s="116">
        <v>278571428.57142854</v>
      </c>
      <c r="E51" s="241">
        <v>-0.11</v>
      </c>
      <c r="F51" s="122">
        <v>8.7416666666666649E-3</v>
      </c>
      <c r="G51" s="116">
        <v>0</v>
      </c>
      <c r="H51" s="116">
        <v>2926372000</v>
      </c>
      <c r="I51" s="114">
        <v>0</v>
      </c>
      <c r="J51" s="116">
        <v>0</v>
      </c>
      <c r="N51" s="26"/>
      <c r="O51" s="26"/>
      <c r="P51" s="117"/>
      <c r="Q51" s="118"/>
      <c r="R51" s="26"/>
      <c r="S51" s="26"/>
      <c r="T51" s="117"/>
      <c r="U51" s="26"/>
      <c r="V51" s="26"/>
      <c r="W51" s="26"/>
      <c r="X51" s="26"/>
      <c r="Y51" s="26"/>
      <c r="Z51" s="26"/>
      <c r="AA51" s="26"/>
      <c r="AB51" s="26"/>
      <c r="AC51" s="26"/>
      <c r="AD51" s="26"/>
    </row>
    <row r="52" spans="1:30">
      <c r="A52" s="55">
        <v>3562</v>
      </c>
      <c r="B52" s="114">
        <v>-0.11</v>
      </c>
      <c r="C52" s="122">
        <v>0</v>
      </c>
      <c r="D52" s="116">
        <v>54545454.545454547</v>
      </c>
      <c r="E52" s="241">
        <v>0.06</v>
      </c>
      <c r="F52" s="122">
        <v>8.3841666666666662E-2</v>
      </c>
      <c r="G52" s="116">
        <v>0</v>
      </c>
      <c r="H52" s="116">
        <v>962462000</v>
      </c>
      <c r="I52" s="114">
        <v>0</v>
      </c>
      <c r="J52" s="116">
        <v>0</v>
      </c>
      <c r="K52" s="26"/>
      <c r="N52" s="26"/>
      <c r="O52" s="26"/>
      <c r="P52" s="117"/>
      <c r="Q52" s="118"/>
      <c r="R52" s="26"/>
      <c r="S52" s="26"/>
      <c r="T52" s="117"/>
      <c r="U52" s="26"/>
      <c r="V52" s="26"/>
      <c r="W52" s="26"/>
      <c r="X52" s="26"/>
      <c r="Y52" s="26"/>
      <c r="Z52" s="26"/>
      <c r="AA52" s="26"/>
      <c r="AB52" s="26"/>
      <c r="AC52" s="26"/>
      <c r="AD52" s="26"/>
    </row>
    <row r="53" spans="1:30">
      <c r="A53" s="55">
        <v>4402</v>
      </c>
      <c r="B53" s="45">
        <v>-1.28</v>
      </c>
      <c r="C53" s="123">
        <v>0.71296296296296291</v>
      </c>
      <c r="D53" s="121">
        <v>46093750</v>
      </c>
      <c r="E53" s="241">
        <v>-0.11</v>
      </c>
      <c r="F53" s="123">
        <v>0.11501666666666666</v>
      </c>
      <c r="G53" s="46">
        <v>0</v>
      </c>
      <c r="H53" s="46">
        <v>917162000</v>
      </c>
      <c r="I53" s="56">
        <v>0</v>
      </c>
      <c r="J53" s="125">
        <v>0</v>
      </c>
      <c r="N53" s="26"/>
      <c r="O53" s="26"/>
      <c r="P53" s="117"/>
      <c r="Q53" s="26"/>
      <c r="R53" s="26"/>
      <c r="S53" s="26"/>
      <c r="T53" s="117"/>
      <c r="U53" s="26"/>
      <c r="V53" s="26"/>
      <c r="W53" s="26"/>
      <c r="X53" s="26"/>
      <c r="Y53" s="26"/>
      <c r="Z53" s="26"/>
      <c r="AA53" s="26"/>
      <c r="AB53" s="26"/>
      <c r="AC53" s="26"/>
      <c r="AD53" s="26"/>
    </row>
    <row r="54" spans="1:30">
      <c r="A54" s="55">
        <v>4550</v>
      </c>
      <c r="B54" s="45">
        <v>0.22</v>
      </c>
      <c r="C54" s="123">
        <v>0.96666666666666667</v>
      </c>
      <c r="D54" s="121">
        <v>31818181.818181816</v>
      </c>
      <c r="E54" s="241">
        <v>0.05</v>
      </c>
      <c r="F54" s="123">
        <v>0.17897500000000002</v>
      </c>
      <c r="G54" s="46">
        <v>0</v>
      </c>
      <c r="H54" s="46">
        <v>1245227000</v>
      </c>
      <c r="I54" s="56">
        <v>0</v>
      </c>
      <c r="J54" s="125">
        <v>0</v>
      </c>
      <c r="N54" s="26"/>
      <c r="O54" s="26"/>
      <c r="P54" s="117"/>
      <c r="Q54" s="26"/>
      <c r="R54" s="26"/>
      <c r="S54" s="26"/>
      <c r="T54" s="117"/>
      <c r="U54" s="26"/>
      <c r="V54" s="26"/>
      <c r="W54" s="26"/>
      <c r="X54" s="26"/>
      <c r="Y54" s="26"/>
      <c r="Z54" s="26"/>
      <c r="AA54" s="26"/>
      <c r="AB54" s="26"/>
      <c r="AC54" s="26"/>
      <c r="AD54" s="26"/>
    </row>
    <row r="55" spans="1:30">
      <c r="A55" s="55">
        <v>5321</v>
      </c>
      <c r="B55" s="45">
        <v>0.67</v>
      </c>
      <c r="C55" s="123">
        <v>0.23809523809523808</v>
      </c>
      <c r="D55" s="121">
        <v>28358208.955223881</v>
      </c>
      <c r="E55" s="241">
        <v>0.08</v>
      </c>
      <c r="F55" s="123">
        <v>-3.0774999999999997E-2</v>
      </c>
      <c r="G55" s="46">
        <v>0</v>
      </c>
      <c r="H55" s="46">
        <v>1116993000</v>
      </c>
      <c r="I55" s="56">
        <v>0</v>
      </c>
      <c r="J55" s="125">
        <v>0</v>
      </c>
      <c r="N55" s="26"/>
      <c r="O55" s="26"/>
      <c r="P55" s="117"/>
      <c r="Q55" s="26"/>
      <c r="R55" s="26"/>
      <c r="S55" s="26"/>
      <c r="T55" s="117"/>
      <c r="U55" s="26"/>
      <c r="V55" s="26"/>
      <c r="W55" s="26"/>
      <c r="X55" s="26"/>
      <c r="Y55" s="26"/>
      <c r="Z55" s="26"/>
      <c r="AA55" s="26"/>
      <c r="AB55" s="26"/>
      <c r="AC55" s="26"/>
      <c r="AD55" s="26"/>
    </row>
    <row r="56" spans="1:30">
      <c r="A56" s="55">
        <v>5209</v>
      </c>
      <c r="B56" s="45">
        <v>0.88</v>
      </c>
      <c r="C56" s="123">
        <v>0.67500000000000004</v>
      </c>
      <c r="D56" s="121">
        <v>23863636.363636363</v>
      </c>
      <c r="E56" s="241">
        <v>0.12</v>
      </c>
      <c r="F56" s="123">
        <v>2.7599999999999996E-2</v>
      </c>
      <c r="G56" s="46">
        <v>0</v>
      </c>
      <c r="H56" s="46">
        <v>1445914000</v>
      </c>
      <c r="I56" s="56">
        <v>0</v>
      </c>
      <c r="J56" s="125">
        <v>0</v>
      </c>
      <c r="N56" s="26"/>
      <c r="O56" s="26"/>
      <c r="P56" s="117"/>
      <c r="Q56" s="118"/>
      <c r="R56" s="26"/>
      <c r="S56" s="26"/>
      <c r="T56" s="117"/>
      <c r="U56" s="26"/>
      <c r="V56" s="26"/>
      <c r="W56" s="26"/>
      <c r="X56" s="26"/>
      <c r="Y56" s="26"/>
      <c r="Z56" s="26"/>
      <c r="AA56" s="26"/>
      <c r="AB56" s="26"/>
      <c r="AC56" s="26"/>
      <c r="AD56" s="26"/>
    </row>
    <row r="57" spans="1:30">
      <c r="A57" s="55">
        <v>3581</v>
      </c>
      <c r="B57" s="119">
        <v>0.22</v>
      </c>
      <c r="C57" s="122">
        <v>1</v>
      </c>
      <c r="D57" s="120">
        <v>50000000</v>
      </c>
      <c r="E57" s="241">
        <v>0.37</v>
      </c>
      <c r="F57" s="122">
        <v>3.0883333333333342E-2</v>
      </c>
      <c r="G57" s="120">
        <v>0</v>
      </c>
      <c r="H57" s="120">
        <v>825975000</v>
      </c>
      <c r="I57" s="119">
        <v>0</v>
      </c>
      <c r="J57" s="120">
        <v>0</v>
      </c>
      <c r="N57" s="26"/>
      <c r="O57" s="26"/>
      <c r="P57" s="117"/>
      <c r="Q57" s="26"/>
      <c r="R57" s="26"/>
      <c r="S57" s="26"/>
      <c r="T57" s="117"/>
      <c r="U57" s="26"/>
      <c r="V57" s="26"/>
      <c r="W57" s="26"/>
      <c r="X57" s="26"/>
      <c r="Y57" s="26"/>
      <c r="Z57" s="26"/>
      <c r="AA57" s="26"/>
      <c r="AB57" s="26"/>
      <c r="AC57" s="26"/>
      <c r="AD57" s="26"/>
    </row>
    <row r="58" spans="1:30">
      <c r="A58" s="55">
        <v>5465</v>
      </c>
      <c r="B58" s="45">
        <v>0.01</v>
      </c>
      <c r="C58" s="123">
        <v>0</v>
      </c>
      <c r="D58" s="121">
        <v>200000000</v>
      </c>
      <c r="E58" s="241">
        <v>0.13</v>
      </c>
      <c r="F58" s="123">
        <v>-2.3666666666666649E-3</v>
      </c>
      <c r="G58" s="46">
        <v>0</v>
      </c>
      <c r="H58" s="46">
        <v>2456266000</v>
      </c>
      <c r="I58" s="56">
        <v>0</v>
      </c>
      <c r="J58" s="125">
        <v>0</v>
      </c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</row>
    <row r="59" spans="1:30">
      <c r="A59" s="55">
        <v>5364</v>
      </c>
      <c r="B59" s="45">
        <v>0.21</v>
      </c>
      <c r="C59" s="123">
        <v>0.5</v>
      </c>
      <c r="D59" s="121">
        <v>9523809.5238095243</v>
      </c>
      <c r="E59" s="241">
        <v>0.16</v>
      </c>
      <c r="F59" s="123">
        <v>7.9566666666666674E-2</v>
      </c>
      <c r="G59" s="46">
        <v>0</v>
      </c>
      <c r="H59" s="46">
        <v>423130000</v>
      </c>
      <c r="I59" s="56">
        <v>0</v>
      </c>
      <c r="J59" s="125">
        <v>0</v>
      </c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</row>
    <row r="60" spans="1:30">
      <c r="A60" s="55">
        <v>9928</v>
      </c>
      <c r="B60" s="45">
        <v>-0.4</v>
      </c>
      <c r="C60" s="123">
        <v>1</v>
      </c>
      <c r="D60" s="121">
        <v>132500000</v>
      </c>
      <c r="E60" s="241">
        <v>-0.17</v>
      </c>
      <c r="F60" s="123">
        <v>3.0366666666666653E-2</v>
      </c>
      <c r="G60" s="46">
        <v>0</v>
      </c>
      <c r="H60" s="46">
        <v>951836000</v>
      </c>
      <c r="I60" s="56">
        <v>0</v>
      </c>
      <c r="J60" s="125">
        <v>0</v>
      </c>
    </row>
    <row r="61" spans="1:30">
      <c r="A61" s="55">
        <v>3288</v>
      </c>
      <c r="B61" s="114">
        <v>-0.35</v>
      </c>
      <c r="C61" s="122">
        <v>0.95348837209302328</v>
      </c>
      <c r="D61" s="116">
        <v>48571428.571428575</v>
      </c>
      <c r="E61" s="241">
        <v>0.4</v>
      </c>
      <c r="F61" s="122">
        <v>1.5366666666666667E-2</v>
      </c>
      <c r="G61" s="116">
        <v>0</v>
      </c>
      <c r="H61" s="116">
        <v>260921000</v>
      </c>
      <c r="I61" s="114">
        <v>0</v>
      </c>
      <c r="J61" s="116">
        <v>0</v>
      </c>
      <c r="P61" s="115"/>
      <c r="Q61" s="115"/>
      <c r="R61" s="115"/>
      <c r="S61" s="115"/>
      <c r="T61" s="115"/>
      <c r="U61" s="115"/>
      <c r="V61" s="115"/>
      <c r="W61" s="115"/>
    </row>
    <row r="62" spans="1:30">
      <c r="A62" s="55">
        <v>8423</v>
      </c>
      <c r="B62" s="45">
        <v>0.55000000000000004</v>
      </c>
      <c r="C62" s="123">
        <v>0.35714285714285715</v>
      </c>
      <c r="D62" s="121">
        <v>18181818.18181818</v>
      </c>
      <c r="E62" s="241">
        <v>0.2</v>
      </c>
      <c r="F62" s="123">
        <v>1.4641666666666664E-2</v>
      </c>
      <c r="G62" s="46">
        <v>0</v>
      </c>
      <c r="H62" s="46">
        <v>283748000</v>
      </c>
      <c r="I62" s="56">
        <v>0</v>
      </c>
      <c r="J62" s="125">
        <v>0</v>
      </c>
      <c r="P62" s="115"/>
      <c r="Q62" s="115"/>
      <c r="R62" s="115"/>
      <c r="S62" s="115"/>
      <c r="T62" s="115"/>
      <c r="U62" s="115"/>
      <c r="V62" s="115"/>
      <c r="W62" s="115"/>
    </row>
    <row r="63" spans="1:30">
      <c r="A63" s="55">
        <v>4530</v>
      </c>
      <c r="B63" s="45">
        <v>0.09</v>
      </c>
      <c r="C63" s="123">
        <v>1</v>
      </c>
      <c r="D63" s="121">
        <v>22222222.222222224</v>
      </c>
      <c r="E63" s="241">
        <v>-0.28000000000000003</v>
      </c>
      <c r="F63" s="123">
        <v>0.21665833333333337</v>
      </c>
      <c r="G63" s="46">
        <v>0</v>
      </c>
      <c r="H63" s="46">
        <v>67361000</v>
      </c>
      <c r="I63" s="56">
        <v>0</v>
      </c>
      <c r="J63" s="125">
        <v>0</v>
      </c>
      <c r="P63" s="115"/>
      <c r="Q63" s="115"/>
      <c r="R63" s="115"/>
      <c r="S63" s="115"/>
      <c r="T63" s="115"/>
      <c r="U63" s="115"/>
      <c r="V63" s="115"/>
      <c r="W63" s="115"/>
    </row>
    <row r="64" spans="1:30">
      <c r="A64" s="55">
        <v>3332</v>
      </c>
      <c r="B64" s="114">
        <v>0.84</v>
      </c>
      <c r="C64" s="122">
        <v>0.7</v>
      </c>
      <c r="D64" s="116">
        <v>48809523.809523813</v>
      </c>
      <c r="E64" s="241">
        <v>0.35</v>
      </c>
      <c r="F64" s="122">
        <v>3.4466666666666666E-2</v>
      </c>
      <c r="G64" s="116">
        <v>0</v>
      </c>
      <c r="H64" s="116">
        <v>1142812000</v>
      </c>
      <c r="I64" s="114">
        <v>0</v>
      </c>
      <c r="J64" s="116">
        <v>0</v>
      </c>
    </row>
    <row r="65" spans="1:10">
      <c r="A65" s="55">
        <v>8087</v>
      </c>
      <c r="B65" s="45">
        <v>-0.03</v>
      </c>
      <c r="C65" s="123">
        <v>0.5</v>
      </c>
      <c r="D65" s="121">
        <v>33333333.333333336</v>
      </c>
      <c r="E65" s="241">
        <v>0.27</v>
      </c>
      <c r="F65" s="123">
        <v>2.7383333333333339E-2</v>
      </c>
      <c r="G65" s="46">
        <v>0</v>
      </c>
      <c r="H65" s="46">
        <v>146292000</v>
      </c>
      <c r="I65" s="56">
        <v>0</v>
      </c>
      <c r="J65" s="125">
        <v>0</v>
      </c>
    </row>
    <row r="66" spans="1:10">
      <c r="A66" s="55">
        <v>1475</v>
      </c>
      <c r="B66" s="114">
        <v>-0.16</v>
      </c>
      <c r="C66" s="122">
        <v>0.82608695652173914</v>
      </c>
      <c r="D66" s="116">
        <v>50000000</v>
      </c>
      <c r="E66" s="241">
        <v>-7.0000000000000007E-2</v>
      </c>
      <c r="F66" s="122">
        <v>4.2308333333333337E-2</v>
      </c>
      <c r="G66" s="116">
        <v>0</v>
      </c>
      <c r="H66" s="116">
        <v>222441000</v>
      </c>
      <c r="I66" s="114">
        <v>0</v>
      </c>
      <c r="J66" s="116">
        <v>0</v>
      </c>
    </row>
    <row r="67" spans="1:10">
      <c r="A67" s="55">
        <v>3188</v>
      </c>
      <c r="B67" s="114">
        <v>0.17</v>
      </c>
      <c r="C67" s="122">
        <v>0</v>
      </c>
      <c r="D67" s="116">
        <v>47058823.529411763</v>
      </c>
      <c r="E67" s="241">
        <v>0.25</v>
      </c>
      <c r="F67" s="122">
        <v>7.5933333333333339E-2</v>
      </c>
      <c r="G67" s="116">
        <v>0</v>
      </c>
      <c r="H67" s="116">
        <v>189768000</v>
      </c>
      <c r="I67" s="114">
        <v>0</v>
      </c>
      <c r="J67" s="116">
        <v>0</v>
      </c>
    </row>
    <row r="68" spans="1:10">
      <c r="A68" s="55">
        <v>5604</v>
      </c>
      <c r="B68" s="45">
        <v>0.28000000000000003</v>
      </c>
      <c r="C68" s="123">
        <v>0.96969696969696972</v>
      </c>
      <c r="D68" s="121">
        <v>110714285.7142857</v>
      </c>
      <c r="E68" s="241">
        <v>0.32</v>
      </c>
      <c r="F68" s="123">
        <v>1.6666666666666659E-3</v>
      </c>
      <c r="G68" s="46">
        <v>0</v>
      </c>
      <c r="H68" s="46">
        <v>1444208000</v>
      </c>
      <c r="I68" s="56">
        <v>0</v>
      </c>
      <c r="J68" s="125">
        <v>0</v>
      </c>
    </row>
    <row r="69" spans="1:10">
      <c r="A69" s="55">
        <v>8917</v>
      </c>
      <c r="B69" s="45">
        <v>0.34</v>
      </c>
      <c r="C69" s="123">
        <v>0.91764705882352937</v>
      </c>
      <c r="D69" s="121">
        <v>123529411.76470587</v>
      </c>
      <c r="E69" s="241">
        <v>0.2</v>
      </c>
      <c r="F69" s="123">
        <v>-2.2591666666666666E-2</v>
      </c>
      <c r="G69" s="46">
        <v>0</v>
      </c>
      <c r="H69" s="46">
        <v>1601005000</v>
      </c>
      <c r="I69" s="56">
        <v>0</v>
      </c>
      <c r="J69" s="125">
        <v>0</v>
      </c>
    </row>
    <row r="70" spans="1:10">
      <c r="A70" s="55">
        <v>2910</v>
      </c>
      <c r="B70" s="114">
        <v>7.0000000000000007E-2</v>
      </c>
      <c r="C70" s="122">
        <v>1</v>
      </c>
      <c r="D70" s="116">
        <v>185714285.7142857</v>
      </c>
      <c r="E70" s="241">
        <v>0.62</v>
      </c>
      <c r="F70" s="122">
        <v>7.5608333333333347E-2</v>
      </c>
      <c r="G70" s="116">
        <v>0</v>
      </c>
      <c r="H70" s="116">
        <v>669564000</v>
      </c>
      <c r="I70" s="114">
        <v>0</v>
      </c>
      <c r="J70" s="116">
        <v>0</v>
      </c>
    </row>
    <row r="71" spans="1:10">
      <c r="A71" s="55">
        <v>1613</v>
      </c>
      <c r="B71" s="114">
        <v>-0.73</v>
      </c>
      <c r="C71" s="122">
        <v>0</v>
      </c>
      <c r="D71" s="116">
        <v>227397260.2739726</v>
      </c>
      <c r="E71" s="241">
        <v>0.02</v>
      </c>
      <c r="F71" s="122">
        <v>2.4250000000000083E-3</v>
      </c>
      <c r="G71" s="116">
        <v>682191780.82191777</v>
      </c>
      <c r="H71" s="116">
        <v>34245405000</v>
      </c>
      <c r="I71" s="114">
        <v>1.9920680769344612E-2</v>
      </c>
      <c r="J71" s="116">
        <v>0</v>
      </c>
    </row>
    <row r="72" spans="1:10">
      <c r="A72" s="55">
        <v>3312</v>
      </c>
      <c r="B72" s="114">
        <v>-0.37</v>
      </c>
      <c r="C72" s="122">
        <v>0.79069767441860461</v>
      </c>
      <c r="D72" s="116">
        <v>108108108.1081081</v>
      </c>
      <c r="E72" s="241">
        <v>0.03</v>
      </c>
      <c r="F72" s="122">
        <v>8.0833333333333295E-3</v>
      </c>
      <c r="G72" s="116">
        <v>687567567.56756759</v>
      </c>
      <c r="H72" s="116">
        <v>15055058000</v>
      </c>
      <c r="I72" s="114">
        <v>4.5670203832331141E-2</v>
      </c>
      <c r="J72" s="116">
        <v>0</v>
      </c>
    </row>
    <row r="73" spans="1:10">
      <c r="A73" s="55">
        <v>8112</v>
      </c>
      <c r="B73" s="45">
        <v>0.35</v>
      </c>
      <c r="C73" s="123">
        <v>1</v>
      </c>
      <c r="D73" s="121">
        <v>285714285.71428573</v>
      </c>
      <c r="E73" s="241">
        <v>0.02</v>
      </c>
      <c r="F73" s="123">
        <v>0.11533333333333334</v>
      </c>
      <c r="G73" s="46">
        <v>3800000000.0000005</v>
      </c>
      <c r="H73" s="46">
        <v>77225239000</v>
      </c>
      <c r="I73" s="56">
        <v>4.9206710774957918E-2</v>
      </c>
      <c r="J73" s="125">
        <v>9.5000000000000018</v>
      </c>
    </row>
    <row r="74" spans="1:10">
      <c r="A74" s="55">
        <v>3048</v>
      </c>
      <c r="B74" s="114">
        <v>0.68</v>
      </c>
      <c r="C74" s="122">
        <v>1</v>
      </c>
      <c r="D74" s="116">
        <v>201470588.2352941</v>
      </c>
      <c r="E74" s="241">
        <v>0.03</v>
      </c>
      <c r="F74" s="122">
        <v>5.1833333333333358E-3</v>
      </c>
      <c r="G74" s="116">
        <v>3535808823.5294118</v>
      </c>
      <c r="H74" s="116">
        <v>71618442000</v>
      </c>
      <c r="I74" s="114">
        <v>4.9370088552462672E-2</v>
      </c>
      <c r="J74" s="116">
        <v>6.4522058823529411</v>
      </c>
    </row>
    <row r="75" spans="1:10">
      <c r="A75" s="55">
        <v>8096</v>
      </c>
      <c r="B75" s="45">
        <v>1.18</v>
      </c>
      <c r="C75" s="123">
        <v>0.27814569536423839</v>
      </c>
      <c r="D75" s="121">
        <v>122033898.30508475</v>
      </c>
      <c r="E75" s="241">
        <v>0.02</v>
      </c>
      <c r="F75" s="123">
        <v>0.19728333333333334</v>
      </c>
      <c r="G75" s="46">
        <v>2245423728.8135591</v>
      </c>
      <c r="H75" s="46">
        <v>41131543000</v>
      </c>
      <c r="I75" s="56">
        <v>5.4591283599877569E-2</v>
      </c>
      <c r="J75" s="125">
        <v>14.015334947538337</v>
      </c>
    </row>
    <row r="76" spans="1:10">
      <c r="A76" s="55">
        <v>3231</v>
      </c>
      <c r="B76" s="114">
        <v>0.27</v>
      </c>
      <c r="C76" s="122">
        <v>0.20844686648501362</v>
      </c>
      <c r="D76" s="116">
        <v>2433333333.333333</v>
      </c>
      <c r="E76" s="241">
        <v>0.05</v>
      </c>
      <c r="F76" s="122">
        <v>9.0333333333333377E-3</v>
      </c>
      <c r="G76" s="116">
        <v>44286666666.666656</v>
      </c>
      <c r="H76" s="116">
        <v>623275966000</v>
      </c>
      <c r="I76" s="114">
        <v>7.1054667727500118E-2</v>
      </c>
      <c r="J76" s="116">
        <v>50</v>
      </c>
    </row>
    <row r="77" spans="1:10">
      <c r="A77" s="55">
        <v>5384</v>
      </c>
      <c r="B77" s="45">
        <v>0.04</v>
      </c>
      <c r="C77" s="123">
        <v>1</v>
      </c>
      <c r="D77" s="121">
        <v>75000000</v>
      </c>
      <c r="E77" s="241">
        <v>0.05</v>
      </c>
      <c r="F77" s="123">
        <v>4.1958333333333341E-2</v>
      </c>
      <c r="G77" s="46">
        <v>926250000</v>
      </c>
      <c r="H77" s="46">
        <v>12111116000</v>
      </c>
      <c r="I77" s="56">
        <v>7.6479326925776289E-2</v>
      </c>
      <c r="J77" s="125">
        <v>50</v>
      </c>
    </row>
    <row r="78" spans="1:10">
      <c r="A78" s="55">
        <v>5014</v>
      </c>
      <c r="B78" s="45">
        <v>-0.64</v>
      </c>
      <c r="C78" s="123">
        <v>0.33606557377049179</v>
      </c>
      <c r="D78" s="121">
        <v>165625000</v>
      </c>
      <c r="E78" s="241">
        <v>0.01</v>
      </c>
      <c r="F78" s="123">
        <v>4.2899999999999994E-2</v>
      </c>
      <c r="G78" s="46">
        <v>1137843750</v>
      </c>
      <c r="H78" s="46">
        <v>14163688000</v>
      </c>
      <c r="I78" s="56">
        <v>8.0335273553046357E-2</v>
      </c>
      <c r="J78" s="125">
        <v>0</v>
      </c>
    </row>
    <row r="79" spans="1:10">
      <c r="A79" s="55">
        <v>6265</v>
      </c>
      <c r="B79" s="45">
        <v>0.41</v>
      </c>
      <c r="C79" s="123">
        <v>0</v>
      </c>
      <c r="D79" s="121">
        <v>117073170.73170732</v>
      </c>
      <c r="E79" s="241">
        <v>0.03</v>
      </c>
      <c r="F79" s="123">
        <v>5.541666666666673E-3</v>
      </c>
      <c r="G79" s="46">
        <v>737560975.60975611</v>
      </c>
      <c r="H79" s="46">
        <v>8691822000</v>
      </c>
      <c r="I79" s="56">
        <v>8.4856889109067829E-2</v>
      </c>
      <c r="J79" s="125">
        <v>0</v>
      </c>
    </row>
    <row r="80" spans="1:10">
      <c r="A80" s="55">
        <v>2324</v>
      </c>
      <c r="B80" s="114">
        <v>0.67</v>
      </c>
      <c r="C80" s="122">
        <v>0.73856655290102391</v>
      </c>
      <c r="D80" s="116">
        <v>4311940298.5074625</v>
      </c>
      <c r="E80" s="241">
        <v>0.04</v>
      </c>
      <c r="F80" s="122">
        <v>2.0358333333333332E-2</v>
      </c>
      <c r="G80" s="116">
        <v>79986492537.313431</v>
      </c>
      <c r="H80" s="116">
        <v>847224478000</v>
      </c>
      <c r="I80" s="114">
        <v>9.4410034901415391E-2</v>
      </c>
      <c r="J80" s="116">
        <v>9.3717238668027694</v>
      </c>
    </row>
    <row r="81" spans="1:10">
      <c r="A81" s="55">
        <v>2475</v>
      </c>
      <c r="B81" s="114">
        <v>-0.56999999999999995</v>
      </c>
      <c r="C81" s="122">
        <v>1</v>
      </c>
      <c r="D81" s="116">
        <v>6435087719.2982464</v>
      </c>
      <c r="E81" s="241">
        <v>-0.04</v>
      </c>
      <c r="F81" s="122">
        <v>-1.7983333333333334E-2</v>
      </c>
      <c r="G81" s="116">
        <v>4697614035.0877199</v>
      </c>
      <c r="H81" s="116">
        <v>47421272000</v>
      </c>
      <c r="I81" s="114">
        <v>9.9061324949016968E-2</v>
      </c>
      <c r="J81" s="116">
        <v>0</v>
      </c>
    </row>
    <row r="82" spans="1:10">
      <c r="A82" s="55">
        <v>3702</v>
      </c>
      <c r="B82" s="114">
        <v>0.98</v>
      </c>
      <c r="C82" s="122">
        <v>1</v>
      </c>
      <c r="D82" s="116">
        <v>1650000000</v>
      </c>
      <c r="E82" s="241">
        <v>0.04</v>
      </c>
      <c r="F82" s="122">
        <v>3.2099999999999997E-2</v>
      </c>
      <c r="G82" s="116">
        <v>53460000000</v>
      </c>
      <c r="H82" s="116">
        <v>515598697000</v>
      </c>
      <c r="I82" s="114">
        <v>0.10368528918140381</v>
      </c>
      <c r="J82" s="116">
        <v>8.2653061224489797</v>
      </c>
    </row>
    <row r="83" spans="1:10">
      <c r="A83" s="55">
        <v>2028</v>
      </c>
      <c r="B83" s="114">
        <v>-1.5</v>
      </c>
      <c r="C83" s="122">
        <v>0.73712737127371275</v>
      </c>
      <c r="D83" s="116">
        <v>343333333.33333331</v>
      </c>
      <c r="E83" s="241">
        <v>-0.43</v>
      </c>
      <c r="F83" s="122">
        <v>-4.4708333333333343E-2</v>
      </c>
      <c r="G83" s="116">
        <v>556200000</v>
      </c>
      <c r="H83" s="116">
        <v>5265484000</v>
      </c>
      <c r="I83" s="114">
        <v>0.10563131518394131</v>
      </c>
      <c r="J83" s="116">
        <v>0</v>
      </c>
    </row>
    <row r="84" spans="1:10">
      <c r="A84" s="55">
        <v>3360</v>
      </c>
      <c r="B84" s="114">
        <v>0.46</v>
      </c>
      <c r="C84" s="122">
        <v>1</v>
      </c>
      <c r="D84" s="116">
        <v>76086956.521739125</v>
      </c>
      <c r="E84" s="241">
        <v>0.03</v>
      </c>
      <c r="F84" s="122">
        <v>1.4675000000000002E-2</v>
      </c>
      <c r="G84" s="116">
        <v>1160326086.9565217</v>
      </c>
      <c r="H84" s="116">
        <v>10913711000</v>
      </c>
      <c r="I84" s="114">
        <v>0.10631819799484536</v>
      </c>
      <c r="J84" s="116">
        <v>8.2880434782608692</v>
      </c>
    </row>
    <row r="85" spans="1:10">
      <c r="A85" s="55">
        <v>3579</v>
      </c>
      <c r="B85" s="114">
        <v>-1.61</v>
      </c>
      <c r="C85" s="122">
        <v>0.12664907651715041</v>
      </c>
      <c r="D85" s="116">
        <v>115527950.310559</v>
      </c>
      <c r="E85" s="241">
        <v>-0.02</v>
      </c>
      <c r="F85" s="122">
        <v>1.5691666666666666E-2</v>
      </c>
      <c r="G85" s="116">
        <v>1692484472.0496895</v>
      </c>
      <c r="H85" s="116">
        <v>15807590000</v>
      </c>
      <c r="I85" s="114">
        <v>0.10706783716238145</v>
      </c>
      <c r="J85" s="116">
        <v>0</v>
      </c>
    </row>
    <row r="86" spans="1:10">
      <c r="A86" s="55">
        <v>5469</v>
      </c>
      <c r="B86" s="45">
        <v>0.61</v>
      </c>
      <c r="C86" s="123">
        <v>0</v>
      </c>
      <c r="D86" s="121">
        <v>454098360.6557377</v>
      </c>
      <c r="E86" s="241">
        <v>0.1</v>
      </c>
      <c r="F86" s="123">
        <v>-4.4666666666666691E-3</v>
      </c>
      <c r="G86" s="46">
        <v>4477409836.0655737</v>
      </c>
      <c r="H86" s="46">
        <v>40416528000</v>
      </c>
      <c r="I86" s="56">
        <v>0.11078165437826756</v>
      </c>
      <c r="J86" s="125">
        <v>0</v>
      </c>
    </row>
    <row r="87" spans="1:10">
      <c r="A87" s="55">
        <v>1785</v>
      </c>
      <c r="B87" s="114">
        <v>0.21</v>
      </c>
      <c r="C87" s="122">
        <v>3.608247422680412E-2</v>
      </c>
      <c r="D87" s="116">
        <v>395238095.23809522</v>
      </c>
      <c r="E87" s="241">
        <v>0.04</v>
      </c>
      <c r="F87" s="122">
        <v>1.8074999999999997E-2</v>
      </c>
      <c r="G87" s="116">
        <v>7134047619.0476189</v>
      </c>
      <c r="H87" s="116">
        <v>61888111000</v>
      </c>
      <c r="I87" s="114">
        <v>0.11527331346480456</v>
      </c>
      <c r="J87" s="116">
        <v>50</v>
      </c>
    </row>
    <row r="88" spans="1:10">
      <c r="A88" s="55">
        <v>3315</v>
      </c>
      <c r="B88" s="114">
        <v>0.78</v>
      </c>
      <c r="C88" s="122">
        <v>0</v>
      </c>
      <c r="D88" s="116">
        <v>70512820.512820512</v>
      </c>
      <c r="E88" s="241">
        <v>7.0000000000000007E-2</v>
      </c>
      <c r="F88" s="122">
        <v>2.690833333333334E-2</v>
      </c>
      <c r="G88" s="116">
        <v>1064743589.7435898</v>
      </c>
      <c r="H88" s="116">
        <v>8981223000</v>
      </c>
      <c r="I88" s="114">
        <v>0.1185521826752982</v>
      </c>
      <c r="J88" s="116">
        <v>0</v>
      </c>
    </row>
    <row r="89" spans="1:10">
      <c r="A89" s="55">
        <v>3095</v>
      </c>
      <c r="B89" s="114">
        <v>-2.41</v>
      </c>
      <c r="C89" s="122">
        <v>1</v>
      </c>
      <c r="D89" s="116">
        <v>109543568.46473028</v>
      </c>
      <c r="E89" s="241">
        <v>0.19</v>
      </c>
      <c r="F89" s="122">
        <v>-2.2733333333333328E-2</v>
      </c>
      <c r="G89" s="116">
        <v>520331950.20746881</v>
      </c>
      <c r="H89" s="116">
        <v>4314633000</v>
      </c>
      <c r="I89" s="114">
        <v>0.12059703576352121</v>
      </c>
      <c r="J89" s="116">
        <v>0</v>
      </c>
    </row>
    <row r="90" spans="1:10">
      <c r="A90" s="55">
        <v>2371</v>
      </c>
      <c r="B90" s="114">
        <v>-0.45</v>
      </c>
      <c r="C90" s="122">
        <v>0.99687304565353341</v>
      </c>
      <c r="D90" s="116">
        <v>2280000000</v>
      </c>
      <c r="E90" s="241">
        <v>0.06</v>
      </c>
      <c r="F90" s="122">
        <v>-1.1725000000000001E-2</v>
      </c>
      <c r="G90" s="116">
        <v>11559600000</v>
      </c>
      <c r="H90" s="116">
        <v>94820258000</v>
      </c>
      <c r="I90" s="114">
        <v>0.12191065753058804</v>
      </c>
      <c r="J90" s="116">
        <v>0</v>
      </c>
    </row>
    <row r="91" spans="1:10">
      <c r="A91" s="55">
        <v>6148</v>
      </c>
      <c r="B91" s="45">
        <v>0.13</v>
      </c>
      <c r="C91" s="123">
        <v>1</v>
      </c>
      <c r="D91" s="121">
        <v>92307692.307692304</v>
      </c>
      <c r="E91" s="241">
        <v>7.0000000000000007E-2</v>
      </c>
      <c r="F91" s="123">
        <v>5.4241666666666667E-2</v>
      </c>
      <c r="G91" s="46">
        <v>670153846.15384614</v>
      </c>
      <c r="H91" s="46">
        <v>5380149000</v>
      </c>
      <c r="I91" s="56">
        <v>0.12456046220166879</v>
      </c>
      <c r="J91" s="125">
        <v>13.96153846153846</v>
      </c>
    </row>
    <row r="92" spans="1:10">
      <c r="A92" s="55">
        <v>3584</v>
      </c>
      <c r="B92" s="114">
        <v>-3.01</v>
      </c>
      <c r="C92" s="122">
        <v>0.8558786346396966</v>
      </c>
      <c r="D92" s="116">
        <v>140531561.46179402</v>
      </c>
      <c r="E92" s="241">
        <v>-0.15</v>
      </c>
      <c r="F92" s="122">
        <v>-0.11985833333333336</v>
      </c>
      <c r="G92" s="116">
        <v>528398671.09634548</v>
      </c>
      <c r="H92" s="116">
        <v>4191042000</v>
      </c>
      <c r="I92" s="114">
        <v>0.12607811400991578</v>
      </c>
      <c r="J92" s="116">
        <v>0</v>
      </c>
    </row>
    <row r="93" spans="1:10">
      <c r="A93" s="55">
        <v>2038</v>
      </c>
      <c r="B93" s="114">
        <v>-0.42</v>
      </c>
      <c r="C93" s="122">
        <v>1</v>
      </c>
      <c r="D93" s="116">
        <v>173809523.80952382</v>
      </c>
      <c r="E93" s="241">
        <v>-0.02</v>
      </c>
      <c r="F93" s="122">
        <v>-1.581666666666667E-2</v>
      </c>
      <c r="G93" s="116">
        <v>1016785714.2857143</v>
      </c>
      <c r="H93" s="116">
        <v>8023670000</v>
      </c>
      <c r="I93" s="114">
        <v>0.12672327180526047</v>
      </c>
      <c r="J93" s="116">
        <v>0</v>
      </c>
    </row>
    <row r="94" spans="1:10">
      <c r="A94" s="55">
        <v>3209</v>
      </c>
      <c r="B94" s="114">
        <v>1.04</v>
      </c>
      <c r="C94" s="122">
        <v>0.96491228070175439</v>
      </c>
      <c r="D94" s="116">
        <v>120192307.69230768</v>
      </c>
      <c r="E94" s="241">
        <v>0.06</v>
      </c>
      <c r="F94" s="122">
        <v>3.726666666666667E-2</v>
      </c>
      <c r="G94" s="116">
        <v>3124999999.9999995</v>
      </c>
      <c r="H94" s="116">
        <v>24358795000</v>
      </c>
      <c r="I94" s="114">
        <v>0.12829041830681689</v>
      </c>
      <c r="J94" s="116">
        <v>6.4772727272727275</v>
      </c>
    </row>
    <row r="95" spans="1:10">
      <c r="A95" s="55">
        <v>2353</v>
      </c>
      <c r="B95" s="114">
        <v>0.06</v>
      </c>
      <c r="C95" s="122">
        <v>8.8082901554404139E-2</v>
      </c>
      <c r="D95" s="116">
        <v>3183333333.3333335</v>
      </c>
      <c r="E95" s="241">
        <v>0.08</v>
      </c>
      <c r="F95" s="122">
        <v>1.7358333333333319E-2</v>
      </c>
      <c r="G95" s="116">
        <v>35335000000</v>
      </c>
      <c r="H95" s="116">
        <v>263489950000</v>
      </c>
      <c r="I95" s="114">
        <v>0.13410378650115498</v>
      </c>
      <c r="J95" s="116">
        <v>50</v>
      </c>
    </row>
    <row r="96" spans="1:10">
      <c r="A96" s="55">
        <v>3033</v>
      </c>
      <c r="B96" s="114">
        <v>0.45</v>
      </c>
      <c r="C96" s="122">
        <v>1</v>
      </c>
      <c r="D96" s="116">
        <v>277777777.77777779</v>
      </c>
      <c r="E96" s="241">
        <v>0.06</v>
      </c>
      <c r="F96" s="122">
        <v>2.6450000000000001E-2</v>
      </c>
      <c r="G96" s="116">
        <v>5277777777.7777777</v>
      </c>
      <c r="H96" s="116">
        <v>38826090000</v>
      </c>
      <c r="I96" s="114">
        <v>0.13593379549106741</v>
      </c>
      <c r="J96" s="116">
        <v>10.555555555555555</v>
      </c>
    </row>
    <row r="97" spans="1:10">
      <c r="A97" s="55">
        <v>5609</v>
      </c>
      <c r="B97" s="45">
        <v>0.17</v>
      </c>
      <c r="C97" s="123">
        <v>0.85106382978723405</v>
      </c>
      <c r="D97" s="121">
        <v>129411764.70588234</v>
      </c>
      <c r="E97" s="241">
        <v>0.16</v>
      </c>
      <c r="F97" s="123">
        <v>-2.5583333333333296E-3</v>
      </c>
      <c r="G97" s="46">
        <v>2018823529.4117644</v>
      </c>
      <c r="H97" s="46">
        <v>14742799000</v>
      </c>
      <c r="I97" s="56">
        <v>0.13693624456331288</v>
      </c>
      <c r="J97" s="125">
        <v>26.955882352941174</v>
      </c>
    </row>
    <row r="98" spans="1:10">
      <c r="A98" s="55">
        <v>6150</v>
      </c>
      <c r="B98" s="45">
        <v>-0.48</v>
      </c>
      <c r="C98" s="123">
        <v>1</v>
      </c>
      <c r="D98" s="121">
        <v>50000000</v>
      </c>
      <c r="E98" s="241">
        <v>0.02</v>
      </c>
      <c r="F98" s="123">
        <v>5.0516666666666661E-2</v>
      </c>
      <c r="G98" s="46">
        <v>344000000</v>
      </c>
      <c r="H98" s="46">
        <v>2486043000</v>
      </c>
      <c r="I98" s="56">
        <v>0.13837250602664555</v>
      </c>
      <c r="J98" s="125">
        <v>0</v>
      </c>
    </row>
    <row r="99" spans="1:10">
      <c r="A99" s="55">
        <v>8101</v>
      </c>
      <c r="B99" s="45">
        <v>-0.23</v>
      </c>
      <c r="C99" s="123">
        <v>0.40217391304347827</v>
      </c>
      <c r="D99" s="121">
        <v>421739130.43478256</v>
      </c>
      <c r="E99" s="241">
        <v>0.05</v>
      </c>
      <c r="F99" s="123">
        <v>-5.4166666666666738E-3</v>
      </c>
      <c r="G99" s="46">
        <v>2876260869.565217</v>
      </c>
      <c r="H99" s="46">
        <v>20539591000</v>
      </c>
      <c r="I99" s="56">
        <v>0.14003496318720354</v>
      </c>
      <c r="J99" s="125">
        <v>0</v>
      </c>
    </row>
    <row r="100" spans="1:10">
      <c r="A100" s="55">
        <v>1309</v>
      </c>
      <c r="B100" s="114">
        <v>-0.55000000000000004</v>
      </c>
      <c r="C100" s="122">
        <v>1</v>
      </c>
      <c r="D100" s="116">
        <v>329090909.09090906</v>
      </c>
      <c r="E100" s="241">
        <v>0</v>
      </c>
      <c r="F100" s="122">
        <v>-2.3499999999999979E-3</v>
      </c>
      <c r="G100" s="116">
        <v>2422109090.909091</v>
      </c>
      <c r="H100" s="116">
        <v>17027191000</v>
      </c>
      <c r="I100" s="114">
        <v>0.14224948148576538</v>
      </c>
      <c r="J100" s="116">
        <v>0</v>
      </c>
    </row>
    <row r="101" spans="1:10">
      <c r="A101" s="55">
        <v>3036</v>
      </c>
      <c r="B101" s="114">
        <v>1.1399999999999999</v>
      </c>
      <c r="C101" s="122">
        <v>1</v>
      </c>
      <c r="D101" s="116">
        <v>445614035.08771932</v>
      </c>
      <c r="E101" s="241">
        <v>0.06</v>
      </c>
      <c r="F101" s="122">
        <v>9.4916666666666673E-3</v>
      </c>
      <c r="G101" s="116">
        <v>16487719298.245615</v>
      </c>
      <c r="H101" s="116">
        <v>113598195000</v>
      </c>
      <c r="I101" s="114">
        <v>0.14514068025680879</v>
      </c>
      <c r="J101" s="116">
        <v>8.1140350877192997</v>
      </c>
    </row>
    <row r="102" spans="1:10">
      <c r="A102" s="55">
        <v>3028</v>
      </c>
      <c r="B102" s="114">
        <v>0.41</v>
      </c>
      <c r="C102" s="122">
        <v>1</v>
      </c>
      <c r="D102" s="116">
        <v>214634146.34146342</v>
      </c>
      <c r="E102" s="241">
        <v>7.0000000000000007E-2</v>
      </c>
      <c r="F102" s="122">
        <v>2.5275000000000002E-2</v>
      </c>
      <c r="G102" s="116">
        <v>3434146341.4634147</v>
      </c>
      <c r="H102" s="116">
        <v>23645827000</v>
      </c>
      <c r="I102" s="114">
        <v>0.14523265950746467</v>
      </c>
      <c r="J102" s="116">
        <v>9.7560975609756095</v>
      </c>
    </row>
    <row r="103" spans="1:10">
      <c r="A103" s="55">
        <v>8287</v>
      </c>
      <c r="B103" s="45">
        <v>0.77</v>
      </c>
      <c r="C103" s="123">
        <v>0.27067669172932329</v>
      </c>
      <c r="D103" s="121">
        <v>137662337.66233766</v>
      </c>
      <c r="E103" s="241">
        <v>0.03</v>
      </c>
      <c r="F103" s="123">
        <v>8.6166666666666648E-3</v>
      </c>
      <c r="G103" s="46">
        <v>2312727272.727273</v>
      </c>
      <c r="H103" s="46">
        <v>15840922000</v>
      </c>
      <c r="I103" s="56">
        <v>0.14599701158349704</v>
      </c>
      <c r="J103" s="125">
        <v>20.151515151515152</v>
      </c>
    </row>
    <row r="104" spans="1:10">
      <c r="A104" s="55">
        <v>2321</v>
      </c>
      <c r="B104" s="114">
        <v>-0.06</v>
      </c>
      <c r="C104" s="122">
        <v>1</v>
      </c>
      <c r="D104" s="116">
        <v>283333333.33333337</v>
      </c>
      <c r="E104" s="241">
        <v>0.09</v>
      </c>
      <c r="F104" s="122">
        <v>2.4624999999999998E-2</v>
      </c>
      <c r="G104" s="116">
        <v>597833333.33333337</v>
      </c>
      <c r="H104" s="116">
        <v>4080905000</v>
      </c>
      <c r="I104" s="114">
        <v>0.14649528311326368</v>
      </c>
      <c r="J104" s="116">
        <v>0</v>
      </c>
    </row>
    <row r="105" spans="1:10">
      <c r="A105" s="55">
        <v>2347</v>
      </c>
      <c r="B105" s="114">
        <v>0.19</v>
      </c>
      <c r="C105" s="122">
        <v>1</v>
      </c>
      <c r="D105" s="116">
        <v>1589473684.2105262</v>
      </c>
      <c r="E105" s="241">
        <v>0.04</v>
      </c>
      <c r="F105" s="122">
        <v>3.1166666666666665E-2</v>
      </c>
      <c r="G105" s="116">
        <v>47922631578.947365</v>
      </c>
      <c r="H105" s="116">
        <v>326958695000</v>
      </c>
      <c r="I105" s="114">
        <v>0.14657090425121547</v>
      </c>
      <c r="J105" s="116">
        <v>39.671052631578945</v>
      </c>
    </row>
    <row r="106" spans="1:10">
      <c r="A106" s="55">
        <v>6120</v>
      </c>
      <c r="B106" s="45">
        <v>-0.23</v>
      </c>
      <c r="C106" s="123">
        <v>1</v>
      </c>
      <c r="D106" s="121">
        <v>752173913.04347825</v>
      </c>
      <c r="E106" s="241">
        <v>0.03</v>
      </c>
      <c r="F106" s="123">
        <v>-2.3525000000000001E-2</v>
      </c>
      <c r="G106" s="46">
        <v>6077565217.391304</v>
      </c>
      <c r="H106" s="46">
        <v>41172140000</v>
      </c>
      <c r="I106" s="56">
        <v>0.14761353714893868</v>
      </c>
      <c r="J106" s="125">
        <v>0</v>
      </c>
    </row>
    <row r="107" spans="1:10">
      <c r="A107" s="55">
        <v>2352</v>
      </c>
      <c r="B107" s="114">
        <v>0.28999999999999998</v>
      </c>
      <c r="C107" s="122">
        <v>0.57231245166279965</v>
      </c>
      <c r="D107" s="116">
        <v>1975862068.9655173</v>
      </c>
      <c r="E107" s="241">
        <v>0.1</v>
      </c>
      <c r="F107" s="122">
        <v>3.6916666666666643E-3</v>
      </c>
      <c r="G107" s="116">
        <v>19956206896.551723</v>
      </c>
      <c r="H107" s="116">
        <v>133312545000</v>
      </c>
      <c r="I107" s="114">
        <v>0.14969489102883546</v>
      </c>
      <c r="J107" s="116">
        <v>15.213536812674745</v>
      </c>
    </row>
    <row r="108" spans="1:10">
      <c r="A108" s="55">
        <v>2430</v>
      </c>
      <c r="B108" s="114">
        <v>0.92</v>
      </c>
      <c r="C108" s="122">
        <v>1</v>
      </c>
      <c r="D108" s="116">
        <v>168478260.86956522</v>
      </c>
      <c r="E108" s="241">
        <v>0.16</v>
      </c>
      <c r="F108" s="122">
        <v>7.8916666666666649E-3</v>
      </c>
      <c r="G108" s="116">
        <v>3504347826.0869565</v>
      </c>
      <c r="H108" s="116">
        <v>22981291000</v>
      </c>
      <c r="I108" s="114">
        <v>0.15248698717956952</v>
      </c>
      <c r="J108" s="116">
        <v>5.6521739130434785</v>
      </c>
    </row>
    <row r="109" spans="1:10">
      <c r="A109" s="55">
        <v>6190</v>
      </c>
      <c r="B109" s="45">
        <v>0.09</v>
      </c>
      <c r="C109" s="123">
        <v>1</v>
      </c>
      <c r="D109" s="121">
        <v>111111111.11111112</v>
      </c>
      <c r="E109" s="241">
        <v>0.1</v>
      </c>
      <c r="F109" s="123">
        <v>-1.3499999999999994E-3</v>
      </c>
      <c r="G109" s="46">
        <v>616666666.66666675</v>
      </c>
      <c r="H109" s="46">
        <v>3994313000</v>
      </c>
      <c r="I109" s="56">
        <v>0.15438616519703557</v>
      </c>
      <c r="J109" s="125">
        <v>15.416666666666666</v>
      </c>
    </row>
    <row r="110" spans="1:10">
      <c r="A110" s="55">
        <v>6152</v>
      </c>
      <c r="B110" s="45">
        <v>-0.41</v>
      </c>
      <c r="C110" s="123">
        <v>1</v>
      </c>
      <c r="D110" s="121">
        <v>168292682.92682928</v>
      </c>
      <c r="E110" s="241">
        <v>7.0000000000000007E-2</v>
      </c>
      <c r="F110" s="123">
        <v>4.8616666666666669E-2</v>
      </c>
      <c r="G110" s="46">
        <v>1282390243.9024391</v>
      </c>
      <c r="H110" s="46">
        <v>8274855000</v>
      </c>
      <c r="I110" s="56">
        <v>0.15497434624563683</v>
      </c>
      <c r="J110" s="125">
        <v>0</v>
      </c>
    </row>
    <row r="111" spans="1:10">
      <c r="A111" s="55">
        <v>1609</v>
      </c>
      <c r="B111" s="114">
        <v>-0.45</v>
      </c>
      <c r="C111" s="122">
        <v>0.4578005115089514</v>
      </c>
      <c r="D111" s="116">
        <v>564444444.44444442</v>
      </c>
      <c r="E111" s="241">
        <v>0.03</v>
      </c>
      <c r="F111" s="122">
        <v>1.1049999999999997E-2</v>
      </c>
      <c r="G111" s="116">
        <v>2438400000</v>
      </c>
      <c r="H111" s="116">
        <v>15411623000</v>
      </c>
      <c r="I111" s="114">
        <v>0.15821824865557638</v>
      </c>
      <c r="J111" s="116">
        <v>0</v>
      </c>
    </row>
    <row r="112" spans="1:10">
      <c r="A112" s="55">
        <v>2414</v>
      </c>
      <c r="B112" s="114">
        <v>0.35</v>
      </c>
      <c r="C112" s="122">
        <v>1</v>
      </c>
      <c r="D112" s="116">
        <v>160000000</v>
      </c>
      <c r="E112" s="241">
        <v>0.09</v>
      </c>
      <c r="F112" s="122">
        <v>1.2433333333333333E-2</v>
      </c>
      <c r="G112" s="116">
        <v>2512000000</v>
      </c>
      <c r="H112" s="116">
        <v>15760758000</v>
      </c>
      <c r="I112" s="114">
        <v>0.15938319717871438</v>
      </c>
      <c r="J112" s="116">
        <v>11.214285714285715</v>
      </c>
    </row>
    <row r="113" spans="1:10">
      <c r="A113" s="55">
        <v>2616</v>
      </c>
      <c r="B113" s="114">
        <v>0.55000000000000004</v>
      </c>
      <c r="C113" s="122">
        <v>0.64102564102564108</v>
      </c>
      <c r="D113" s="116">
        <v>110909090.90909091</v>
      </c>
      <c r="E113" s="241">
        <v>0.08</v>
      </c>
      <c r="F113" s="122">
        <v>-1.1975E-2</v>
      </c>
      <c r="G113" s="116">
        <v>2578636363.6363635</v>
      </c>
      <c r="H113" s="116">
        <v>15818868000</v>
      </c>
      <c r="I113" s="114">
        <v>0.16301017011055174</v>
      </c>
      <c r="J113" s="116">
        <v>16.486363636363631</v>
      </c>
    </row>
    <row r="114" spans="1:10">
      <c r="A114" s="55">
        <v>4973</v>
      </c>
      <c r="B114" s="45">
        <v>0.31</v>
      </c>
      <c r="C114" s="123">
        <v>1</v>
      </c>
      <c r="D114" s="121">
        <v>64516129.032258064</v>
      </c>
      <c r="E114" s="241">
        <v>0.1</v>
      </c>
      <c r="F114" s="123">
        <v>-2.5016666666666663E-2</v>
      </c>
      <c r="G114" s="46">
        <v>893548387.0967741</v>
      </c>
      <c r="H114" s="46">
        <v>5466033000</v>
      </c>
      <c r="I114" s="56">
        <v>0.16347292215337414</v>
      </c>
      <c r="J114" s="125">
        <v>11.169354838709678</v>
      </c>
    </row>
    <row r="115" spans="1:10">
      <c r="A115" s="55">
        <v>4938</v>
      </c>
      <c r="B115" s="45">
        <v>2.31</v>
      </c>
      <c r="C115" s="123">
        <v>0.96729147141518279</v>
      </c>
      <c r="D115" s="121">
        <v>2603463203.4632034</v>
      </c>
      <c r="E115" s="241">
        <v>7.0000000000000007E-2</v>
      </c>
      <c r="F115" s="123">
        <v>5.3641666666666678E-2</v>
      </c>
      <c r="G115" s="46">
        <v>198644242424.2424</v>
      </c>
      <c r="H115" s="46">
        <v>1213597888000</v>
      </c>
      <c r="I115" s="56">
        <v>0.16368209304616257</v>
      </c>
      <c r="J115" s="125">
        <v>8.5368019894713036</v>
      </c>
    </row>
    <row r="116" spans="1:10">
      <c r="A116" s="55">
        <v>5491</v>
      </c>
      <c r="B116" s="45">
        <v>-0.17</v>
      </c>
      <c r="C116" s="123">
        <v>0.71098265895953761</v>
      </c>
      <c r="D116" s="121">
        <v>211764705.88235292</v>
      </c>
      <c r="E116" s="241">
        <v>0.15</v>
      </c>
      <c r="F116" s="123">
        <v>-7.3333333333333182E-4</v>
      </c>
      <c r="G116" s="46">
        <v>1353176470.5882351</v>
      </c>
      <c r="H116" s="46">
        <v>8035120000</v>
      </c>
      <c r="I116" s="56">
        <v>0.16840774880626988</v>
      </c>
      <c r="J116" s="125">
        <v>0</v>
      </c>
    </row>
    <row r="117" spans="1:10">
      <c r="A117" s="55">
        <v>1714</v>
      </c>
      <c r="B117" s="114">
        <v>0.33</v>
      </c>
      <c r="C117" s="122">
        <v>0.36832061068702288</v>
      </c>
      <c r="D117" s="116">
        <v>954545454.5454545</v>
      </c>
      <c r="E117" s="241">
        <v>0.05</v>
      </c>
      <c r="F117" s="122">
        <v>-1.9949999999999999E-2</v>
      </c>
      <c r="G117" s="116">
        <v>6605454545.454545</v>
      </c>
      <c r="H117" s="116">
        <v>39140765000</v>
      </c>
      <c r="I117" s="114">
        <v>0.1687615085053791</v>
      </c>
      <c r="J117" s="116">
        <v>14.233317632281363</v>
      </c>
    </row>
    <row r="118" spans="1:10">
      <c r="A118" s="55">
        <v>1605</v>
      </c>
      <c r="B118" s="114">
        <v>0.19</v>
      </c>
      <c r="C118" s="122">
        <v>0.44581818181818184</v>
      </c>
      <c r="D118" s="116">
        <v>3500000000</v>
      </c>
      <c r="E118" s="241">
        <v>0.04</v>
      </c>
      <c r="F118" s="122">
        <v>4.2833333333333317E-3</v>
      </c>
      <c r="G118" s="116">
        <v>25340000000</v>
      </c>
      <c r="H118" s="116">
        <v>147844413000</v>
      </c>
      <c r="I118" s="114">
        <v>0.17139639899682918</v>
      </c>
      <c r="J118" s="116">
        <v>21.368163475573105</v>
      </c>
    </row>
    <row r="119" spans="1:10">
      <c r="A119" s="55">
        <v>1210</v>
      </c>
      <c r="B119" s="114">
        <v>0.5</v>
      </c>
      <c r="C119" s="122">
        <v>1</v>
      </c>
      <c r="D119" s="116">
        <v>686000000</v>
      </c>
      <c r="E119" s="241">
        <v>0.12</v>
      </c>
      <c r="F119" s="122">
        <v>-1.5900000000000001E-2</v>
      </c>
      <c r="G119" s="116">
        <v>13720000000</v>
      </c>
      <c r="H119" s="116">
        <v>78825965000</v>
      </c>
      <c r="I119" s="114">
        <v>0.17405432334383727</v>
      </c>
      <c r="J119" s="116">
        <v>10</v>
      </c>
    </row>
    <row r="120" spans="1:10">
      <c r="A120" s="55">
        <v>6191</v>
      </c>
      <c r="B120" s="45">
        <v>0.04</v>
      </c>
      <c r="C120" s="123">
        <v>0</v>
      </c>
      <c r="D120" s="121">
        <v>600000000</v>
      </c>
      <c r="E120" s="241">
        <v>0.09</v>
      </c>
      <c r="F120" s="123">
        <v>-4.3499999999999988E-3</v>
      </c>
      <c r="G120" s="46">
        <v>4098000000</v>
      </c>
      <c r="H120" s="46">
        <v>23267221000</v>
      </c>
      <c r="I120" s="56">
        <v>0.1761276088794618</v>
      </c>
      <c r="J120" s="125">
        <v>0</v>
      </c>
    </row>
    <row r="121" spans="1:10">
      <c r="A121" s="55">
        <v>8183</v>
      </c>
      <c r="B121" s="45">
        <v>-0.01</v>
      </c>
      <c r="C121" s="123">
        <v>1</v>
      </c>
      <c r="D121" s="121">
        <v>100000000</v>
      </c>
      <c r="E121" s="241">
        <v>0.06</v>
      </c>
      <c r="F121" s="123">
        <v>1.5825000000000009E-2</v>
      </c>
      <c r="G121" s="46">
        <v>505000000</v>
      </c>
      <c r="H121" s="46">
        <v>2644993000</v>
      </c>
      <c r="I121" s="56">
        <v>0.19092678128070661</v>
      </c>
      <c r="J121" s="125">
        <v>0</v>
      </c>
    </row>
    <row r="122" spans="1:10">
      <c r="A122" s="55">
        <v>8240</v>
      </c>
      <c r="B122" s="45">
        <v>7.0000000000000007E-2</v>
      </c>
      <c r="C122" s="123">
        <v>0</v>
      </c>
      <c r="D122" s="121">
        <v>99999999.999999985</v>
      </c>
      <c r="E122" s="241">
        <v>0.1</v>
      </c>
      <c r="F122" s="123">
        <v>-7.074999999999998E-3</v>
      </c>
      <c r="G122" s="46">
        <v>1854999999.9999998</v>
      </c>
      <c r="H122" s="46">
        <v>9619539000</v>
      </c>
      <c r="I122" s="56">
        <v>0.19283668375376406</v>
      </c>
      <c r="J122" s="125">
        <v>0</v>
      </c>
    </row>
    <row r="123" spans="1:10">
      <c r="A123" s="55">
        <v>2392</v>
      </c>
      <c r="B123" s="114">
        <v>2</v>
      </c>
      <c r="C123" s="122">
        <v>0</v>
      </c>
      <c r="D123" s="116">
        <v>512500000</v>
      </c>
      <c r="E123" s="241">
        <v>0.11</v>
      </c>
      <c r="F123" s="122">
        <v>1.0683333333333331E-2</v>
      </c>
      <c r="G123" s="116">
        <v>21345625000</v>
      </c>
      <c r="H123" s="116">
        <v>108255380000</v>
      </c>
      <c r="I123" s="114">
        <v>0.19717842198697191</v>
      </c>
      <c r="J123" s="116">
        <v>0</v>
      </c>
    </row>
    <row r="124" spans="1:10">
      <c r="A124" s="55">
        <v>3024</v>
      </c>
      <c r="B124" s="114">
        <v>-0.34</v>
      </c>
      <c r="C124" s="122">
        <v>1</v>
      </c>
      <c r="D124" s="116">
        <v>279411764.70588231</v>
      </c>
      <c r="E124" s="241">
        <v>0.12</v>
      </c>
      <c r="F124" s="122">
        <v>-9.5833333333333326E-3</v>
      </c>
      <c r="G124" s="116">
        <v>1005882352.9411763</v>
      </c>
      <c r="H124" s="116">
        <v>5079350000</v>
      </c>
      <c r="I124" s="114">
        <v>0.19803367614777015</v>
      </c>
      <c r="J124" s="116">
        <v>0</v>
      </c>
    </row>
    <row r="125" spans="1:10">
      <c r="A125" s="55">
        <v>5386</v>
      </c>
      <c r="B125" s="45">
        <v>1.02</v>
      </c>
      <c r="C125" s="123">
        <v>0.88461538461538458</v>
      </c>
      <c r="D125" s="121">
        <v>12745098.039215686</v>
      </c>
      <c r="E125" s="241">
        <v>0.09</v>
      </c>
      <c r="F125" s="123">
        <v>7.6175000000000007E-2</v>
      </c>
      <c r="G125" s="46">
        <v>316078431.372549</v>
      </c>
      <c r="H125" s="46">
        <v>1594704000</v>
      </c>
      <c r="I125" s="56">
        <v>0.19820507841740473</v>
      </c>
      <c r="J125" s="125">
        <v>6.8712702472293268</v>
      </c>
    </row>
    <row r="126" spans="1:10">
      <c r="A126" s="55">
        <v>6139</v>
      </c>
      <c r="B126" s="45">
        <v>0.79</v>
      </c>
      <c r="C126" s="123">
        <v>0.60893854748603349</v>
      </c>
      <c r="D126" s="121">
        <v>187341772.15189871</v>
      </c>
      <c r="E126" s="241">
        <v>0.1</v>
      </c>
      <c r="F126" s="123">
        <v>9.8708333333333356E-2</v>
      </c>
      <c r="G126" s="46">
        <v>3484556962.0253162</v>
      </c>
      <c r="H126" s="46">
        <v>17468557000</v>
      </c>
      <c r="I126" s="56">
        <v>0.19947594767131116</v>
      </c>
      <c r="J126" s="125">
        <v>9.6661247241899897</v>
      </c>
    </row>
    <row r="127" spans="1:10">
      <c r="A127" s="55">
        <v>2382</v>
      </c>
      <c r="B127" s="114">
        <v>1.51</v>
      </c>
      <c r="C127" s="122">
        <v>0.66384180790960456</v>
      </c>
      <c r="D127" s="116">
        <v>3861589403.9735098</v>
      </c>
      <c r="E127" s="241">
        <v>0.04</v>
      </c>
      <c r="F127" s="122">
        <v>2.9608333333333337E-2</v>
      </c>
      <c r="G127" s="116">
        <v>203119602649.00662</v>
      </c>
      <c r="H127" s="116">
        <v>1007274843000</v>
      </c>
      <c r="I127" s="114">
        <v>0.2016526115593722</v>
      </c>
      <c r="J127" s="116">
        <v>13.11850077497534</v>
      </c>
    </row>
    <row r="128" spans="1:10">
      <c r="A128" s="55">
        <v>5906</v>
      </c>
      <c r="B128" s="45">
        <v>-1.31</v>
      </c>
      <c r="C128" s="123">
        <v>1</v>
      </c>
      <c r="D128" s="121">
        <v>96183206.106870219</v>
      </c>
      <c r="E128" s="241">
        <v>0.18</v>
      </c>
      <c r="F128" s="123">
        <v>-3.0774999999999993E-2</v>
      </c>
      <c r="G128" s="46">
        <v>222183206.1068702</v>
      </c>
      <c r="H128" s="46">
        <v>1101590000</v>
      </c>
      <c r="I128" s="56">
        <v>0.20169319447967957</v>
      </c>
      <c r="J128" s="125">
        <v>0</v>
      </c>
    </row>
    <row r="129" spans="1:11">
      <c r="A129" s="55">
        <v>6196</v>
      </c>
      <c r="B129" s="45">
        <v>1.19</v>
      </c>
      <c r="C129" s="123">
        <v>0.71014492753623193</v>
      </c>
      <c r="D129" s="121">
        <v>165546218.48739496</v>
      </c>
      <c r="E129" s="241">
        <v>0.12</v>
      </c>
      <c r="F129" s="123">
        <v>2.747500000000001E-2</v>
      </c>
      <c r="G129" s="46">
        <v>3666848739.4957981</v>
      </c>
      <c r="H129" s="46">
        <v>18031624000</v>
      </c>
      <c r="I129" s="56">
        <v>0.20335654400822678</v>
      </c>
      <c r="J129" s="125">
        <v>6.5526925055736571</v>
      </c>
    </row>
    <row r="130" spans="1:11">
      <c r="A130" s="55">
        <v>3701</v>
      </c>
      <c r="B130" s="114">
        <v>-0.11</v>
      </c>
      <c r="C130" s="122">
        <v>1</v>
      </c>
      <c r="D130" s="116">
        <v>318181818.18181819</v>
      </c>
      <c r="E130" s="241">
        <v>0.11</v>
      </c>
      <c r="F130" s="122">
        <v>2.0750000000000026E-3</v>
      </c>
      <c r="G130" s="116">
        <v>2707727272.7272725</v>
      </c>
      <c r="H130" s="116">
        <v>12940751000</v>
      </c>
      <c r="I130" s="114">
        <v>0.20924035032644339</v>
      </c>
      <c r="J130" s="116">
        <v>0</v>
      </c>
    </row>
    <row r="131" spans="1:11">
      <c r="A131" s="55">
        <v>2719</v>
      </c>
      <c r="B131" s="114">
        <v>-0.24</v>
      </c>
      <c r="C131" s="122">
        <v>1</v>
      </c>
      <c r="D131" s="116">
        <v>37500000</v>
      </c>
      <c r="E131" s="241">
        <v>0.11</v>
      </c>
      <c r="F131" s="122">
        <v>2.6541666666666661E-2</v>
      </c>
      <c r="G131" s="116">
        <v>631875000</v>
      </c>
      <c r="H131" s="116">
        <v>2996455000</v>
      </c>
      <c r="I131" s="114">
        <v>0.21087418299290328</v>
      </c>
      <c r="J131" s="116">
        <v>0</v>
      </c>
    </row>
    <row r="132" spans="1:11">
      <c r="A132" s="55">
        <v>3322</v>
      </c>
      <c r="B132" s="114">
        <v>-0.02</v>
      </c>
      <c r="C132" s="122">
        <v>1</v>
      </c>
      <c r="D132" s="116">
        <v>50000000</v>
      </c>
      <c r="E132" s="241">
        <v>0.15</v>
      </c>
      <c r="F132" s="122">
        <v>1.1650000000000002E-2</v>
      </c>
      <c r="G132" s="116">
        <v>451000000</v>
      </c>
      <c r="H132" s="116">
        <v>2137414000</v>
      </c>
      <c r="I132" s="114">
        <v>0.21100264150978706</v>
      </c>
      <c r="J132" s="116">
        <v>0</v>
      </c>
    </row>
    <row r="133" spans="1:11">
      <c r="A133" s="55">
        <v>6134</v>
      </c>
      <c r="B133" s="45">
        <v>0.02</v>
      </c>
      <c r="C133" s="123">
        <v>1</v>
      </c>
      <c r="D133" s="121">
        <v>50000000</v>
      </c>
      <c r="E133" s="241">
        <v>0.15</v>
      </c>
      <c r="F133" s="123">
        <v>-1.7774999999999999E-2</v>
      </c>
      <c r="G133" s="46">
        <v>341000000</v>
      </c>
      <c r="H133" s="46">
        <v>1615186000</v>
      </c>
      <c r="I133" s="56">
        <v>0.21112119594894954</v>
      </c>
      <c r="J133" s="125">
        <v>50</v>
      </c>
    </row>
    <row r="134" spans="1:11">
      <c r="A134" s="55">
        <v>3673</v>
      </c>
      <c r="B134" s="114">
        <v>-55.15</v>
      </c>
      <c r="C134" s="122">
        <v>0.95716713314674129</v>
      </c>
      <c r="D134" s="116">
        <v>351586582.04895741</v>
      </c>
      <c r="E134" s="241">
        <v>-0.33</v>
      </c>
      <c r="F134" s="122">
        <v>1.7950000000000004E-2</v>
      </c>
      <c r="G134" s="116">
        <v>25595503173.164097</v>
      </c>
      <c r="H134" s="116">
        <v>119242592000</v>
      </c>
      <c r="I134" s="114">
        <v>0.2146506776132818</v>
      </c>
      <c r="J134" s="116">
        <v>0</v>
      </c>
    </row>
    <row r="135" spans="1:11">
      <c r="A135" s="55">
        <v>2356</v>
      </c>
      <c r="B135" s="114">
        <v>0.54</v>
      </c>
      <c r="C135" s="122">
        <v>0.44555091551557985</v>
      </c>
      <c r="D135" s="116">
        <v>3598148148.1481481</v>
      </c>
      <c r="E135" s="241">
        <v>0.05</v>
      </c>
      <c r="F135" s="122">
        <v>1.4175E-2</v>
      </c>
      <c r="G135" s="116">
        <v>85096203703.70369</v>
      </c>
      <c r="H135" s="116">
        <v>395469859000</v>
      </c>
      <c r="I135" s="114">
        <v>0.21517746995657561</v>
      </c>
      <c r="J135" s="116">
        <v>24.57423762984325</v>
      </c>
    </row>
    <row r="136" spans="1:11">
      <c r="A136" s="55">
        <v>6276</v>
      </c>
      <c r="B136" s="45">
        <v>-0.62</v>
      </c>
      <c r="C136" s="123">
        <v>1</v>
      </c>
      <c r="D136" s="121">
        <v>43548387.096774191</v>
      </c>
      <c r="E136" s="241">
        <v>0.04</v>
      </c>
      <c r="F136" s="123">
        <v>-3.2133333333333333E-2</v>
      </c>
      <c r="G136" s="46">
        <v>272177419.35483867</v>
      </c>
      <c r="H136" s="46">
        <v>1264336000</v>
      </c>
      <c r="I136" s="56">
        <v>0.21527301235971977</v>
      </c>
      <c r="J136" s="125">
        <v>0</v>
      </c>
    </row>
    <row r="137" spans="1:11">
      <c r="A137" s="55">
        <v>5371</v>
      </c>
      <c r="B137" s="45">
        <v>1.27</v>
      </c>
      <c r="C137" s="123">
        <v>0.65109343936381714</v>
      </c>
      <c r="D137" s="121">
        <v>542519685.03937006</v>
      </c>
      <c r="E137" s="241">
        <v>0.15</v>
      </c>
      <c r="F137" s="123">
        <v>-6.8749999999999992E-3</v>
      </c>
      <c r="G137" s="46">
        <v>14756535433.070866</v>
      </c>
      <c r="H137" s="46">
        <v>68160041000</v>
      </c>
      <c r="I137" s="56">
        <v>0.21649833563144227</v>
      </c>
      <c r="J137" s="125">
        <v>8.2235980044479167</v>
      </c>
      <c r="K137" s="26"/>
    </row>
    <row r="138" spans="1:11">
      <c r="A138" s="55">
        <v>2609</v>
      </c>
      <c r="B138" s="114">
        <v>-1.22</v>
      </c>
      <c r="C138" s="122">
        <v>0.7617813383600377</v>
      </c>
      <c r="D138" s="116">
        <v>3468852459.0163937</v>
      </c>
      <c r="E138" s="241">
        <v>-7.0000000000000007E-2</v>
      </c>
      <c r="F138" s="122">
        <v>-1.2308333333333333E-2</v>
      </c>
      <c r="G138" s="116">
        <v>27750819672.131149</v>
      </c>
      <c r="H138" s="116">
        <v>127553101000</v>
      </c>
      <c r="I138" s="114">
        <v>0.21756287737866248</v>
      </c>
      <c r="J138" s="116">
        <v>0</v>
      </c>
    </row>
    <row r="139" spans="1:11">
      <c r="A139" s="55">
        <v>1512</v>
      </c>
      <c r="B139" s="114">
        <v>-0.04</v>
      </c>
      <c r="C139" s="122">
        <v>1</v>
      </c>
      <c r="D139" s="116">
        <v>175000000</v>
      </c>
      <c r="E139" s="241">
        <v>0.1</v>
      </c>
      <c r="F139" s="122">
        <v>3.3599999999999998E-2</v>
      </c>
      <c r="G139" s="116">
        <v>894250000</v>
      </c>
      <c r="H139" s="116">
        <v>4100029000</v>
      </c>
      <c r="I139" s="114">
        <v>0.21810821338092976</v>
      </c>
      <c r="J139" s="116">
        <v>0</v>
      </c>
    </row>
    <row r="140" spans="1:11">
      <c r="A140" s="55">
        <v>2030</v>
      </c>
      <c r="B140" s="114">
        <v>-0.35</v>
      </c>
      <c r="C140" s="122">
        <v>0.58677685950413228</v>
      </c>
      <c r="D140" s="116">
        <v>282857142.85714287</v>
      </c>
      <c r="E140" s="241">
        <v>0.04</v>
      </c>
      <c r="F140" s="122">
        <v>2.7499999999999955E-3</v>
      </c>
      <c r="G140" s="116">
        <v>2579657142.8571429</v>
      </c>
      <c r="H140" s="116">
        <v>11715847000</v>
      </c>
      <c r="I140" s="114">
        <v>0.22018528774378351</v>
      </c>
      <c r="J140" s="116">
        <v>0</v>
      </c>
    </row>
    <row r="141" spans="1:11">
      <c r="A141" s="55">
        <v>2027</v>
      </c>
      <c r="B141" s="114">
        <v>-0.33</v>
      </c>
      <c r="C141" s="122">
        <v>1</v>
      </c>
      <c r="D141" s="116">
        <v>787878787.87878788</v>
      </c>
      <c r="E141" s="241">
        <v>7.0000000000000007E-2</v>
      </c>
      <c r="F141" s="122">
        <v>-8.1000000000000013E-3</v>
      </c>
      <c r="G141" s="116">
        <v>11187878787.878788</v>
      </c>
      <c r="H141" s="116">
        <v>50609920000</v>
      </c>
      <c r="I141" s="114">
        <v>0.22106098543287142</v>
      </c>
      <c r="J141" s="116">
        <v>0</v>
      </c>
    </row>
    <row r="142" spans="1:11">
      <c r="A142" s="55">
        <v>1449</v>
      </c>
      <c r="B142" s="114">
        <v>-0.55000000000000004</v>
      </c>
      <c r="C142" s="122">
        <v>1</v>
      </c>
      <c r="D142" s="116">
        <v>118181818.18181817</v>
      </c>
      <c r="E142" s="241">
        <v>0.05</v>
      </c>
      <c r="F142" s="122">
        <v>4.2349999999999978E-2</v>
      </c>
      <c r="G142" s="116">
        <v>685454545.45454538</v>
      </c>
      <c r="H142" s="116">
        <v>3089422000</v>
      </c>
      <c r="I142" s="114">
        <v>0.22187145215336246</v>
      </c>
      <c r="J142" s="116">
        <v>0</v>
      </c>
    </row>
    <row r="143" spans="1:11">
      <c r="A143" s="55">
        <v>8374</v>
      </c>
      <c r="B143" s="45">
        <v>-0.95</v>
      </c>
      <c r="C143" s="123">
        <v>0.30882352941176472</v>
      </c>
      <c r="D143" s="121">
        <v>88421052.631578952</v>
      </c>
      <c r="E143" s="241">
        <v>0.14000000000000001</v>
      </c>
      <c r="F143" s="123">
        <v>3.581666666666667E-2</v>
      </c>
      <c r="G143" s="46">
        <v>837347368.42105269</v>
      </c>
      <c r="H143" s="46">
        <v>3768896000</v>
      </c>
      <c r="I143" s="56">
        <v>0.22217311605866882</v>
      </c>
      <c r="J143" s="125">
        <v>0</v>
      </c>
    </row>
    <row r="144" spans="1:11">
      <c r="A144" s="55">
        <v>2409</v>
      </c>
      <c r="B144" s="114">
        <v>0.36</v>
      </c>
      <c r="C144" s="122">
        <v>0.98554913294797686</v>
      </c>
      <c r="D144" s="116">
        <v>9619444444.4444447</v>
      </c>
      <c r="E144" s="241">
        <v>0.1</v>
      </c>
      <c r="F144" s="122">
        <v>-1.7366666666666666E-2</v>
      </c>
      <c r="G144" s="116">
        <v>80803333333.333344</v>
      </c>
      <c r="H144" s="116">
        <v>360346494000</v>
      </c>
      <c r="I144" s="114">
        <v>0.22423787848296187</v>
      </c>
      <c r="J144" s="116">
        <v>5.9188660801564037</v>
      </c>
    </row>
    <row r="145" spans="1:10">
      <c r="A145" s="55">
        <v>1313</v>
      </c>
      <c r="B145" s="114">
        <v>-0.21</v>
      </c>
      <c r="C145" s="122">
        <v>0.11842105263157894</v>
      </c>
      <c r="D145" s="116">
        <v>1171428571.4285715</v>
      </c>
      <c r="E145" s="241">
        <v>0.02</v>
      </c>
      <c r="F145" s="122">
        <v>1.4283333333333335E-2</v>
      </c>
      <c r="G145" s="116">
        <v>9922000000.0000019</v>
      </c>
      <c r="H145" s="116">
        <v>43735529000</v>
      </c>
      <c r="I145" s="114">
        <v>0.22686361013262243</v>
      </c>
      <c r="J145" s="116">
        <v>0</v>
      </c>
    </row>
    <row r="146" spans="1:10">
      <c r="A146" s="55">
        <v>8043</v>
      </c>
      <c r="B146" s="45">
        <v>1.05</v>
      </c>
      <c r="C146" s="123">
        <v>0.2808988764044944</v>
      </c>
      <c r="D146" s="121">
        <v>80000000</v>
      </c>
      <c r="E146" s="241">
        <v>0.06</v>
      </c>
      <c r="F146" s="123">
        <v>4.8666666666666719E-3</v>
      </c>
      <c r="G146" s="46">
        <v>1176000000</v>
      </c>
      <c r="H146" s="46">
        <v>5108475000</v>
      </c>
      <c r="I146" s="56">
        <v>0.23020568760735835</v>
      </c>
      <c r="J146" s="125">
        <v>12.459999999999997</v>
      </c>
    </row>
    <row r="147" spans="1:10">
      <c r="A147" s="55">
        <v>6113</v>
      </c>
      <c r="B147" s="45">
        <v>-0.36</v>
      </c>
      <c r="C147" s="123">
        <v>0.75510204081632648</v>
      </c>
      <c r="D147" s="121">
        <v>50000000</v>
      </c>
      <c r="E147" s="241">
        <v>7.0000000000000007E-2</v>
      </c>
      <c r="F147" s="123">
        <v>4.4050000000000006E-2</v>
      </c>
      <c r="G147" s="46">
        <v>392500000</v>
      </c>
      <c r="H147" s="46">
        <v>1703701000</v>
      </c>
      <c r="I147" s="56">
        <v>0.23038080038692235</v>
      </c>
      <c r="J147" s="125">
        <v>0</v>
      </c>
    </row>
    <row r="148" spans="1:10">
      <c r="A148" s="55">
        <v>1616</v>
      </c>
      <c r="B148" s="114">
        <v>-0.5</v>
      </c>
      <c r="C148" s="122">
        <v>0.25170068027210885</v>
      </c>
      <c r="D148" s="116">
        <v>190000000</v>
      </c>
      <c r="E148" s="241">
        <v>0.05</v>
      </c>
      <c r="F148" s="122">
        <v>1.1066666666666664E-2</v>
      </c>
      <c r="G148" s="116">
        <v>807500000</v>
      </c>
      <c r="H148" s="116">
        <v>3474945000</v>
      </c>
      <c r="I148" s="114">
        <v>0.23237777864110079</v>
      </c>
      <c r="J148" s="116">
        <v>0</v>
      </c>
    </row>
    <row r="149" spans="1:10">
      <c r="A149" s="55">
        <v>3483</v>
      </c>
      <c r="B149" s="114">
        <v>0.14000000000000001</v>
      </c>
      <c r="C149" s="122">
        <v>1</v>
      </c>
      <c r="D149" s="116">
        <v>49999999.999999993</v>
      </c>
      <c r="E149" s="241">
        <v>0.13</v>
      </c>
      <c r="F149" s="122">
        <v>1.909166666666667E-2</v>
      </c>
      <c r="G149" s="116">
        <v>639999999.99999988</v>
      </c>
      <c r="H149" s="116">
        <v>2752439000</v>
      </c>
      <c r="I149" s="114">
        <v>0.23252104769624318</v>
      </c>
      <c r="J149" s="116">
        <v>22.857142857142858</v>
      </c>
    </row>
    <row r="150" spans="1:10">
      <c r="A150" s="55">
        <v>6227</v>
      </c>
      <c r="B150" s="45">
        <v>0.54</v>
      </c>
      <c r="C150" s="123">
        <v>1</v>
      </c>
      <c r="D150" s="121">
        <v>75925925.925925925</v>
      </c>
      <c r="E150" s="241">
        <v>0.09</v>
      </c>
      <c r="F150" s="123">
        <v>8.5374999999999993E-2</v>
      </c>
      <c r="G150" s="46">
        <v>1305925925.925926</v>
      </c>
      <c r="H150" s="46">
        <v>5607811000</v>
      </c>
      <c r="I150" s="56">
        <v>0.23287623743487895</v>
      </c>
      <c r="J150" s="125">
        <v>7.9629629629629619</v>
      </c>
    </row>
    <row r="151" spans="1:10">
      <c r="A151" s="55">
        <v>8171</v>
      </c>
      <c r="B151" s="45">
        <v>0.24</v>
      </c>
      <c r="C151" s="123">
        <v>1</v>
      </c>
      <c r="D151" s="121">
        <v>50000000</v>
      </c>
      <c r="E151" s="241">
        <v>0.03</v>
      </c>
      <c r="F151" s="123">
        <v>-8.8833333333333264E-3</v>
      </c>
      <c r="G151" s="46">
        <v>517500000</v>
      </c>
      <c r="H151" s="46">
        <v>2219840000</v>
      </c>
      <c r="I151" s="56">
        <v>0.23312490990341647</v>
      </c>
      <c r="J151" s="125">
        <v>10.78125</v>
      </c>
    </row>
    <row r="152" spans="1:10">
      <c r="A152" s="55">
        <v>2013</v>
      </c>
      <c r="B152" s="114">
        <v>0.24</v>
      </c>
      <c r="C152" s="122">
        <v>0.70408163265306123</v>
      </c>
      <c r="D152" s="116">
        <v>191666666.66666669</v>
      </c>
      <c r="E152" s="241">
        <v>0.03</v>
      </c>
      <c r="F152" s="122">
        <v>8.8166666666666654E-3</v>
      </c>
      <c r="G152" s="116">
        <v>3651250000.0000005</v>
      </c>
      <c r="H152" s="116">
        <v>15660137000</v>
      </c>
      <c r="I152" s="114">
        <v>0.23315568695216399</v>
      </c>
      <c r="J152" s="116">
        <v>28.183876811594203</v>
      </c>
    </row>
    <row r="153" spans="1:10">
      <c r="A153" s="55">
        <v>5381</v>
      </c>
      <c r="B153" s="45">
        <v>-1.28</v>
      </c>
      <c r="C153" s="123">
        <v>0.87535410764872523</v>
      </c>
      <c r="D153" s="121">
        <v>187500000</v>
      </c>
      <c r="E153" s="241">
        <v>-1.54</v>
      </c>
      <c r="F153" s="123">
        <v>-2.6258333333333338E-2</v>
      </c>
      <c r="G153" s="46">
        <v>240000000</v>
      </c>
      <c r="H153" s="46">
        <v>999640000</v>
      </c>
      <c r="I153" s="56">
        <v>0.24008643111520148</v>
      </c>
      <c r="J153" s="125">
        <v>0</v>
      </c>
    </row>
    <row r="154" spans="1:10">
      <c r="A154" s="55">
        <v>6251</v>
      </c>
      <c r="B154" s="45">
        <v>0.17</v>
      </c>
      <c r="C154" s="123">
        <v>1</v>
      </c>
      <c r="D154" s="121">
        <v>294117647.05882353</v>
      </c>
      <c r="E154" s="241">
        <v>0.14000000000000001</v>
      </c>
      <c r="F154" s="123">
        <v>1.8066666666666665E-2</v>
      </c>
      <c r="G154" s="46">
        <v>2679411764.7058821</v>
      </c>
      <c r="H154" s="46">
        <v>11130576000</v>
      </c>
      <c r="I154" s="56">
        <v>0.24072534653245997</v>
      </c>
      <c r="J154" s="125">
        <v>13.397058823529409</v>
      </c>
    </row>
    <row r="155" spans="1:10">
      <c r="A155" s="55">
        <v>2331</v>
      </c>
      <c r="B155" s="114">
        <v>0.85</v>
      </c>
      <c r="C155" s="122">
        <v>0.73248407643312097</v>
      </c>
      <c r="D155" s="116">
        <v>555294117.64705884</v>
      </c>
      <c r="E155" s="241">
        <v>0.12</v>
      </c>
      <c r="F155" s="122">
        <v>-1.0566666666666667E-2</v>
      </c>
      <c r="G155" s="116">
        <v>11605647058.823528</v>
      </c>
      <c r="H155" s="116">
        <v>48064172000</v>
      </c>
      <c r="I155" s="114">
        <v>0.24146149982201978</v>
      </c>
      <c r="J155" s="116">
        <v>8.392071611253197</v>
      </c>
    </row>
    <row r="156" spans="1:10">
      <c r="A156" s="55">
        <v>2368</v>
      </c>
      <c r="B156" s="114">
        <v>-0.04</v>
      </c>
      <c r="C156" s="122">
        <v>0</v>
      </c>
      <c r="D156" s="116">
        <v>550000000</v>
      </c>
      <c r="E156" s="241">
        <v>0.13</v>
      </c>
      <c r="F156" s="122">
        <v>-2.4783333333333334E-2</v>
      </c>
      <c r="G156" s="116">
        <v>4691500000</v>
      </c>
      <c r="H156" s="116">
        <v>19377742000</v>
      </c>
      <c r="I156" s="114">
        <v>0.24210767178136647</v>
      </c>
      <c r="J156" s="116">
        <v>0</v>
      </c>
    </row>
    <row r="157" spans="1:10">
      <c r="A157" s="55">
        <v>1712</v>
      </c>
      <c r="B157" s="114">
        <v>0.05</v>
      </c>
      <c r="C157" s="122">
        <v>1</v>
      </c>
      <c r="D157" s="116">
        <v>340000000</v>
      </c>
      <c r="E157" s="241">
        <v>0.28000000000000003</v>
      </c>
      <c r="F157" s="122">
        <v>2.0199999999999999E-2</v>
      </c>
      <c r="G157" s="116">
        <v>4301000000</v>
      </c>
      <c r="H157" s="116">
        <v>17731881000</v>
      </c>
      <c r="I157" s="114">
        <v>0.24255745907611267</v>
      </c>
      <c r="J157" s="116">
        <v>50</v>
      </c>
    </row>
    <row r="158" spans="1:10">
      <c r="A158" s="55">
        <v>1626</v>
      </c>
      <c r="B158" s="114">
        <v>-1.1399999999999999</v>
      </c>
      <c r="C158" s="122">
        <v>0</v>
      </c>
      <c r="D158" s="116">
        <v>122807017.54385966</v>
      </c>
      <c r="E158" s="241">
        <v>0.13</v>
      </c>
      <c r="F158" s="122">
        <v>0.16135000000000002</v>
      </c>
      <c r="G158" s="116">
        <v>2615789473.6842108</v>
      </c>
      <c r="H158" s="116">
        <v>10745128000</v>
      </c>
      <c r="I158" s="114">
        <v>0.24343958244929337</v>
      </c>
      <c r="J158" s="116">
        <v>0</v>
      </c>
    </row>
    <row r="159" spans="1:10">
      <c r="A159" s="55">
        <v>5488</v>
      </c>
      <c r="B159" s="45">
        <v>-0.42</v>
      </c>
      <c r="C159" s="123">
        <v>1</v>
      </c>
      <c r="D159" s="121">
        <v>90476190.476190478</v>
      </c>
      <c r="E159" s="241">
        <v>0.04</v>
      </c>
      <c r="F159" s="123">
        <v>5.4908333333333337E-2</v>
      </c>
      <c r="G159" s="46">
        <v>476809523.80952376</v>
      </c>
      <c r="H159" s="46">
        <v>1958035000</v>
      </c>
      <c r="I159" s="56">
        <v>0.24351430071961111</v>
      </c>
      <c r="J159" s="125">
        <v>0</v>
      </c>
    </row>
    <row r="160" spans="1:10">
      <c r="A160" s="55">
        <v>6154</v>
      </c>
      <c r="B160" s="45">
        <v>0.33</v>
      </c>
      <c r="C160" s="123">
        <v>0.93333333333333335</v>
      </c>
      <c r="D160" s="121">
        <v>78787878.787878782</v>
      </c>
      <c r="E160" s="241">
        <v>0.14000000000000001</v>
      </c>
      <c r="F160" s="123">
        <v>-3.5333333333333341E-3</v>
      </c>
      <c r="G160" s="46">
        <v>1272424242.4242423</v>
      </c>
      <c r="H160" s="46">
        <v>5176367000</v>
      </c>
      <c r="I160" s="56">
        <v>0.24581414772643481</v>
      </c>
      <c r="J160" s="125">
        <v>13.108766233766232</v>
      </c>
    </row>
    <row r="161" spans="1:10">
      <c r="A161" s="55">
        <v>5452</v>
      </c>
      <c r="B161" s="45">
        <v>0.28999999999999998</v>
      </c>
      <c r="C161" s="123">
        <v>0.80555555555555558</v>
      </c>
      <c r="D161" s="121">
        <v>148275862.06896552</v>
      </c>
      <c r="E161" s="241">
        <v>0.08</v>
      </c>
      <c r="F161" s="123">
        <v>7.374999999999997E-3</v>
      </c>
      <c r="G161" s="46">
        <v>1410103448.2758622</v>
      </c>
      <c r="H161" s="46">
        <v>5673974000</v>
      </c>
      <c r="I161" s="56">
        <v>0.24852130945186957</v>
      </c>
      <c r="J161" s="125">
        <v>10.17717003567182</v>
      </c>
    </row>
    <row r="162" spans="1:10">
      <c r="A162" s="55">
        <v>3010</v>
      </c>
      <c r="B162" s="114">
        <v>1.24</v>
      </c>
      <c r="C162" s="122">
        <v>0.6470588235294118</v>
      </c>
      <c r="D162" s="116">
        <v>230645161.29032257</v>
      </c>
      <c r="E162" s="241">
        <v>0.09</v>
      </c>
      <c r="F162" s="122">
        <v>1.1325000000000002E-2</v>
      </c>
      <c r="G162" s="116">
        <v>9998467741.9354839</v>
      </c>
      <c r="H162" s="116">
        <v>40043665000</v>
      </c>
      <c r="I162" s="114">
        <v>0.24968912665550178</v>
      </c>
      <c r="J162" s="116">
        <v>13.507148093841643</v>
      </c>
    </row>
    <row r="163" spans="1:10">
      <c r="A163" s="55">
        <v>2332</v>
      </c>
      <c r="B163" s="114">
        <v>-0.81</v>
      </c>
      <c r="C163" s="122">
        <v>0.70606060606060606</v>
      </c>
      <c r="D163" s="116">
        <v>651851851.85185182</v>
      </c>
      <c r="E163" s="241">
        <v>0.25</v>
      </c>
      <c r="F163" s="122">
        <v>-1.4316666666666667E-2</v>
      </c>
      <c r="G163" s="116">
        <v>6681481481.4814816</v>
      </c>
      <c r="H163" s="116">
        <v>26681504000</v>
      </c>
      <c r="I163" s="114">
        <v>0.25041622396853946</v>
      </c>
      <c r="J163" s="116">
        <v>0</v>
      </c>
    </row>
    <row r="164" spans="1:10">
      <c r="A164" s="55">
        <v>9934</v>
      </c>
      <c r="B164" s="45">
        <v>0.36</v>
      </c>
      <c r="C164" s="123">
        <v>0.3987915407854985</v>
      </c>
      <c r="D164" s="121">
        <v>358333333.33333337</v>
      </c>
      <c r="E164" s="241">
        <v>0.27</v>
      </c>
      <c r="F164" s="123">
        <v>4.15E-3</v>
      </c>
      <c r="G164" s="46">
        <v>4998750000</v>
      </c>
      <c r="H164" s="46">
        <v>19954725000</v>
      </c>
      <c r="I164" s="56">
        <v>0.25050457974239182</v>
      </c>
      <c r="J164" s="125">
        <v>24.292140151515149</v>
      </c>
    </row>
    <row r="165" spans="1:10">
      <c r="A165" s="55">
        <v>3058</v>
      </c>
      <c r="B165" s="114">
        <v>7.0000000000000007E-2</v>
      </c>
      <c r="C165" s="122">
        <v>0.84210526315789469</v>
      </c>
      <c r="D165" s="116">
        <v>157142857.14285713</v>
      </c>
      <c r="E165" s="241">
        <v>0.17</v>
      </c>
      <c r="F165" s="122">
        <v>1.41E-2</v>
      </c>
      <c r="G165" s="116">
        <v>1316857142.8571429</v>
      </c>
      <c r="H165" s="116">
        <v>5234184000</v>
      </c>
      <c r="I165" s="114">
        <v>0.25158785836668007</v>
      </c>
      <c r="J165" s="116">
        <v>35.540178571428569</v>
      </c>
    </row>
    <row r="166" spans="1:10">
      <c r="A166" s="55">
        <v>6156</v>
      </c>
      <c r="B166" s="45">
        <v>0.51</v>
      </c>
      <c r="C166" s="123">
        <v>0</v>
      </c>
      <c r="D166" s="121">
        <v>78431372.549019605</v>
      </c>
      <c r="E166" s="241">
        <v>0.17</v>
      </c>
      <c r="F166" s="123">
        <v>6.0833333333333338E-3</v>
      </c>
      <c r="G166" s="46">
        <v>1027450980.3921568</v>
      </c>
      <c r="H166" s="46">
        <v>4061686000</v>
      </c>
      <c r="I166" s="56">
        <v>0.25296169629857079</v>
      </c>
      <c r="J166" s="125">
        <v>0</v>
      </c>
    </row>
    <row r="167" spans="1:10">
      <c r="A167" s="113">
        <v>2023</v>
      </c>
      <c r="B167" s="119">
        <v>-0.26</v>
      </c>
      <c r="C167" s="122">
        <v>0</v>
      </c>
      <c r="D167" s="120">
        <v>1711538461.5384614</v>
      </c>
      <c r="E167" s="241">
        <v>0.06</v>
      </c>
      <c r="F167" s="122">
        <v>-2.4366666666666665E-2</v>
      </c>
      <c r="G167" s="120">
        <v>12596923076.923077</v>
      </c>
      <c r="H167" s="120">
        <v>49784915000</v>
      </c>
      <c r="I167" s="119">
        <v>0.25302690738596373</v>
      </c>
      <c r="J167" s="120">
        <v>0</v>
      </c>
    </row>
    <row r="168" spans="1:10">
      <c r="A168" s="55">
        <v>2022</v>
      </c>
      <c r="B168" s="114">
        <v>-0.36</v>
      </c>
      <c r="C168" s="122">
        <v>0.42662116040955633</v>
      </c>
      <c r="D168" s="116">
        <v>541666666.66666675</v>
      </c>
      <c r="E168" s="241">
        <v>0.01</v>
      </c>
      <c r="F168" s="122">
        <v>-1.8824999999999998E-2</v>
      </c>
      <c r="G168" s="116">
        <v>2009583333.3333335</v>
      </c>
      <c r="H168" s="116">
        <v>7922504000</v>
      </c>
      <c r="I168" s="114">
        <v>0.25365507336232757</v>
      </c>
      <c r="J168" s="116">
        <v>0</v>
      </c>
    </row>
    <row r="169" spans="1:10">
      <c r="A169" s="55">
        <v>4915</v>
      </c>
      <c r="B169" s="45">
        <v>1.1499999999999999</v>
      </c>
      <c r="C169" s="123">
        <v>0.76444444444444448</v>
      </c>
      <c r="D169" s="121">
        <v>435652173.9130435</v>
      </c>
      <c r="E169" s="241">
        <v>0.11</v>
      </c>
      <c r="F169" s="123">
        <v>3.3308333333333336E-2</v>
      </c>
      <c r="G169" s="46">
        <v>16641913043.478262</v>
      </c>
      <c r="H169" s="46">
        <v>65593706000</v>
      </c>
      <c r="I169" s="56">
        <v>0.25371204126624985</v>
      </c>
      <c r="J169" s="125">
        <v>10.863245702730032</v>
      </c>
    </row>
    <row r="170" spans="1:10">
      <c r="A170" s="55">
        <v>3481</v>
      </c>
      <c r="B170" s="114">
        <v>0.35</v>
      </c>
      <c r="C170" s="122">
        <v>1</v>
      </c>
      <c r="D170" s="116">
        <v>9948571428.5714283</v>
      </c>
      <c r="E170" s="241">
        <v>0.12</v>
      </c>
      <c r="F170" s="122">
        <v>-2.0650000000000002E-2</v>
      </c>
      <c r="G170" s="116">
        <v>92820171428.571426</v>
      </c>
      <c r="H170" s="116">
        <v>364132985000</v>
      </c>
      <c r="I170" s="114">
        <v>0.25490734224083389</v>
      </c>
      <c r="J170" s="116">
        <v>6.6642857142857146</v>
      </c>
    </row>
    <row r="171" spans="1:10">
      <c r="A171" s="55">
        <v>2453</v>
      </c>
      <c r="B171" s="114">
        <v>0.2</v>
      </c>
      <c r="C171" s="122">
        <v>0.63157894736842102</v>
      </c>
      <c r="D171" s="116">
        <v>100000000</v>
      </c>
      <c r="E171" s="241">
        <v>0.26</v>
      </c>
      <c r="F171" s="122">
        <v>3.1166666666666676E-2</v>
      </c>
      <c r="G171" s="116">
        <v>1000000000</v>
      </c>
      <c r="H171" s="116">
        <v>3903721000</v>
      </c>
      <c r="I171" s="114">
        <v>0.25616584791792241</v>
      </c>
      <c r="J171" s="116">
        <v>19.791666666666664</v>
      </c>
    </row>
    <row r="172" spans="1:10">
      <c r="A172" s="55">
        <v>6108</v>
      </c>
      <c r="B172" s="45">
        <v>-0.82</v>
      </c>
      <c r="C172" s="123">
        <v>0</v>
      </c>
      <c r="D172" s="121">
        <v>160975609.75609758</v>
      </c>
      <c r="E172" s="241">
        <v>0.13</v>
      </c>
      <c r="F172" s="123">
        <v>-2.7083333333333321E-3</v>
      </c>
      <c r="G172" s="46">
        <v>2028292682.9268296</v>
      </c>
      <c r="H172" s="46">
        <v>7818366000</v>
      </c>
      <c r="I172" s="56">
        <v>0.25942667341575332</v>
      </c>
      <c r="J172" s="125">
        <v>0</v>
      </c>
    </row>
    <row r="173" spans="1:10">
      <c r="A173" s="55">
        <v>1907</v>
      </c>
      <c r="B173" s="114">
        <v>0.27</v>
      </c>
      <c r="C173" s="122">
        <v>0.41609822646657574</v>
      </c>
      <c r="D173" s="116">
        <v>1674074074.074074</v>
      </c>
      <c r="E173" s="241">
        <v>0.17</v>
      </c>
      <c r="F173" s="122">
        <v>6.2500000000000029E-3</v>
      </c>
      <c r="G173" s="116">
        <v>16724000000</v>
      </c>
      <c r="H173" s="116">
        <v>63582961000</v>
      </c>
      <c r="I173" s="114">
        <v>0.26302644194251978</v>
      </c>
      <c r="J173" s="116">
        <v>22.230327868852456</v>
      </c>
    </row>
    <row r="174" spans="1:10">
      <c r="A174" s="55">
        <v>2032</v>
      </c>
      <c r="B174" s="114">
        <v>-0.01</v>
      </c>
      <c r="C174" s="122">
        <v>0</v>
      </c>
      <c r="D174" s="116">
        <v>100000000</v>
      </c>
      <c r="E174" s="241">
        <v>0.02</v>
      </c>
      <c r="F174" s="122">
        <v>3.683333333333328E-3</v>
      </c>
      <c r="G174" s="116">
        <v>809000000</v>
      </c>
      <c r="H174" s="116">
        <v>3056086000</v>
      </c>
      <c r="I174" s="114">
        <v>0.2647176813741498</v>
      </c>
      <c r="J174" s="116">
        <v>0</v>
      </c>
    </row>
    <row r="175" spans="1:10">
      <c r="A175" s="55">
        <v>6170</v>
      </c>
      <c r="B175" s="45">
        <v>0.1</v>
      </c>
      <c r="C175" s="123">
        <v>0.30769230769230771</v>
      </c>
      <c r="D175" s="121">
        <v>100000000</v>
      </c>
      <c r="E175" s="241">
        <v>0.1</v>
      </c>
      <c r="F175" s="123">
        <v>-1.0208333333333335E-2</v>
      </c>
      <c r="G175" s="46">
        <v>956000000</v>
      </c>
      <c r="H175" s="46">
        <v>3595905000</v>
      </c>
      <c r="I175" s="56">
        <v>0.26585796899528769</v>
      </c>
      <c r="J175" s="125">
        <v>50</v>
      </c>
    </row>
    <row r="176" spans="1:10">
      <c r="A176" s="55">
        <v>1304</v>
      </c>
      <c r="B176" s="114">
        <v>0.13</v>
      </c>
      <c r="C176" s="122">
        <v>0.62114537444933926</v>
      </c>
      <c r="D176" s="116">
        <v>1061538461.5384614</v>
      </c>
      <c r="E176" s="241">
        <v>7.0000000000000007E-2</v>
      </c>
      <c r="F176" s="122">
        <v>2.2833333333333321E-3</v>
      </c>
      <c r="G176" s="116">
        <v>13959230769.230768</v>
      </c>
      <c r="H176" s="116">
        <v>52390966000</v>
      </c>
      <c r="I176" s="114">
        <v>0.26644346983849787</v>
      </c>
      <c r="J176" s="116">
        <v>40.712629569012549</v>
      </c>
    </row>
    <row r="177" spans="1:10">
      <c r="A177" s="55">
        <v>1336</v>
      </c>
      <c r="B177" s="114">
        <v>-0.54</v>
      </c>
      <c r="C177" s="122">
        <v>1</v>
      </c>
      <c r="D177" s="116">
        <v>62962962.962962955</v>
      </c>
      <c r="E177" s="241">
        <v>0.01</v>
      </c>
      <c r="F177" s="122">
        <v>3.272499999999999E-2</v>
      </c>
      <c r="G177" s="116">
        <v>487333333.33333331</v>
      </c>
      <c r="H177" s="116">
        <v>1826528000</v>
      </c>
      <c r="I177" s="114">
        <v>0.26680857524950796</v>
      </c>
      <c r="J177" s="116">
        <v>0</v>
      </c>
    </row>
    <row r="178" spans="1:10">
      <c r="A178" s="55">
        <v>2317</v>
      </c>
      <c r="B178" s="114">
        <v>2.42</v>
      </c>
      <c r="C178" s="122">
        <v>0.73099074715175927</v>
      </c>
      <c r="D178" s="116">
        <v>15643801652.892563</v>
      </c>
      <c r="E178" s="241">
        <v>7.0000000000000007E-2</v>
      </c>
      <c r="F178" s="122">
        <v>3.3916666666666678E-3</v>
      </c>
      <c r="G178" s="116">
        <v>1198315206611.5703</v>
      </c>
      <c r="H178" s="116">
        <v>4483095577000</v>
      </c>
      <c r="I178" s="114">
        <v>0.26729637725311656</v>
      </c>
      <c r="J178" s="116">
        <v>10.825339679508996</v>
      </c>
    </row>
    <row r="179" spans="1:10">
      <c r="A179" s="55">
        <v>3207</v>
      </c>
      <c r="B179" s="114">
        <v>-0.16</v>
      </c>
      <c r="C179" s="122">
        <v>1</v>
      </c>
      <c r="D179" s="116">
        <v>37500000</v>
      </c>
      <c r="E179" s="241">
        <v>0.1</v>
      </c>
      <c r="F179" s="122">
        <v>2.148333333333333E-2</v>
      </c>
      <c r="G179" s="116">
        <v>270375000</v>
      </c>
      <c r="H179" s="116">
        <v>997008000</v>
      </c>
      <c r="I179" s="114">
        <v>0.27118638967791631</v>
      </c>
      <c r="J179" s="116">
        <v>0</v>
      </c>
    </row>
    <row r="180" spans="1:10">
      <c r="A180" s="55">
        <v>1725</v>
      </c>
      <c r="B180" s="114">
        <v>0.56999999999999995</v>
      </c>
      <c r="C180" s="122">
        <v>0.38059701492537312</v>
      </c>
      <c r="D180" s="116">
        <v>182456140.3508772</v>
      </c>
      <c r="E180" s="241">
        <v>0.04</v>
      </c>
      <c r="F180" s="122">
        <v>-5.8166666666666644E-3</v>
      </c>
      <c r="G180" s="116">
        <v>2463157894.7368422</v>
      </c>
      <c r="H180" s="116">
        <v>9077893000</v>
      </c>
      <c r="I180" s="114">
        <v>0.27133585896384127</v>
      </c>
      <c r="J180" s="116">
        <v>15.557275541795667</v>
      </c>
    </row>
    <row r="181" spans="1:10">
      <c r="A181" s="55">
        <v>8071</v>
      </c>
      <c r="B181" s="45">
        <v>-0.28000000000000003</v>
      </c>
      <c r="C181" s="123">
        <v>1</v>
      </c>
      <c r="D181" s="121">
        <v>53571428.571428567</v>
      </c>
      <c r="E181" s="241">
        <v>0.13</v>
      </c>
      <c r="F181" s="123">
        <v>1.3349999999999996E-2</v>
      </c>
      <c r="G181" s="46">
        <v>616071428.57142854</v>
      </c>
      <c r="H181" s="46">
        <v>2269925000</v>
      </c>
      <c r="I181" s="56">
        <v>0.27140607225852331</v>
      </c>
      <c r="J181" s="125">
        <v>0</v>
      </c>
    </row>
    <row r="182" spans="1:10">
      <c r="A182" s="55">
        <v>2014</v>
      </c>
      <c r="B182" s="114">
        <v>0.35</v>
      </c>
      <c r="C182" s="122">
        <v>0</v>
      </c>
      <c r="D182" s="116">
        <v>1454285714.2857144</v>
      </c>
      <c r="E182" s="241">
        <v>0.03</v>
      </c>
      <c r="F182" s="122">
        <v>-4.5583333333333344E-3</v>
      </c>
      <c r="G182" s="116">
        <v>8173085714.2857151</v>
      </c>
      <c r="H182" s="116">
        <v>29992332000</v>
      </c>
      <c r="I182" s="114">
        <v>0.27250584296965352</v>
      </c>
      <c r="J182" s="116">
        <v>0</v>
      </c>
    </row>
    <row r="183" spans="1:10">
      <c r="A183" s="55">
        <v>1904</v>
      </c>
      <c r="B183" s="114">
        <v>0.22</v>
      </c>
      <c r="C183" s="122">
        <v>1</v>
      </c>
      <c r="D183" s="116">
        <v>1095454545.4545455</v>
      </c>
      <c r="E183" s="241">
        <v>0.16</v>
      </c>
      <c r="F183" s="122">
        <v>-1.7758333333333331E-2</v>
      </c>
      <c r="G183" s="116">
        <v>11830909090.909092</v>
      </c>
      <c r="H183" s="116">
        <v>43369152000</v>
      </c>
      <c r="I183" s="114">
        <v>0.27279549046541401</v>
      </c>
      <c r="J183" s="116">
        <v>12.272727272727273</v>
      </c>
    </row>
    <row r="184" spans="1:10">
      <c r="A184" s="55">
        <v>3313</v>
      </c>
      <c r="B184" s="114">
        <v>0.04</v>
      </c>
      <c r="C184" s="122">
        <v>1</v>
      </c>
      <c r="D184" s="116">
        <v>75000000</v>
      </c>
      <c r="E184" s="241">
        <v>0.06</v>
      </c>
      <c r="F184" s="122">
        <v>-6.6416666666666664E-3</v>
      </c>
      <c r="G184" s="116">
        <v>461250000</v>
      </c>
      <c r="H184" s="116">
        <v>1688966000</v>
      </c>
      <c r="I184" s="114">
        <v>0.27309608363933907</v>
      </c>
      <c r="J184" s="116">
        <v>38.4375</v>
      </c>
    </row>
    <row r="185" spans="1:10">
      <c r="A185" s="55">
        <v>3704</v>
      </c>
      <c r="B185" s="45">
        <v>0.23</v>
      </c>
      <c r="C185" s="123">
        <v>1</v>
      </c>
      <c r="D185" s="121">
        <v>460869565.21739131</v>
      </c>
      <c r="E185" s="241">
        <v>0.21</v>
      </c>
      <c r="F185" s="123">
        <v>4.3241666666666657E-2</v>
      </c>
      <c r="G185" s="46">
        <v>5853043478.260869</v>
      </c>
      <c r="H185" s="46">
        <v>21299345000</v>
      </c>
      <c r="I185" s="114">
        <v>0.27479922402594392</v>
      </c>
      <c r="J185" s="116">
        <v>13.804347826086955</v>
      </c>
    </row>
    <row r="186" spans="1:10">
      <c r="A186" s="55">
        <v>6112</v>
      </c>
      <c r="B186" s="45">
        <v>0.62</v>
      </c>
      <c r="C186" s="123">
        <v>0.75206611570247939</v>
      </c>
      <c r="D186" s="121">
        <v>91935483.870967746</v>
      </c>
      <c r="E186" s="241">
        <v>0.08</v>
      </c>
      <c r="F186" s="123">
        <v>2.7500000000000007E-3</v>
      </c>
      <c r="G186" s="46">
        <v>2344354838.7096777</v>
      </c>
      <c r="H186" s="46">
        <v>8510754000</v>
      </c>
      <c r="I186" s="56">
        <v>0.27545794869757456</v>
      </c>
      <c r="J186" s="125">
        <v>13.672013470400566</v>
      </c>
    </row>
    <row r="187" spans="1:10">
      <c r="A187" s="55">
        <v>6278</v>
      </c>
      <c r="B187" s="45">
        <v>0.78</v>
      </c>
      <c r="C187" s="123">
        <v>1</v>
      </c>
      <c r="D187" s="121">
        <v>294871794.87179488</v>
      </c>
      <c r="E187" s="241">
        <v>0.1</v>
      </c>
      <c r="F187" s="123">
        <v>5.4666666666666709E-3</v>
      </c>
      <c r="G187" s="46">
        <v>8403846153.8461542</v>
      </c>
      <c r="H187" s="46">
        <v>30145169000</v>
      </c>
      <c r="I187" s="56">
        <v>0.27877920186303001</v>
      </c>
      <c r="J187" s="125">
        <v>9.134615384615385</v>
      </c>
    </row>
    <row r="188" spans="1:10">
      <c r="A188" s="55">
        <v>8163</v>
      </c>
      <c r="B188" s="45">
        <v>1.58</v>
      </c>
      <c r="C188" s="123">
        <v>0.56949806949806947</v>
      </c>
      <c r="D188" s="121">
        <v>313924050.63291138</v>
      </c>
      <c r="E188" s="241">
        <v>0.09</v>
      </c>
      <c r="F188" s="123">
        <v>-1.635E-2</v>
      </c>
      <c r="G188" s="46">
        <v>5493670886.0759497</v>
      </c>
      <c r="H188" s="46">
        <v>19658760000</v>
      </c>
      <c r="I188" s="56">
        <v>0.27945154659174587</v>
      </c>
      <c r="J188" s="125">
        <v>4.862154044196525</v>
      </c>
    </row>
    <row r="189" spans="1:10">
      <c r="A189" s="55">
        <v>2908</v>
      </c>
      <c r="B189" s="114">
        <v>0.3</v>
      </c>
      <c r="C189" s="122">
        <v>0.87786259541984735</v>
      </c>
      <c r="D189" s="116">
        <v>506666666.66666669</v>
      </c>
      <c r="E189" s="241">
        <v>0.31</v>
      </c>
      <c r="F189" s="122">
        <v>-1.9583333333333328E-3</v>
      </c>
      <c r="G189" s="116">
        <v>10260000000</v>
      </c>
      <c r="H189" s="116">
        <v>35981451000</v>
      </c>
      <c r="I189" s="114">
        <v>0.28514692195153551</v>
      </c>
      <c r="J189" s="116">
        <v>19.222826086956523</v>
      </c>
    </row>
    <row r="190" spans="1:10">
      <c r="A190" s="55">
        <v>6220</v>
      </c>
      <c r="B190" s="45">
        <v>1.04</v>
      </c>
      <c r="C190" s="123">
        <v>0.95</v>
      </c>
      <c r="D190" s="121">
        <v>131730769.23076923</v>
      </c>
      <c r="E190" s="241">
        <v>0.18</v>
      </c>
      <c r="F190" s="123">
        <v>1.1533333333333328E-2</v>
      </c>
      <c r="G190" s="46">
        <v>1916682692.3076925</v>
      </c>
      <c r="H190" s="46">
        <v>6717732000</v>
      </c>
      <c r="I190" s="56">
        <v>0.2853169332012192</v>
      </c>
      <c r="J190" s="125">
        <v>3.6816801619433202</v>
      </c>
    </row>
    <row r="191" spans="1:10">
      <c r="A191" s="55">
        <v>2450</v>
      </c>
      <c r="B191" s="114">
        <v>0.42</v>
      </c>
      <c r="C191" s="122">
        <v>0.53197674418604646</v>
      </c>
      <c r="D191" s="116">
        <v>254761904.76190478</v>
      </c>
      <c r="E191" s="241">
        <v>0.12</v>
      </c>
      <c r="F191" s="122">
        <v>-1.158333333333333E-3</v>
      </c>
      <c r="G191" s="116">
        <v>10215952380.952381</v>
      </c>
      <c r="H191" s="116">
        <v>35558124000</v>
      </c>
      <c r="I191" s="114">
        <v>0.28730290667056513</v>
      </c>
      <c r="J191" s="116">
        <v>44.86859224564143</v>
      </c>
    </row>
    <row r="192" spans="1:10">
      <c r="A192" s="55">
        <v>5475</v>
      </c>
      <c r="B192" s="45">
        <v>-0.38</v>
      </c>
      <c r="C192" s="123">
        <v>1</v>
      </c>
      <c r="D192" s="121">
        <v>223684210.52631578</v>
      </c>
      <c r="E192" s="241">
        <v>-0.04</v>
      </c>
      <c r="F192" s="123">
        <v>-8.9416666666666689E-3</v>
      </c>
      <c r="G192" s="46">
        <v>691184210.52631569</v>
      </c>
      <c r="H192" s="46">
        <v>2396320000</v>
      </c>
      <c r="I192" s="56">
        <v>0.28843568910926576</v>
      </c>
      <c r="J192" s="125">
        <v>0</v>
      </c>
    </row>
    <row r="193" spans="1:11">
      <c r="A193" s="55">
        <v>6125</v>
      </c>
      <c r="B193" s="45">
        <v>7.0000000000000007E-2</v>
      </c>
      <c r="C193" s="123">
        <v>0</v>
      </c>
      <c r="D193" s="121">
        <v>257142857.1428571</v>
      </c>
      <c r="E193" s="241">
        <v>0.09</v>
      </c>
      <c r="F193" s="123">
        <v>5.7299999999999969E-2</v>
      </c>
      <c r="G193" s="46">
        <v>3162857142.8571424</v>
      </c>
      <c r="H193" s="46">
        <v>10942904000</v>
      </c>
      <c r="I193" s="56">
        <v>0.28903270492523214</v>
      </c>
      <c r="J193" s="125">
        <v>0</v>
      </c>
      <c r="K193" s="26"/>
    </row>
    <row r="194" spans="1:11">
      <c r="A194" s="55">
        <v>3550</v>
      </c>
      <c r="B194" s="114">
        <v>0.48</v>
      </c>
      <c r="C194" s="122">
        <v>0.47540983606557374</v>
      </c>
      <c r="D194" s="116">
        <v>85416666.666666672</v>
      </c>
      <c r="E194" s="241">
        <v>0.17</v>
      </c>
      <c r="F194" s="122">
        <v>4.2674999999999998E-2</v>
      </c>
      <c r="G194" s="116">
        <v>1042083333.3333334</v>
      </c>
      <c r="H194" s="116">
        <v>3602175000</v>
      </c>
      <c r="I194" s="114">
        <v>0.28929281151896657</v>
      </c>
      <c r="J194" s="116">
        <v>13.365660919540231</v>
      </c>
    </row>
    <row r="195" spans="1:11">
      <c r="A195" s="55">
        <v>4729</v>
      </c>
      <c r="B195" s="45">
        <v>0.04</v>
      </c>
      <c r="C195" s="123">
        <v>1</v>
      </c>
      <c r="D195" s="121">
        <v>125000000</v>
      </c>
      <c r="E195" s="241">
        <v>0.21</v>
      </c>
      <c r="F195" s="123">
        <v>2.4816666666666671E-2</v>
      </c>
      <c r="G195" s="46">
        <v>1418750000</v>
      </c>
      <c r="H195" s="46">
        <v>4886089000</v>
      </c>
      <c r="I195" s="56">
        <v>0.29036515708166594</v>
      </c>
      <c r="J195" s="125">
        <v>50</v>
      </c>
    </row>
    <row r="196" spans="1:11">
      <c r="A196" s="55">
        <v>8066</v>
      </c>
      <c r="B196" s="45">
        <v>2.48</v>
      </c>
      <c r="C196" s="123">
        <v>1</v>
      </c>
      <c r="D196" s="121">
        <v>24596774.193548389</v>
      </c>
      <c r="E196" s="241">
        <v>0.13</v>
      </c>
      <c r="F196" s="123">
        <v>0.20940833333333331</v>
      </c>
      <c r="G196" s="46">
        <v>2255524193.5483875</v>
      </c>
      <c r="H196" s="46">
        <v>7747581000</v>
      </c>
      <c r="I196" s="56">
        <v>0.29112624876698773</v>
      </c>
      <c r="J196" s="125">
        <v>9.243951612903226</v>
      </c>
    </row>
    <row r="197" spans="1:11">
      <c r="A197" s="55">
        <v>2457</v>
      </c>
      <c r="B197" s="114">
        <v>-0.24</v>
      </c>
      <c r="C197" s="122">
        <v>1</v>
      </c>
      <c r="D197" s="116">
        <v>279166666.66666669</v>
      </c>
      <c r="E197" s="241">
        <v>0.1</v>
      </c>
      <c r="F197" s="122">
        <v>1.3058333333333333E-2</v>
      </c>
      <c r="G197" s="116">
        <v>3266250000</v>
      </c>
      <c r="H197" s="116">
        <v>11123315000</v>
      </c>
      <c r="I197" s="114">
        <v>0.29363998052738777</v>
      </c>
      <c r="J197" s="116">
        <v>0</v>
      </c>
    </row>
    <row r="198" spans="1:11">
      <c r="A198" s="55">
        <v>2636</v>
      </c>
      <c r="B198" s="114">
        <v>0.83</v>
      </c>
      <c r="C198" s="122">
        <v>0.77956989247311825</v>
      </c>
      <c r="D198" s="116">
        <v>106024096.38554217</v>
      </c>
      <c r="E198" s="241">
        <v>0.2</v>
      </c>
      <c r="F198" s="122">
        <v>-1.5975E-2</v>
      </c>
      <c r="G198" s="116">
        <v>2905060240.9638553</v>
      </c>
      <c r="H198" s="116">
        <v>9744789000</v>
      </c>
      <c r="I198" s="114">
        <v>0.29811422709756519</v>
      </c>
      <c r="J198" s="116">
        <v>10.586622351474865</v>
      </c>
    </row>
    <row r="199" spans="1:11">
      <c r="A199" s="55">
        <v>1566</v>
      </c>
      <c r="B199" s="114">
        <v>0.42</v>
      </c>
      <c r="C199" s="122">
        <v>8.3333333333333329E-2</v>
      </c>
      <c r="D199" s="116">
        <v>66666666.666666672</v>
      </c>
      <c r="E199" s="241">
        <v>0.12</v>
      </c>
      <c r="F199" s="122">
        <v>0.16625833333333331</v>
      </c>
      <c r="G199" s="116">
        <v>1323333333.3333335</v>
      </c>
      <c r="H199" s="116">
        <v>4428124000</v>
      </c>
      <c r="I199" s="114">
        <v>0.29884739752846429</v>
      </c>
      <c r="J199" s="116">
        <v>50</v>
      </c>
    </row>
    <row r="200" spans="1:11">
      <c r="A200" s="55">
        <v>6126</v>
      </c>
      <c r="B200" s="45">
        <v>-0.09</v>
      </c>
      <c r="C200" s="123">
        <v>1</v>
      </c>
      <c r="D200" s="121">
        <v>111111111.11111112</v>
      </c>
      <c r="E200" s="241">
        <v>0.17</v>
      </c>
      <c r="F200" s="123">
        <v>6.0083333333333317E-3</v>
      </c>
      <c r="G200" s="46">
        <v>857777777.77777779</v>
      </c>
      <c r="H200" s="46">
        <v>2865350000</v>
      </c>
      <c r="I200" s="56">
        <v>0.29936230400397085</v>
      </c>
      <c r="J200" s="125">
        <v>0</v>
      </c>
    </row>
    <row r="201" spans="1:11">
      <c r="A201" s="55">
        <v>3553</v>
      </c>
      <c r="B201" s="114">
        <v>-0.08</v>
      </c>
      <c r="C201" s="122">
        <v>1</v>
      </c>
      <c r="D201" s="116">
        <v>62500000</v>
      </c>
      <c r="E201" s="241">
        <v>0.08</v>
      </c>
      <c r="F201" s="122">
        <v>-2.6891666666666664E-2</v>
      </c>
      <c r="G201" s="116">
        <v>740625000</v>
      </c>
      <c r="H201" s="116">
        <v>2469395000</v>
      </c>
      <c r="I201" s="114">
        <v>0.29992164072576483</v>
      </c>
      <c r="J201" s="116">
        <v>0</v>
      </c>
    </row>
    <row r="202" spans="1:11">
      <c r="A202" s="55">
        <v>3694</v>
      </c>
      <c r="B202" s="114">
        <v>0.61</v>
      </c>
      <c r="C202" s="122">
        <v>1</v>
      </c>
      <c r="D202" s="116">
        <v>129508196.72131148</v>
      </c>
      <c r="E202" s="241">
        <v>0.14000000000000001</v>
      </c>
      <c r="F202" s="122">
        <v>5.245833333333335E-2</v>
      </c>
      <c r="G202" s="116">
        <v>1981475409.8360658</v>
      </c>
      <c r="H202" s="116">
        <v>6604500000</v>
      </c>
      <c r="I202" s="114">
        <v>0.30001898854357872</v>
      </c>
      <c r="J202" s="116">
        <v>6.2704918032786887</v>
      </c>
    </row>
    <row r="203" spans="1:11">
      <c r="A203" s="55">
        <v>2603</v>
      </c>
      <c r="B203" s="114">
        <v>-0.69</v>
      </c>
      <c r="C203" s="122">
        <v>0.87222438644331901</v>
      </c>
      <c r="D203" s="116">
        <v>3498550724.6376815</v>
      </c>
      <c r="E203" s="241">
        <v>-0.04</v>
      </c>
      <c r="F203" s="122">
        <v>-2.3991666666666672E-2</v>
      </c>
      <c r="G203" s="116">
        <v>40233333333.333336</v>
      </c>
      <c r="H203" s="116">
        <v>133890748000</v>
      </c>
      <c r="I203" s="114">
        <v>0.30049375281205642</v>
      </c>
      <c r="J203" s="116">
        <v>0</v>
      </c>
    </row>
    <row r="204" spans="1:11">
      <c r="A204" s="55">
        <v>6275</v>
      </c>
      <c r="B204" s="45">
        <v>0.15</v>
      </c>
      <c r="C204" s="123">
        <v>0.23529411764705882</v>
      </c>
      <c r="D204" s="121">
        <v>53333333.333333336</v>
      </c>
      <c r="E204" s="241">
        <v>0.19</v>
      </c>
      <c r="F204" s="123">
        <v>5.2083333333333278E-3</v>
      </c>
      <c r="G204" s="46">
        <v>613333333.33333337</v>
      </c>
      <c r="H204" s="46">
        <v>2023095000</v>
      </c>
      <c r="I204" s="56">
        <v>0.30316585891089315</v>
      </c>
      <c r="J204" s="125">
        <v>50</v>
      </c>
    </row>
    <row r="205" spans="1:11">
      <c r="A205" s="55">
        <v>2387</v>
      </c>
      <c r="B205" s="114">
        <v>0.81</v>
      </c>
      <c r="C205" s="122">
        <v>0.63636363636363635</v>
      </c>
      <c r="D205" s="116">
        <v>351851851.85185182</v>
      </c>
      <c r="E205" s="241">
        <v>0.14000000000000001</v>
      </c>
      <c r="F205" s="122">
        <v>1.7250000000000008E-3</v>
      </c>
      <c r="G205" s="116">
        <v>5101851851.8518515</v>
      </c>
      <c r="H205" s="116">
        <v>16731736000</v>
      </c>
      <c r="I205" s="114">
        <v>0.30492065209801611</v>
      </c>
      <c r="J205" s="116">
        <v>7.0326278659611985</v>
      </c>
    </row>
    <row r="206" spans="1:11">
      <c r="A206" s="55">
        <v>8085</v>
      </c>
      <c r="B206" s="45">
        <v>-0.18</v>
      </c>
      <c r="C206" s="123">
        <v>1</v>
      </c>
      <c r="D206" s="121">
        <v>155555555.55555555</v>
      </c>
      <c r="E206" s="241">
        <v>0.05</v>
      </c>
      <c r="F206" s="123">
        <v>-2.1083333333333366E-3</v>
      </c>
      <c r="G206" s="46">
        <v>558444444.44444442</v>
      </c>
      <c r="H206" s="46">
        <v>1826028000</v>
      </c>
      <c r="I206" s="56">
        <v>0.30582468858333189</v>
      </c>
      <c r="J206" s="125">
        <v>0</v>
      </c>
    </row>
    <row r="207" spans="1:11">
      <c r="A207" s="55">
        <v>3522</v>
      </c>
      <c r="B207" s="114">
        <v>0.13</v>
      </c>
      <c r="C207" s="122">
        <v>1</v>
      </c>
      <c r="D207" s="116">
        <v>46153846.153846152</v>
      </c>
      <c r="E207" s="241">
        <v>7.0000000000000007E-2</v>
      </c>
      <c r="F207" s="122">
        <v>-1.3050000000000001E-2</v>
      </c>
      <c r="G207" s="116">
        <v>461538461.53846151</v>
      </c>
      <c r="H207" s="116">
        <v>1508673000</v>
      </c>
      <c r="I207" s="114">
        <v>0.30592345825666761</v>
      </c>
      <c r="J207" s="116">
        <v>19.23076923076923</v>
      </c>
    </row>
    <row r="208" spans="1:11">
      <c r="A208" s="55">
        <v>3294</v>
      </c>
      <c r="B208" s="114">
        <v>0.68</v>
      </c>
      <c r="C208" s="122">
        <v>1</v>
      </c>
      <c r="D208" s="116">
        <v>130882352.94117646</v>
      </c>
      <c r="E208" s="241">
        <v>0.18</v>
      </c>
      <c r="F208" s="122">
        <v>-5.2333333333333329E-3</v>
      </c>
      <c r="G208" s="116">
        <v>1812720588.2352939</v>
      </c>
      <c r="H208" s="116">
        <v>5915570000</v>
      </c>
      <c r="I208" s="114">
        <v>0.30643210852636243</v>
      </c>
      <c r="J208" s="116">
        <v>5.0919117647058822</v>
      </c>
    </row>
    <row r="209" spans="1:11">
      <c r="A209" s="55">
        <v>3202</v>
      </c>
      <c r="B209" s="114">
        <v>0.05</v>
      </c>
      <c r="C209" s="122">
        <v>1</v>
      </c>
      <c r="D209" s="116">
        <v>100000000</v>
      </c>
      <c r="E209" s="241">
        <v>0.08</v>
      </c>
      <c r="F209" s="122">
        <v>1.3558333333333337E-2</v>
      </c>
      <c r="G209" s="116">
        <v>714000000</v>
      </c>
      <c r="H209" s="116">
        <v>2304734000</v>
      </c>
      <c r="I209" s="114">
        <v>0.3097971392794136</v>
      </c>
      <c r="J209" s="116">
        <v>35.699999999999996</v>
      </c>
    </row>
    <row r="210" spans="1:11">
      <c r="A210" s="55">
        <v>4609</v>
      </c>
      <c r="B210" s="45">
        <v>0.84</v>
      </c>
      <c r="C210" s="123">
        <v>0</v>
      </c>
      <c r="D210" s="121">
        <v>47619047.619047619</v>
      </c>
      <c r="E210" s="241">
        <v>0.17</v>
      </c>
      <c r="F210" s="123">
        <v>4.1850000000000005E-2</v>
      </c>
      <c r="G210" s="46">
        <v>333333333.33333331</v>
      </c>
      <c r="H210" s="46">
        <v>1074086000</v>
      </c>
      <c r="I210" s="56">
        <v>0.31034138172672704</v>
      </c>
      <c r="J210" s="125">
        <v>0</v>
      </c>
    </row>
    <row r="211" spans="1:11">
      <c r="A211" s="55">
        <v>8938</v>
      </c>
      <c r="B211" s="45">
        <v>0.02</v>
      </c>
      <c r="C211" s="123">
        <v>1</v>
      </c>
      <c r="D211" s="121">
        <v>150000000</v>
      </c>
      <c r="E211" s="241">
        <v>7.0000000000000007E-2</v>
      </c>
      <c r="F211" s="123">
        <v>4.3525000000000001E-2</v>
      </c>
      <c r="G211" s="46">
        <v>2730000000</v>
      </c>
      <c r="H211" s="46">
        <v>8786162000</v>
      </c>
      <c r="I211" s="56">
        <v>0.31071587343825441</v>
      </c>
      <c r="J211" s="125">
        <v>50</v>
      </c>
    </row>
    <row r="212" spans="1:11">
      <c r="A212" s="55">
        <v>3540</v>
      </c>
      <c r="B212" s="114">
        <v>0.25</v>
      </c>
      <c r="C212" s="122">
        <v>0.36842105263157893</v>
      </c>
      <c r="D212" s="116">
        <v>64000000</v>
      </c>
      <c r="E212" s="241">
        <v>0.32</v>
      </c>
      <c r="F212" s="122">
        <v>3.6208333333333335E-2</v>
      </c>
      <c r="G212" s="116">
        <v>838400000</v>
      </c>
      <c r="H212" s="116">
        <v>2692234000</v>
      </c>
      <c r="I212" s="114">
        <v>0.31141423813828961</v>
      </c>
      <c r="J212" s="116">
        <v>35.557142857142857</v>
      </c>
    </row>
    <row r="213" spans="1:11">
      <c r="A213" s="55">
        <v>1909</v>
      </c>
      <c r="B213" s="114">
        <v>0.31</v>
      </c>
      <c r="C213" s="122">
        <v>1</v>
      </c>
      <c r="D213" s="116">
        <v>841935483.87096775</v>
      </c>
      <c r="E213" s="241">
        <v>0.2</v>
      </c>
      <c r="F213" s="122">
        <v>2.1666666666666635E-3</v>
      </c>
      <c r="G213" s="116">
        <v>8385677419.3548393</v>
      </c>
      <c r="H213" s="116">
        <v>26852741000</v>
      </c>
      <c r="I213" s="114">
        <v>0.31228385286086213</v>
      </c>
      <c r="J213" s="116">
        <v>8.0322580645161299</v>
      </c>
    </row>
    <row r="214" spans="1:11">
      <c r="A214" s="55">
        <v>3114</v>
      </c>
      <c r="B214" s="114">
        <v>0.91</v>
      </c>
      <c r="C214" s="122">
        <v>0.27083333333333331</v>
      </c>
      <c r="D214" s="116">
        <v>50549450.549450547</v>
      </c>
      <c r="E214" s="241">
        <v>0.12</v>
      </c>
      <c r="F214" s="122">
        <v>4.7000000000000002E-3</v>
      </c>
      <c r="G214" s="116">
        <v>606593406.59340656</v>
      </c>
      <c r="H214" s="116">
        <v>1919355000</v>
      </c>
      <c r="I214" s="114">
        <v>0.31604023570074663</v>
      </c>
      <c r="J214" s="116">
        <v>12.172442941673712</v>
      </c>
    </row>
    <row r="215" spans="1:11">
      <c r="A215" s="55">
        <v>6140</v>
      </c>
      <c r="B215" s="45">
        <v>0.12</v>
      </c>
      <c r="C215" s="123">
        <v>0</v>
      </c>
      <c r="D215" s="121">
        <v>41666666.666666672</v>
      </c>
      <c r="E215" s="241">
        <v>0.1</v>
      </c>
      <c r="F215" s="123">
        <v>7.0875000000000007E-2</v>
      </c>
      <c r="G215" s="46">
        <v>447916666.66666675</v>
      </c>
      <c r="H215" s="46">
        <v>1405806000</v>
      </c>
      <c r="I215" s="56">
        <v>0.31861911719445413</v>
      </c>
      <c r="J215" s="125">
        <v>0</v>
      </c>
    </row>
    <row r="216" spans="1:11">
      <c r="A216" s="55">
        <v>4906</v>
      </c>
      <c r="B216" s="45">
        <v>0.5</v>
      </c>
      <c r="C216" s="123">
        <v>0.18124999999999999</v>
      </c>
      <c r="D216" s="121">
        <v>298000000</v>
      </c>
      <c r="E216" s="241">
        <v>0.11</v>
      </c>
      <c r="F216" s="123">
        <v>2.1249999999999971E-3</v>
      </c>
      <c r="G216" s="46">
        <v>5587500000</v>
      </c>
      <c r="H216" s="46">
        <v>17529602000</v>
      </c>
      <c r="I216" s="56">
        <v>0.31874654085129828</v>
      </c>
      <c r="J216" s="125">
        <v>50</v>
      </c>
      <c r="K216" s="26"/>
    </row>
    <row r="217" spans="1:11">
      <c r="A217" s="55">
        <v>2328</v>
      </c>
      <c r="B217" s="114">
        <v>0.63</v>
      </c>
      <c r="C217" s="122">
        <v>0.27374301675977653</v>
      </c>
      <c r="D217" s="116">
        <v>504761904.76190478</v>
      </c>
      <c r="E217" s="241">
        <v>0.1</v>
      </c>
      <c r="F217" s="122">
        <v>2.8549999999999996E-2</v>
      </c>
      <c r="G217" s="116">
        <v>6057142857.1428576</v>
      </c>
      <c r="H217" s="116">
        <v>18945456000</v>
      </c>
      <c r="I217" s="114">
        <v>0.31971480956398501</v>
      </c>
      <c r="J217" s="116">
        <v>17.395529640427601</v>
      </c>
    </row>
    <row r="218" spans="1:11">
      <c r="A218" s="55">
        <v>1617</v>
      </c>
      <c r="B218" s="114">
        <v>0.24</v>
      </c>
      <c r="C218" s="122">
        <v>0.24242424242424243</v>
      </c>
      <c r="D218" s="116">
        <v>141666666.66666669</v>
      </c>
      <c r="E218" s="241">
        <v>0.09</v>
      </c>
      <c r="F218" s="122">
        <v>-5.2499999999999368E-4</v>
      </c>
      <c r="G218" s="116">
        <v>927916666.66666675</v>
      </c>
      <c r="H218" s="116">
        <v>2898268000</v>
      </c>
      <c r="I218" s="114">
        <v>0.32016247864816738</v>
      </c>
      <c r="J218" s="116">
        <v>28.14453125</v>
      </c>
    </row>
    <row r="219" spans="1:11">
      <c r="A219" s="55">
        <v>1608</v>
      </c>
      <c r="B219" s="114">
        <v>-0.43</v>
      </c>
      <c r="C219" s="122">
        <v>0</v>
      </c>
      <c r="D219" s="116">
        <v>423255813.95348835</v>
      </c>
      <c r="E219" s="241">
        <v>-0.05</v>
      </c>
      <c r="F219" s="122">
        <v>1.0574999999999999E-2</v>
      </c>
      <c r="G219" s="116">
        <v>2789255813.9534883</v>
      </c>
      <c r="H219" s="116">
        <v>8679602000</v>
      </c>
      <c r="I219" s="114">
        <v>0.32135757076804772</v>
      </c>
      <c r="J219" s="116">
        <v>0</v>
      </c>
    </row>
    <row r="220" spans="1:11">
      <c r="A220" s="55">
        <v>8099</v>
      </c>
      <c r="B220" s="45">
        <v>0.36</v>
      </c>
      <c r="C220" s="123">
        <v>0.96</v>
      </c>
      <c r="D220" s="121">
        <v>66666666.666666672</v>
      </c>
      <c r="E220" s="241">
        <v>0.22</v>
      </c>
      <c r="F220" s="123">
        <v>1.0999999999999998E-2</v>
      </c>
      <c r="G220" s="46">
        <v>1126666666.6666667</v>
      </c>
      <c r="H220" s="46">
        <v>3499146000</v>
      </c>
      <c r="I220" s="56">
        <v>0.32198332583626599</v>
      </c>
      <c r="J220" s="125">
        <v>12.22511574074074</v>
      </c>
    </row>
    <row r="221" spans="1:11">
      <c r="A221" s="55">
        <v>2459</v>
      </c>
      <c r="B221" s="114">
        <v>1</v>
      </c>
      <c r="C221" s="122">
        <v>0.7366071428571429</v>
      </c>
      <c r="D221" s="116">
        <v>112000000</v>
      </c>
      <c r="E221" s="241">
        <v>0.1</v>
      </c>
      <c r="F221" s="122">
        <v>1.7133333333333334E-2</v>
      </c>
      <c r="G221" s="116">
        <v>3584000000</v>
      </c>
      <c r="H221" s="116">
        <v>11115584000</v>
      </c>
      <c r="I221" s="114">
        <v>0.32243020249768251</v>
      </c>
      <c r="J221" s="116">
        <v>10.860606060606059</v>
      </c>
    </row>
    <row r="222" spans="1:11">
      <c r="A222" s="55">
        <v>3015</v>
      </c>
      <c r="B222" s="114">
        <v>0.7</v>
      </c>
      <c r="C222" s="122">
        <v>0</v>
      </c>
      <c r="D222" s="116">
        <v>210000000</v>
      </c>
      <c r="E222" s="241">
        <v>0.11</v>
      </c>
      <c r="F222" s="122">
        <v>1.0216666666666667E-2</v>
      </c>
      <c r="G222" s="116">
        <v>4473000000</v>
      </c>
      <c r="H222" s="116">
        <v>13866798000</v>
      </c>
      <c r="I222" s="114">
        <v>0.32256906028341942</v>
      </c>
      <c r="J222" s="116">
        <v>0</v>
      </c>
    </row>
    <row r="223" spans="1:11">
      <c r="A223" s="55">
        <v>8032</v>
      </c>
      <c r="B223" s="45">
        <v>1.1499999999999999</v>
      </c>
      <c r="C223" s="123">
        <v>0.57954545454545459</v>
      </c>
      <c r="D223" s="121">
        <v>52173913.043478265</v>
      </c>
      <c r="E223" s="241">
        <v>0.13</v>
      </c>
      <c r="F223" s="123">
        <v>4.6308333333333333E-2</v>
      </c>
      <c r="G223" s="46">
        <v>1403478260.8695652</v>
      </c>
      <c r="H223" s="46">
        <v>4342661000</v>
      </c>
      <c r="I223" s="56">
        <v>0.32318393281666824</v>
      </c>
      <c r="J223" s="125">
        <v>10.090366581415173</v>
      </c>
    </row>
    <row r="224" spans="1:11">
      <c r="A224" s="55">
        <v>2425</v>
      </c>
      <c r="B224" s="114">
        <v>1.1399999999999999</v>
      </c>
      <c r="C224" s="122">
        <v>0.640625</v>
      </c>
      <c r="D224" s="116">
        <v>108771929.82456142</v>
      </c>
      <c r="E224" s="241">
        <v>0.06</v>
      </c>
      <c r="F224" s="122">
        <v>6.5575000000000008E-2</v>
      </c>
      <c r="G224" s="116">
        <v>2387543859.6491232</v>
      </c>
      <c r="H224" s="116">
        <v>7384600000</v>
      </c>
      <c r="I224" s="114">
        <v>0.32331390456478659</v>
      </c>
      <c r="J224" s="116">
        <v>7.5139067180145496</v>
      </c>
    </row>
    <row r="225" spans="1:10">
      <c r="A225" s="55">
        <v>4306</v>
      </c>
      <c r="B225" s="45">
        <v>0.09</v>
      </c>
      <c r="C225" s="123">
        <v>0.15365239294710328</v>
      </c>
      <c r="D225" s="121">
        <v>488888888.8888889</v>
      </c>
      <c r="E225" s="241">
        <v>0.12</v>
      </c>
      <c r="F225" s="123">
        <v>9.6666666666666776E-4</v>
      </c>
      <c r="G225" s="46">
        <v>5817777777.7777777</v>
      </c>
      <c r="H225" s="46">
        <v>17844155000</v>
      </c>
      <c r="I225" s="56">
        <v>0.32603268564848142</v>
      </c>
      <c r="J225" s="125">
        <v>50</v>
      </c>
    </row>
    <row r="226" spans="1:10">
      <c r="A226" s="55">
        <v>6189</v>
      </c>
      <c r="B226" s="45">
        <v>1.17</v>
      </c>
      <c r="C226" s="123">
        <v>0.86644951140065152</v>
      </c>
      <c r="D226" s="121">
        <v>178632478.63247865</v>
      </c>
      <c r="E226" s="241">
        <v>0.1</v>
      </c>
      <c r="F226" s="123">
        <v>1.2825000000000003E-2</v>
      </c>
      <c r="G226" s="46">
        <v>5805555555.5555563</v>
      </c>
      <c r="H226" s="46">
        <v>17670407000</v>
      </c>
      <c r="I226" s="56">
        <v>0.32854679326602698</v>
      </c>
      <c r="J226" s="125">
        <v>8.01482873851295</v>
      </c>
    </row>
    <row r="227" spans="1:10">
      <c r="A227" s="55">
        <v>6163</v>
      </c>
      <c r="B227" s="45">
        <v>-0.7</v>
      </c>
      <c r="C227" s="123">
        <v>1</v>
      </c>
      <c r="D227" s="121">
        <v>102857142.85714287</v>
      </c>
      <c r="E227" s="241">
        <v>0.15</v>
      </c>
      <c r="F227" s="123">
        <v>0.1498666666666667</v>
      </c>
      <c r="G227" s="46">
        <v>1028571428.5714287</v>
      </c>
      <c r="H227" s="46">
        <v>3119968000</v>
      </c>
      <c r="I227" s="56">
        <v>0.32967371093915987</v>
      </c>
      <c r="J227" s="125">
        <v>0</v>
      </c>
    </row>
    <row r="228" spans="1:10">
      <c r="A228" s="55">
        <v>5225</v>
      </c>
      <c r="B228" s="45">
        <v>2.2000000000000002</v>
      </c>
      <c r="C228" s="123">
        <v>0.86805555555555558</v>
      </c>
      <c r="D228" s="121">
        <v>60454545.454545453</v>
      </c>
      <c r="E228" s="241">
        <v>0.17</v>
      </c>
      <c r="F228" s="123">
        <v>8.8333333333333092E-4</v>
      </c>
      <c r="G228" s="46">
        <v>2632795454.5454545</v>
      </c>
      <c r="H228" s="46">
        <v>7972849000</v>
      </c>
      <c r="I228" s="56">
        <v>0.33022015775608626</v>
      </c>
      <c r="J228" s="125">
        <v>5.7010909090909081</v>
      </c>
    </row>
    <row r="229" spans="1:10">
      <c r="A229" s="55">
        <v>8271</v>
      </c>
      <c r="B229" s="45">
        <v>0.32</v>
      </c>
      <c r="C229" s="123">
        <v>1</v>
      </c>
      <c r="D229" s="121">
        <v>150000000</v>
      </c>
      <c r="E229" s="241">
        <v>0.14000000000000001</v>
      </c>
      <c r="F229" s="123">
        <v>-9.6999999999999986E-3</v>
      </c>
      <c r="G229" s="46">
        <v>2437500000</v>
      </c>
      <c r="H229" s="46">
        <v>7379728000</v>
      </c>
      <c r="I229" s="56">
        <v>0.3302967263834114</v>
      </c>
      <c r="J229" s="125">
        <v>12.6953125</v>
      </c>
    </row>
    <row r="230" spans="1:10">
      <c r="A230" s="55">
        <v>6161</v>
      </c>
      <c r="B230" s="45">
        <v>0.35</v>
      </c>
      <c r="C230" s="123">
        <v>0.4</v>
      </c>
      <c r="D230" s="121">
        <v>120000000.00000001</v>
      </c>
      <c r="E230" s="241">
        <v>0.11</v>
      </c>
      <c r="F230" s="123">
        <v>-7.5375000000000011E-2</v>
      </c>
      <c r="G230" s="46">
        <v>812400000</v>
      </c>
      <c r="H230" s="46">
        <v>2459252000</v>
      </c>
      <c r="I230" s="56">
        <v>0.33034434860681217</v>
      </c>
      <c r="J230" s="125">
        <v>12.089285714285715</v>
      </c>
    </row>
    <row r="231" spans="1:10">
      <c r="A231" s="55">
        <v>6270</v>
      </c>
      <c r="B231" s="45">
        <v>0.12</v>
      </c>
      <c r="C231" s="123">
        <v>0.45454545454545453</v>
      </c>
      <c r="D231" s="121">
        <v>75000000</v>
      </c>
      <c r="E231" s="241">
        <v>0.11</v>
      </c>
      <c r="F231" s="123">
        <v>4.9083333333333366E-3</v>
      </c>
      <c r="G231" s="46">
        <v>740250000</v>
      </c>
      <c r="H231" s="46">
        <v>2238069000</v>
      </c>
      <c r="I231" s="56">
        <v>0.33075387756141567</v>
      </c>
      <c r="J231" s="125">
        <v>45.237499999999997</v>
      </c>
    </row>
    <row r="232" spans="1:10">
      <c r="A232" s="55">
        <v>3211</v>
      </c>
      <c r="B232" s="114">
        <v>1.51</v>
      </c>
      <c r="C232" s="122">
        <v>0.20359281437125748</v>
      </c>
      <c r="D232" s="116">
        <v>150331125.82781458</v>
      </c>
      <c r="E232" s="241">
        <v>0.06</v>
      </c>
      <c r="F232" s="122">
        <v>2.2500000000000003E-3</v>
      </c>
      <c r="G232" s="116">
        <v>7170794701.9867554</v>
      </c>
      <c r="H232" s="116">
        <v>21617333000</v>
      </c>
      <c r="I232" s="114">
        <v>0.33171505023245723</v>
      </c>
      <c r="J232" s="116">
        <v>38.789929879236468</v>
      </c>
    </row>
    <row r="233" spans="1:10">
      <c r="A233" s="55">
        <v>6281</v>
      </c>
      <c r="B233" s="45">
        <v>0.88</v>
      </c>
      <c r="C233" s="123">
        <v>0.94444444444444442</v>
      </c>
      <c r="D233" s="121">
        <v>98863636.36363636</v>
      </c>
      <c r="E233" s="241">
        <v>0.19</v>
      </c>
      <c r="F233" s="123">
        <v>2.7033333333333336E-2</v>
      </c>
      <c r="G233" s="46">
        <v>5477045454.545454</v>
      </c>
      <c r="H233" s="46">
        <v>16501726000</v>
      </c>
      <c r="I233" s="56">
        <v>0.33190742923167271</v>
      </c>
      <c r="J233" s="125">
        <v>16.664438502673796</v>
      </c>
    </row>
    <row r="234" spans="1:10">
      <c r="A234" s="55">
        <v>1441</v>
      </c>
      <c r="B234" s="114">
        <v>-0.2</v>
      </c>
      <c r="C234" s="122">
        <v>0.73076923076923073</v>
      </c>
      <c r="D234" s="116">
        <v>90000000</v>
      </c>
      <c r="E234" s="241">
        <v>0.06</v>
      </c>
      <c r="F234" s="122">
        <v>-1.2833333333333297E-3</v>
      </c>
      <c r="G234" s="116">
        <v>612900000</v>
      </c>
      <c r="H234" s="116">
        <v>1829586000</v>
      </c>
      <c r="I234" s="114">
        <v>0.33499381827364222</v>
      </c>
      <c r="J234" s="116">
        <v>0</v>
      </c>
    </row>
    <row r="235" spans="1:10">
      <c r="A235" s="55">
        <v>4953</v>
      </c>
      <c r="B235" s="45">
        <v>0.32</v>
      </c>
      <c r="C235" s="123">
        <v>0.3611111111111111</v>
      </c>
      <c r="D235" s="121">
        <v>43750000</v>
      </c>
      <c r="E235" s="241">
        <v>0.17</v>
      </c>
      <c r="F235" s="123">
        <v>-1.5366666666666667E-2</v>
      </c>
      <c r="G235" s="46">
        <v>846562500.00000012</v>
      </c>
      <c r="H235" s="46">
        <v>2503660000</v>
      </c>
      <c r="I235" s="56">
        <v>0.33812997771262876</v>
      </c>
      <c r="J235" s="125">
        <v>41.862980769230774</v>
      </c>
    </row>
    <row r="236" spans="1:10">
      <c r="A236" s="55">
        <v>1474</v>
      </c>
      <c r="B236" s="114">
        <v>0.28000000000000003</v>
      </c>
      <c r="C236" s="122">
        <v>0.72580645161290325</v>
      </c>
      <c r="D236" s="116">
        <v>128571428.57142855</v>
      </c>
      <c r="E236" s="241">
        <v>0.11</v>
      </c>
      <c r="F236" s="122">
        <v>2.6733333333333331E-2</v>
      </c>
      <c r="G236" s="116">
        <v>1184142857.1428571</v>
      </c>
      <c r="H236" s="116">
        <v>3502011000</v>
      </c>
      <c r="I236" s="114">
        <v>0.33813224948261356</v>
      </c>
      <c r="J236" s="116">
        <v>11.329761904761904</v>
      </c>
    </row>
    <row r="237" spans="1:10">
      <c r="A237" s="55">
        <v>3317</v>
      </c>
      <c r="B237" s="114">
        <v>-0.06</v>
      </c>
      <c r="C237" s="122">
        <v>1</v>
      </c>
      <c r="D237" s="116">
        <v>66666666.666666672</v>
      </c>
      <c r="E237" s="241">
        <v>0.14000000000000001</v>
      </c>
      <c r="F237" s="122">
        <v>1.8200000000000011E-2</v>
      </c>
      <c r="G237" s="116">
        <v>690000000</v>
      </c>
      <c r="H237" s="116">
        <v>2024059000</v>
      </c>
      <c r="I237" s="114">
        <v>0.34089915363139117</v>
      </c>
      <c r="J237" s="116">
        <v>0</v>
      </c>
    </row>
    <row r="238" spans="1:10">
      <c r="A238" s="55">
        <v>6142</v>
      </c>
      <c r="B238" s="45">
        <v>0.03</v>
      </c>
      <c r="C238" s="123">
        <v>1</v>
      </c>
      <c r="D238" s="121">
        <v>266666666.66666669</v>
      </c>
      <c r="E238" s="241">
        <v>0.14000000000000001</v>
      </c>
      <c r="F238" s="123">
        <v>-9.9166666666667086E-4</v>
      </c>
      <c r="G238" s="46">
        <v>1456000000</v>
      </c>
      <c r="H238" s="46">
        <v>4261127000</v>
      </c>
      <c r="I238" s="56">
        <v>0.34169364114235506</v>
      </c>
      <c r="J238" s="125">
        <v>45.5</v>
      </c>
    </row>
    <row r="239" spans="1:10">
      <c r="A239" s="55">
        <v>6167</v>
      </c>
      <c r="B239" s="45">
        <v>0.13</v>
      </c>
      <c r="C239" s="123">
        <v>1</v>
      </c>
      <c r="D239" s="121">
        <v>161538461.53846154</v>
      </c>
      <c r="E239" s="241">
        <v>0.15</v>
      </c>
      <c r="F239" s="123">
        <v>3.5033333333333326E-2</v>
      </c>
      <c r="G239" s="46">
        <v>659076923.07692313</v>
      </c>
      <c r="H239" s="46">
        <v>1923518000</v>
      </c>
      <c r="I239" s="56">
        <v>0.34264141176579743</v>
      </c>
      <c r="J239" s="125">
        <v>7.8461538461538458</v>
      </c>
    </row>
    <row r="240" spans="1:10">
      <c r="A240" s="55">
        <v>3508</v>
      </c>
      <c r="B240" s="114">
        <v>-0.85</v>
      </c>
      <c r="C240" s="122">
        <v>0.83854166666666663</v>
      </c>
      <c r="D240" s="116">
        <v>91764705.882352948</v>
      </c>
      <c r="E240" s="241">
        <v>0.03</v>
      </c>
      <c r="F240" s="122">
        <v>8.4958333333333316E-2</v>
      </c>
      <c r="G240" s="116">
        <v>1101176470.5882354</v>
      </c>
      <c r="H240" s="116">
        <v>3211718000</v>
      </c>
      <c r="I240" s="114">
        <v>0.34286212880092071</v>
      </c>
      <c r="J240" s="116">
        <v>0</v>
      </c>
    </row>
    <row r="241" spans="1:11">
      <c r="A241" s="55">
        <v>2481</v>
      </c>
      <c r="B241" s="114">
        <v>0.49</v>
      </c>
      <c r="C241" s="122">
        <v>0.91417910447761197</v>
      </c>
      <c r="D241" s="116">
        <v>389795918.36734694</v>
      </c>
      <c r="E241" s="241">
        <v>0.21</v>
      </c>
      <c r="F241" s="122">
        <v>1.0941666666666657E-2</v>
      </c>
      <c r="G241" s="116">
        <v>5145306122.4489794</v>
      </c>
      <c r="H241" s="116">
        <v>14977235000</v>
      </c>
      <c r="I241" s="114">
        <v>0.34354179008668684</v>
      </c>
      <c r="J241" s="116">
        <v>7.3669304456476468</v>
      </c>
    </row>
    <row r="242" spans="1:11">
      <c r="A242" s="55">
        <v>3323</v>
      </c>
      <c r="B242" s="114">
        <v>0.76</v>
      </c>
      <c r="C242" s="122">
        <v>0.16666666666666666</v>
      </c>
      <c r="D242" s="116">
        <v>94736842.105263159</v>
      </c>
      <c r="E242" s="241">
        <v>0.12</v>
      </c>
      <c r="F242" s="122">
        <v>1.0408333333333339E-2</v>
      </c>
      <c r="G242" s="116">
        <v>1695789473.6842103</v>
      </c>
      <c r="H242" s="116">
        <v>4908247000</v>
      </c>
      <c r="I242" s="114">
        <v>0.34549799015498006</v>
      </c>
      <c r="J242" s="116">
        <v>35.328947368421055</v>
      </c>
    </row>
    <row r="243" spans="1:11">
      <c r="A243" s="55">
        <v>3043</v>
      </c>
      <c r="B243" s="114">
        <v>-0.01</v>
      </c>
      <c r="C243" s="122">
        <v>0</v>
      </c>
      <c r="D243" s="116">
        <v>200000000</v>
      </c>
      <c r="E243" s="241">
        <v>0.06</v>
      </c>
      <c r="F243" s="122">
        <v>3.9475000000000003E-2</v>
      </c>
      <c r="G243" s="116">
        <v>488000000</v>
      </c>
      <c r="H243" s="116">
        <v>1410820000</v>
      </c>
      <c r="I243" s="114">
        <v>0.34589813016543569</v>
      </c>
      <c r="J243" s="116">
        <v>0</v>
      </c>
    </row>
    <row r="244" spans="1:11">
      <c r="A244" s="55">
        <v>2201</v>
      </c>
      <c r="B244" s="114">
        <v>0.53</v>
      </c>
      <c r="C244" s="122">
        <v>1.0533707865168539E-2</v>
      </c>
      <c r="D244" s="116">
        <v>1466037735.8490565</v>
      </c>
      <c r="E244" s="241">
        <v>0.15</v>
      </c>
      <c r="F244" s="122">
        <v>5.9108333333333325E-2</v>
      </c>
      <c r="G244" s="116">
        <v>42148584905.660378</v>
      </c>
      <c r="H244" s="116">
        <v>121722419000</v>
      </c>
      <c r="I244" s="114">
        <v>0.34626805194908572</v>
      </c>
      <c r="J244" s="116">
        <v>50</v>
      </c>
    </row>
    <row r="245" spans="1:11">
      <c r="A245" s="55">
        <v>2734</v>
      </c>
      <c r="B245" s="114">
        <v>-0.34</v>
      </c>
      <c r="C245" s="122">
        <v>0.66666666666666663</v>
      </c>
      <c r="D245" s="116">
        <v>29411764.705882352</v>
      </c>
      <c r="E245" s="241">
        <v>0.11</v>
      </c>
      <c r="F245" s="122">
        <v>-2.183333333333334E-3</v>
      </c>
      <c r="G245" s="116">
        <v>614705882.35294116</v>
      </c>
      <c r="H245" s="116">
        <v>1774122000</v>
      </c>
      <c r="I245" s="114">
        <v>0.34648456101268188</v>
      </c>
      <c r="J245" s="116">
        <v>0</v>
      </c>
    </row>
    <row r="246" spans="1:11">
      <c r="A246" s="55">
        <v>2731</v>
      </c>
      <c r="B246" s="114">
        <v>1.45</v>
      </c>
      <c r="C246" s="122">
        <v>0.76086956521739135</v>
      </c>
      <c r="D246" s="116">
        <v>69655172.413793102</v>
      </c>
      <c r="E246" s="241">
        <v>0.11</v>
      </c>
      <c r="F246" s="122">
        <v>2.5683333333333336E-2</v>
      </c>
      <c r="G246" s="116">
        <v>7278965517.2413788</v>
      </c>
      <c r="H246" s="116">
        <v>21005394000</v>
      </c>
      <c r="I246" s="114">
        <v>0.3465283972888763</v>
      </c>
      <c r="J246" s="116">
        <v>23.679802955665021</v>
      </c>
    </row>
    <row r="247" spans="1:11">
      <c r="A247" s="55">
        <v>2312</v>
      </c>
      <c r="B247" s="114">
        <v>0.11</v>
      </c>
      <c r="C247" s="122">
        <v>3.6486486486486489E-2</v>
      </c>
      <c r="D247" s="116">
        <v>1445454545.4545455</v>
      </c>
      <c r="E247" s="241">
        <v>7.0000000000000007E-2</v>
      </c>
      <c r="F247" s="122">
        <v>-6.0875000000000005E-2</v>
      </c>
      <c r="G247" s="116">
        <v>14252181818.181818</v>
      </c>
      <c r="H247" s="116">
        <v>41121531000</v>
      </c>
      <c r="I247" s="114">
        <v>0.34658684809623985</v>
      </c>
      <c r="J247" s="116">
        <v>50</v>
      </c>
      <c r="K247" s="26"/>
    </row>
    <row r="248" spans="1:11">
      <c r="A248" s="55">
        <v>3706</v>
      </c>
      <c r="B248" s="45">
        <v>0.64</v>
      </c>
      <c r="C248" s="123">
        <v>0.1492094861660079</v>
      </c>
      <c r="D248" s="121">
        <v>767187500</v>
      </c>
      <c r="E248" s="241">
        <v>0.14000000000000001</v>
      </c>
      <c r="F248" s="123">
        <v>-9.6666666666666689E-3</v>
      </c>
      <c r="G248" s="46">
        <v>17415156250</v>
      </c>
      <c r="H248" s="46">
        <v>50054765000</v>
      </c>
      <c r="I248" s="56">
        <v>0.34792204598303478</v>
      </c>
      <c r="J248" s="125">
        <v>50</v>
      </c>
    </row>
    <row r="249" spans="1:11">
      <c r="A249" s="55">
        <v>5480</v>
      </c>
      <c r="B249" s="45">
        <v>0.28999999999999998</v>
      </c>
      <c r="C249" s="123">
        <v>0.68421052631578949</v>
      </c>
      <c r="D249" s="121">
        <v>200000000</v>
      </c>
      <c r="E249" s="241">
        <v>0.11</v>
      </c>
      <c r="F249" s="123">
        <v>-1.4999999999999679E-4</v>
      </c>
      <c r="G249" s="46">
        <v>2110000000.0000002</v>
      </c>
      <c r="H249" s="46">
        <v>6063493000</v>
      </c>
      <c r="I249" s="56">
        <v>0.34798423944746043</v>
      </c>
      <c r="J249" s="125">
        <v>13.292440318302388</v>
      </c>
    </row>
    <row r="250" spans="1:11">
      <c r="A250" s="55">
        <v>1735</v>
      </c>
      <c r="B250" s="114">
        <v>0.28999999999999998</v>
      </c>
      <c r="C250" s="122">
        <v>0.92307692307692313</v>
      </c>
      <c r="D250" s="116">
        <v>100000000</v>
      </c>
      <c r="E250" s="241">
        <v>0.19</v>
      </c>
      <c r="F250" s="122">
        <v>1.0700000000000001E-2</v>
      </c>
      <c r="G250" s="116">
        <v>1170000000</v>
      </c>
      <c r="H250" s="116">
        <v>3361188000</v>
      </c>
      <c r="I250" s="114">
        <v>0.348091210607678</v>
      </c>
      <c r="J250" s="116">
        <v>10.926724137931034</v>
      </c>
    </row>
    <row r="251" spans="1:11">
      <c r="A251" s="55">
        <v>6456</v>
      </c>
      <c r="B251" s="45">
        <v>3.11</v>
      </c>
      <c r="C251" s="123">
        <v>1</v>
      </c>
      <c r="D251" s="121">
        <v>307395498.39228296</v>
      </c>
      <c r="E251" s="241">
        <v>0.1</v>
      </c>
      <c r="F251" s="123">
        <v>4.2083333333333512E-3</v>
      </c>
      <c r="G251" s="46">
        <v>27481157556.2701</v>
      </c>
      <c r="H251" s="46">
        <v>78447878000</v>
      </c>
      <c r="I251" s="56">
        <v>0.35031103781124712</v>
      </c>
      <c r="J251" s="125">
        <v>7.186495176848875</v>
      </c>
    </row>
    <row r="252" spans="1:11">
      <c r="A252" s="55">
        <v>3037</v>
      </c>
      <c r="B252" s="114">
        <v>0.1</v>
      </c>
      <c r="C252" s="122">
        <v>0</v>
      </c>
      <c r="D252" s="116">
        <v>1580000000</v>
      </c>
      <c r="E252" s="241">
        <v>0.1</v>
      </c>
      <c r="F252" s="122">
        <v>1.0699999999999999E-2</v>
      </c>
      <c r="G252" s="116">
        <v>22673000000</v>
      </c>
      <c r="H252" s="116">
        <v>64649845000</v>
      </c>
      <c r="I252" s="114">
        <v>0.35070463045967087</v>
      </c>
      <c r="J252" s="116">
        <v>0</v>
      </c>
    </row>
    <row r="253" spans="1:11">
      <c r="A253" s="55">
        <v>9962</v>
      </c>
      <c r="B253" s="45">
        <v>-0.23</v>
      </c>
      <c r="C253" s="123">
        <v>1</v>
      </c>
      <c r="D253" s="121">
        <v>91304347.826086953</v>
      </c>
      <c r="E253" s="241">
        <v>-0.03</v>
      </c>
      <c r="F253" s="123">
        <v>-3.7074999999999997E-2</v>
      </c>
      <c r="G253" s="46">
        <v>678391304.347826</v>
      </c>
      <c r="H253" s="46">
        <v>1928586000</v>
      </c>
      <c r="I253" s="56">
        <v>0.3517557963958185</v>
      </c>
      <c r="J253" s="125">
        <v>0</v>
      </c>
    </row>
    <row r="254" spans="1:11">
      <c r="A254" s="55">
        <v>4513</v>
      </c>
      <c r="B254" s="45">
        <v>2.0499999999999998</v>
      </c>
      <c r="C254" s="123">
        <v>3.8461538461538464E-2</v>
      </c>
      <c r="D254" s="121">
        <v>76585365.853658542</v>
      </c>
      <c r="E254" s="241">
        <v>0.28999999999999998</v>
      </c>
      <c r="F254" s="123">
        <v>6.5708333333333327E-2</v>
      </c>
      <c r="G254" s="46">
        <v>765853658.53658545</v>
      </c>
      <c r="H254" s="46">
        <v>2169514000</v>
      </c>
      <c r="I254" s="56">
        <v>0.35300701379967375</v>
      </c>
      <c r="J254" s="125">
        <v>31.707317073170731</v>
      </c>
    </row>
    <row r="255" spans="1:11">
      <c r="A255" s="55">
        <v>5013</v>
      </c>
      <c r="B255" s="45">
        <v>0.47</v>
      </c>
      <c r="C255" s="123">
        <v>1</v>
      </c>
      <c r="D255" s="121">
        <v>110638297.87234043</v>
      </c>
      <c r="E255" s="241">
        <v>0.12</v>
      </c>
      <c r="F255" s="123">
        <v>2.3008333333333335E-2</v>
      </c>
      <c r="G255" s="46">
        <v>1847659574.4680851</v>
      </c>
      <c r="H255" s="46">
        <v>5217426000</v>
      </c>
      <c r="I255" s="56">
        <v>0.35413239679261094</v>
      </c>
      <c r="J255" s="125">
        <v>8.8829787234042552</v>
      </c>
    </row>
    <row r="256" spans="1:11">
      <c r="A256" s="55">
        <v>1215</v>
      </c>
      <c r="B256" s="114">
        <v>0.72</v>
      </c>
      <c r="C256" s="122">
        <v>0.94557823129251706</v>
      </c>
      <c r="D256" s="116">
        <v>266666666.66666669</v>
      </c>
      <c r="E256" s="241">
        <v>0.13</v>
      </c>
      <c r="F256" s="122">
        <v>-4.5916666666666666E-3</v>
      </c>
      <c r="G256" s="116">
        <v>5920000000</v>
      </c>
      <c r="H256" s="116">
        <v>16553896000</v>
      </c>
      <c r="I256" s="114">
        <v>0.35761974099631894</v>
      </c>
      <c r="J256" s="116">
        <v>8.1519784172661858</v>
      </c>
    </row>
    <row r="257" spans="1:10">
      <c r="A257" s="55">
        <v>8933</v>
      </c>
      <c r="B257" s="45">
        <v>0.8</v>
      </c>
      <c r="C257" s="123">
        <v>0.44736842105263158</v>
      </c>
      <c r="D257" s="121">
        <v>148750000</v>
      </c>
      <c r="E257" s="241">
        <v>0.13</v>
      </c>
      <c r="F257" s="123">
        <v>2.6724999999999999E-2</v>
      </c>
      <c r="G257" s="46">
        <v>2186625000</v>
      </c>
      <c r="H257" s="46">
        <v>6103543000</v>
      </c>
      <c r="I257" s="56">
        <v>0.35825503318318558</v>
      </c>
      <c r="J257" s="125">
        <v>10.268382352941176</v>
      </c>
    </row>
    <row r="258" spans="1:10">
      <c r="A258" s="55">
        <v>4725</v>
      </c>
      <c r="B258" s="45">
        <v>-1.35</v>
      </c>
      <c r="C258" s="123">
        <v>0.84305555555555556</v>
      </c>
      <c r="D258" s="121">
        <v>291851851.85185182</v>
      </c>
      <c r="E258" s="241">
        <v>-0.1</v>
      </c>
      <c r="F258" s="123">
        <v>-1.3283333333333336E-2</v>
      </c>
      <c r="G258" s="46">
        <v>4261037037.0370364</v>
      </c>
      <c r="H258" s="46">
        <v>11809540000</v>
      </c>
      <c r="I258" s="56">
        <v>0.36081312540852872</v>
      </c>
      <c r="J258" s="125">
        <v>0</v>
      </c>
    </row>
    <row r="259" spans="1:10">
      <c r="A259" s="55">
        <v>3260</v>
      </c>
      <c r="B259" s="114">
        <v>0.33</v>
      </c>
      <c r="C259" s="122">
        <v>1</v>
      </c>
      <c r="D259" s="116">
        <v>218181818.18181816</v>
      </c>
      <c r="E259" s="241">
        <v>0.08</v>
      </c>
      <c r="F259" s="122">
        <v>-4.2166666666666715E-3</v>
      </c>
      <c r="G259" s="116">
        <v>7309090909.0909081</v>
      </c>
      <c r="H259" s="116">
        <v>20192141000</v>
      </c>
      <c r="I259" s="114">
        <v>0.36197701418046296</v>
      </c>
      <c r="J259" s="116">
        <v>25.378787878787879</v>
      </c>
    </row>
    <row r="260" spans="1:10">
      <c r="A260" s="55">
        <v>2010</v>
      </c>
      <c r="B260" s="114">
        <v>0.11</v>
      </c>
      <c r="C260" s="122">
        <v>0.45402298850574713</v>
      </c>
      <c r="D260" s="116">
        <v>663636363.63636363</v>
      </c>
      <c r="E260" s="241">
        <v>0.06</v>
      </c>
      <c r="F260" s="122">
        <v>4.8750000000000026E-3</v>
      </c>
      <c r="G260" s="116">
        <v>5972727272.727273</v>
      </c>
      <c r="H260" s="116">
        <v>16477036000</v>
      </c>
      <c r="I260" s="114">
        <v>0.3624879664478049</v>
      </c>
      <c r="J260" s="116">
        <v>45.051783659378593</v>
      </c>
    </row>
    <row r="261" spans="1:10">
      <c r="A261" s="55">
        <v>3162</v>
      </c>
      <c r="B261" s="114">
        <v>0.11</v>
      </c>
      <c r="C261" s="122">
        <v>0.75</v>
      </c>
      <c r="D261" s="116">
        <v>54545454.545454547</v>
      </c>
      <c r="E261" s="241">
        <v>0.18</v>
      </c>
      <c r="F261" s="122">
        <v>3.2083333333333343E-3</v>
      </c>
      <c r="G261" s="116">
        <v>285272727.27272731</v>
      </c>
      <c r="H261" s="116">
        <v>785117000</v>
      </c>
      <c r="I261" s="114">
        <v>0.36335059267946984</v>
      </c>
      <c r="J261" s="116">
        <v>15.84848484848485</v>
      </c>
    </row>
    <row r="262" spans="1:10">
      <c r="A262" s="55">
        <v>3609</v>
      </c>
      <c r="B262" s="114">
        <v>-0.08</v>
      </c>
      <c r="C262" s="122">
        <v>1</v>
      </c>
      <c r="D262" s="116">
        <v>25000000</v>
      </c>
      <c r="E262" s="241">
        <v>0.26</v>
      </c>
      <c r="F262" s="122">
        <v>-4.7916666666666637E-3</v>
      </c>
      <c r="G262" s="116">
        <v>287500000</v>
      </c>
      <c r="H262" s="116">
        <v>790153000</v>
      </c>
      <c r="I262" s="114">
        <v>0.36385358278713109</v>
      </c>
      <c r="J262" s="116">
        <v>0</v>
      </c>
    </row>
    <row r="263" spans="1:10">
      <c r="A263" s="55">
        <v>1455</v>
      </c>
      <c r="B263" s="114">
        <v>-0.15</v>
      </c>
      <c r="C263" s="122">
        <v>0.10674157303370786</v>
      </c>
      <c r="D263" s="116">
        <v>613333333.33333337</v>
      </c>
      <c r="E263" s="241">
        <v>-0.02</v>
      </c>
      <c r="F263" s="122">
        <v>-1.8558333333333333E-2</v>
      </c>
      <c r="G263" s="116">
        <v>5464800000</v>
      </c>
      <c r="H263" s="116">
        <v>14990728000</v>
      </c>
      <c r="I263" s="114">
        <v>0.3645453376246971</v>
      </c>
      <c r="J263" s="116">
        <v>0</v>
      </c>
    </row>
    <row r="264" spans="1:10">
      <c r="A264" s="55">
        <v>2364</v>
      </c>
      <c r="B264" s="114">
        <v>-0.2</v>
      </c>
      <c r="C264" s="122">
        <v>1</v>
      </c>
      <c r="D264" s="116">
        <v>185000000</v>
      </c>
      <c r="E264" s="241">
        <v>0.14000000000000001</v>
      </c>
      <c r="F264" s="122">
        <v>3.2716666666666665E-2</v>
      </c>
      <c r="G264" s="116">
        <v>301550000</v>
      </c>
      <c r="H264" s="116">
        <v>826762000</v>
      </c>
      <c r="I264" s="114">
        <v>0.36473616349082322</v>
      </c>
      <c r="J264" s="116">
        <v>0</v>
      </c>
    </row>
    <row r="265" spans="1:10">
      <c r="A265" s="55">
        <v>1569</v>
      </c>
      <c r="B265" s="114">
        <v>-1.01</v>
      </c>
      <c r="C265" s="122">
        <v>0.83805668016194335</v>
      </c>
      <c r="D265" s="116">
        <v>94059405.940594062</v>
      </c>
      <c r="E265" s="241">
        <v>0</v>
      </c>
      <c r="F265" s="122">
        <v>-8.4166666666666884E-4</v>
      </c>
      <c r="G265" s="116">
        <v>862524752.4752475</v>
      </c>
      <c r="H265" s="116">
        <v>2346466000</v>
      </c>
      <c r="I265" s="114">
        <v>0.3675845942260606</v>
      </c>
      <c r="J265" s="116">
        <v>0</v>
      </c>
    </row>
    <row r="266" spans="1:10">
      <c r="A266" s="55">
        <v>5484</v>
      </c>
      <c r="B266" s="45">
        <v>-0.25</v>
      </c>
      <c r="C266" s="123">
        <v>1</v>
      </c>
      <c r="D266" s="121">
        <v>116000000</v>
      </c>
      <c r="E266" s="241">
        <v>0.21</v>
      </c>
      <c r="F266" s="123">
        <v>-3.6249999999999984E-3</v>
      </c>
      <c r="G266" s="46">
        <v>430360000</v>
      </c>
      <c r="H266" s="46">
        <v>1168054000</v>
      </c>
      <c r="I266" s="56">
        <v>0.36844186998203848</v>
      </c>
      <c r="J266" s="125">
        <v>0</v>
      </c>
    </row>
    <row r="267" spans="1:10">
      <c r="A267" s="55">
        <v>3402</v>
      </c>
      <c r="B267" s="114">
        <v>0.24</v>
      </c>
      <c r="C267" s="122">
        <v>1</v>
      </c>
      <c r="D267" s="116">
        <v>70833333.333333343</v>
      </c>
      <c r="E267" s="241">
        <v>0.14000000000000001</v>
      </c>
      <c r="F267" s="122">
        <v>3.2799999999999996E-2</v>
      </c>
      <c r="G267" s="116">
        <v>924375000.00000024</v>
      </c>
      <c r="H267" s="116">
        <v>2501355000</v>
      </c>
      <c r="I267" s="114">
        <v>0.36954970406039939</v>
      </c>
      <c r="J267" s="116">
        <v>13.593750000000002</v>
      </c>
    </row>
    <row r="268" spans="1:10">
      <c r="A268" s="55">
        <v>8067</v>
      </c>
      <c r="B268" s="45">
        <v>0.05</v>
      </c>
      <c r="C268" s="123">
        <v>1</v>
      </c>
      <c r="D268" s="121">
        <v>40000000</v>
      </c>
      <c r="E268" s="241">
        <v>0.2</v>
      </c>
      <c r="F268" s="123">
        <v>-2.6349999999999998E-2</v>
      </c>
      <c r="G268" s="46">
        <v>184000000</v>
      </c>
      <c r="H268" s="46">
        <v>497117000</v>
      </c>
      <c r="I268" s="56">
        <v>0.37013419376122725</v>
      </c>
      <c r="J268" s="125">
        <v>22.999999999999996</v>
      </c>
    </row>
    <row r="269" spans="1:10">
      <c r="A269" s="55">
        <v>2486</v>
      </c>
      <c r="B269" s="114">
        <v>-0.02</v>
      </c>
      <c r="C269" s="122">
        <v>1</v>
      </c>
      <c r="D269" s="116">
        <v>250000000</v>
      </c>
      <c r="E269" s="241">
        <v>0.05</v>
      </c>
      <c r="F269" s="122">
        <v>-5.6083333333333358E-3</v>
      </c>
      <c r="G269" s="116">
        <v>2347500000</v>
      </c>
      <c r="H269" s="116">
        <v>6338304000</v>
      </c>
      <c r="I269" s="114">
        <v>0.37036721495213859</v>
      </c>
      <c r="J269" s="116">
        <v>0</v>
      </c>
    </row>
    <row r="270" spans="1:10">
      <c r="A270" s="55">
        <v>3230</v>
      </c>
      <c r="B270" s="114">
        <v>-0.42</v>
      </c>
      <c r="C270" s="122">
        <v>1</v>
      </c>
      <c r="D270" s="116">
        <v>107142857.14285715</v>
      </c>
      <c r="E270" s="241">
        <v>0.05</v>
      </c>
      <c r="F270" s="122">
        <v>7.6916666666666635E-3</v>
      </c>
      <c r="G270" s="116">
        <v>609642857.14285719</v>
      </c>
      <c r="H270" s="116">
        <v>1640287000</v>
      </c>
      <c r="I270" s="114">
        <v>0.37166840750603841</v>
      </c>
      <c r="J270" s="116">
        <v>0</v>
      </c>
    </row>
    <row r="271" spans="1:10">
      <c r="A271" s="55">
        <v>2007</v>
      </c>
      <c r="B271" s="114">
        <v>-0.24</v>
      </c>
      <c r="C271" s="122">
        <v>0.54225352112676062</v>
      </c>
      <c r="D271" s="116">
        <v>620833333.33333337</v>
      </c>
      <c r="E271" s="241">
        <v>-0.01</v>
      </c>
      <c r="F271" s="122">
        <v>1.1941666666666668E-2</v>
      </c>
      <c r="G271" s="116">
        <v>2799958333.3333335</v>
      </c>
      <c r="H271" s="116">
        <v>7504159000</v>
      </c>
      <c r="I271" s="114">
        <v>0.37312086981810133</v>
      </c>
      <c r="J271" s="116">
        <v>0</v>
      </c>
    </row>
    <row r="272" spans="1:10">
      <c r="A272" s="55">
        <v>1413</v>
      </c>
      <c r="B272" s="114">
        <v>-0.28000000000000003</v>
      </c>
      <c r="C272" s="122">
        <v>0</v>
      </c>
      <c r="D272" s="116">
        <v>132142857.14285713</v>
      </c>
      <c r="E272" s="241">
        <v>-7.0000000000000007E-2</v>
      </c>
      <c r="F272" s="122">
        <v>5.9666666666666661E-3</v>
      </c>
      <c r="G272" s="116">
        <v>951428571.42857134</v>
      </c>
      <c r="H272" s="116">
        <v>2527465000</v>
      </c>
      <c r="I272" s="114">
        <v>0.37643590373301761</v>
      </c>
      <c r="J272" s="116">
        <v>0</v>
      </c>
    </row>
    <row r="273" spans="1:10">
      <c r="A273" s="55">
        <v>8213</v>
      </c>
      <c r="B273" s="45">
        <v>1.1000000000000001</v>
      </c>
      <c r="C273" s="123">
        <v>0.86817325800376643</v>
      </c>
      <c r="D273" s="121">
        <v>270909090.90909088</v>
      </c>
      <c r="E273" s="241">
        <v>0.16</v>
      </c>
      <c r="F273" s="123">
        <v>8.550000000000002E-3</v>
      </c>
      <c r="G273" s="46">
        <v>8533636363.636363</v>
      </c>
      <c r="H273" s="46">
        <v>22628232000</v>
      </c>
      <c r="I273" s="56">
        <v>0.37712342544642297</v>
      </c>
      <c r="J273" s="125">
        <v>8.2461546046144747</v>
      </c>
    </row>
    <row r="274" spans="1:10">
      <c r="A274" s="55">
        <v>3029</v>
      </c>
      <c r="B274" s="114">
        <v>0.5</v>
      </c>
      <c r="C274" s="122">
        <v>0.93617021276595747</v>
      </c>
      <c r="D274" s="116">
        <v>120000000</v>
      </c>
      <c r="E274" s="241">
        <v>0.1</v>
      </c>
      <c r="F274" s="122">
        <v>4.8191666666666667E-2</v>
      </c>
      <c r="G274" s="116">
        <v>2046000000</v>
      </c>
      <c r="H274" s="116">
        <v>5413022000</v>
      </c>
      <c r="I274" s="114">
        <v>0.37797740338021901</v>
      </c>
      <c r="J274" s="116">
        <v>9.1062500000000011</v>
      </c>
    </row>
    <row r="275" spans="1:10">
      <c r="A275" s="55">
        <v>9950</v>
      </c>
      <c r="B275" s="45">
        <v>0.49</v>
      </c>
      <c r="C275" s="123">
        <v>0.62790697674418605</v>
      </c>
      <c r="D275" s="121">
        <v>65306122.448979594</v>
      </c>
      <c r="E275" s="241">
        <v>0.17</v>
      </c>
      <c r="F275" s="123">
        <v>4.4341666666666668E-2</v>
      </c>
      <c r="G275" s="46">
        <v>1293061224.4897959</v>
      </c>
      <c r="H275" s="46">
        <v>3419126000</v>
      </c>
      <c r="I275" s="56">
        <v>0.37818472454358099</v>
      </c>
      <c r="J275" s="125">
        <v>16.088435374149661</v>
      </c>
    </row>
    <row r="276" spans="1:10">
      <c r="A276" s="55">
        <v>2601</v>
      </c>
      <c r="B276" s="114">
        <v>-3.22</v>
      </c>
      <c r="C276" s="122">
        <v>0</v>
      </c>
      <c r="D276" s="116">
        <v>370496894.40993786</v>
      </c>
      <c r="E276" s="241">
        <v>0.74</v>
      </c>
      <c r="F276" s="122">
        <v>-9.116666666666667E-3</v>
      </c>
      <c r="G276" s="116">
        <v>3264077639.7515526</v>
      </c>
      <c r="H276" s="116">
        <v>8620827000</v>
      </c>
      <c r="I276" s="114">
        <v>0.37862697392623151</v>
      </c>
      <c r="J276" s="116">
        <v>0</v>
      </c>
    </row>
    <row r="277" spans="1:10">
      <c r="A277" s="55">
        <v>3596</v>
      </c>
      <c r="B277" s="114">
        <v>1.42</v>
      </c>
      <c r="C277" s="122">
        <v>0.25776397515527949</v>
      </c>
      <c r="D277" s="116">
        <v>188732394.3661972</v>
      </c>
      <c r="E277" s="241">
        <v>0.12</v>
      </c>
      <c r="F277" s="122">
        <v>1.3158333333333336E-2</v>
      </c>
      <c r="G277" s="116">
        <v>7596478873.2394371</v>
      </c>
      <c r="H277" s="116">
        <v>19963919000</v>
      </c>
      <c r="I277" s="114">
        <v>0.38051040345532544</v>
      </c>
      <c r="J277" s="116">
        <v>27.491303241133551</v>
      </c>
    </row>
    <row r="278" spans="1:10">
      <c r="A278" s="55">
        <v>6123</v>
      </c>
      <c r="B278" s="45">
        <v>0.92</v>
      </c>
      <c r="C278" s="123">
        <v>0.90277777777777779</v>
      </c>
      <c r="D278" s="121">
        <v>53260869.565217391</v>
      </c>
      <c r="E278" s="241">
        <v>0.23</v>
      </c>
      <c r="F278" s="123">
        <v>2.3224999999999999E-2</v>
      </c>
      <c r="G278" s="46">
        <v>1432717391.3043478</v>
      </c>
      <c r="H278" s="46">
        <v>3758283000</v>
      </c>
      <c r="I278" s="56">
        <v>0.38121594124347413</v>
      </c>
      <c r="J278" s="125">
        <v>8.0969899665551832</v>
      </c>
    </row>
    <row r="279" spans="1:10">
      <c r="A279" s="55">
        <v>3092</v>
      </c>
      <c r="B279" s="114">
        <v>0.69</v>
      </c>
      <c r="C279" s="122">
        <v>1</v>
      </c>
      <c r="D279" s="116">
        <v>63768115.942028992</v>
      </c>
      <c r="E279" s="241">
        <v>0.2</v>
      </c>
      <c r="F279" s="122">
        <v>1.2500000000000033E-3</v>
      </c>
      <c r="G279" s="116">
        <v>876811594.20289862</v>
      </c>
      <c r="H279" s="116">
        <v>2293190000</v>
      </c>
      <c r="I279" s="114">
        <v>0.38235453416546322</v>
      </c>
      <c r="J279" s="116">
        <v>4.9818840579710146</v>
      </c>
    </row>
    <row r="280" spans="1:10">
      <c r="A280" s="55">
        <v>3236</v>
      </c>
      <c r="B280" s="114">
        <v>0.73</v>
      </c>
      <c r="C280" s="122">
        <v>0</v>
      </c>
      <c r="D280" s="116">
        <v>60273972.602739729</v>
      </c>
      <c r="E280" s="241">
        <v>0.15</v>
      </c>
      <c r="F280" s="122">
        <v>2.0316666666666667E-2</v>
      </c>
      <c r="G280" s="116">
        <v>717260273.97260284</v>
      </c>
      <c r="H280" s="116">
        <v>1868057000</v>
      </c>
      <c r="I280" s="114">
        <v>0.38396059326487514</v>
      </c>
      <c r="J280" s="116">
        <v>0</v>
      </c>
    </row>
    <row r="281" spans="1:10">
      <c r="A281" s="55">
        <v>1447</v>
      </c>
      <c r="B281" s="114">
        <v>7.0000000000000007E-2</v>
      </c>
      <c r="C281" s="122">
        <v>0</v>
      </c>
      <c r="D281" s="116">
        <v>814285714.28571415</v>
      </c>
      <c r="E281" s="241">
        <v>-0.04</v>
      </c>
      <c r="F281" s="122">
        <v>-2.0775000000000005E-2</v>
      </c>
      <c r="G281" s="116">
        <v>6424714285.7142839</v>
      </c>
      <c r="H281" s="116">
        <v>16682090000</v>
      </c>
      <c r="I281" s="114">
        <v>0.3851264611157405</v>
      </c>
      <c r="J281" s="116">
        <v>0</v>
      </c>
    </row>
    <row r="282" spans="1:10">
      <c r="A282" s="55">
        <v>2906</v>
      </c>
      <c r="B282" s="114">
        <v>-0.1</v>
      </c>
      <c r="C282" s="122">
        <v>0.53846153846153844</v>
      </c>
      <c r="D282" s="116">
        <v>200000000</v>
      </c>
      <c r="E282" s="241">
        <v>0.18</v>
      </c>
      <c r="F282" s="122">
        <v>5.000000000000001E-3</v>
      </c>
      <c r="G282" s="116">
        <v>2280000000</v>
      </c>
      <c r="H282" s="116">
        <v>5906208000</v>
      </c>
      <c r="I282" s="114">
        <v>0.38603449116590544</v>
      </c>
      <c r="J282" s="116">
        <v>0</v>
      </c>
    </row>
    <row r="283" spans="1:10">
      <c r="A283" s="55">
        <v>8932</v>
      </c>
      <c r="B283" s="45">
        <v>0.33</v>
      </c>
      <c r="C283" s="123">
        <v>1</v>
      </c>
      <c r="D283" s="121">
        <v>48484848.484848484</v>
      </c>
      <c r="E283" s="241">
        <v>0.17</v>
      </c>
      <c r="F283" s="123">
        <v>7.3283333333333325E-2</v>
      </c>
      <c r="G283" s="46">
        <v>460606060.60606062</v>
      </c>
      <c r="H283" s="46">
        <v>1189915000</v>
      </c>
      <c r="I283" s="56">
        <v>0.38709156587324356</v>
      </c>
      <c r="J283" s="125">
        <v>7.1969696969696964</v>
      </c>
    </row>
    <row r="284" spans="1:10">
      <c r="A284" s="55">
        <v>3011</v>
      </c>
      <c r="B284" s="114">
        <v>-0.33</v>
      </c>
      <c r="C284" s="122">
        <v>1</v>
      </c>
      <c r="D284" s="116">
        <v>115151515.15151514</v>
      </c>
      <c r="E284" s="241">
        <v>0.03</v>
      </c>
      <c r="F284" s="122">
        <v>1.8808333333333333E-2</v>
      </c>
      <c r="G284" s="116">
        <v>814121212.12121212</v>
      </c>
      <c r="H284" s="116">
        <v>2097950000</v>
      </c>
      <c r="I284" s="114">
        <v>0.38805558384194672</v>
      </c>
      <c r="J284" s="116">
        <v>0</v>
      </c>
    </row>
    <row r="285" spans="1:10">
      <c r="A285" s="55">
        <v>3017</v>
      </c>
      <c r="B285" s="114">
        <v>0.62</v>
      </c>
      <c r="C285" s="122">
        <v>0.77628032345013476</v>
      </c>
      <c r="D285" s="116">
        <v>353225806.45161289</v>
      </c>
      <c r="E285" s="241">
        <v>0.13</v>
      </c>
      <c r="F285" s="122">
        <v>5.7500000000000008E-3</v>
      </c>
      <c r="G285" s="116">
        <v>9978629032.2580643</v>
      </c>
      <c r="H285" s="116">
        <v>25674559000</v>
      </c>
      <c r="I285" s="114">
        <v>0.38865824461709603</v>
      </c>
      <c r="J285" s="116">
        <v>14.673989135304661</v>
      </c>
    </row>
    <row r="286" spans="1:10">
      <c r="A286" s="55">
        <v>2301</v>
      </c>
      <c r="B286" s="114">
        <v>0.71</v>
      </c>
      <c r="C286" s="122">
        <v>0.86449511400651469</v>
      </c>
      <c r="D286" s="116">
        <v>2308450704.2253523</v>
      </c>
      <c r="E286" s="241">
        <v>0.13</v>
      </c>
      <c r="F286" s="122">
        <v>1.0500000000000012E-3</v>
      </c>
      <c r="G286" s="116">
        <v>84373873239.436615</v>
      </c>
      <c r="H286" s="116">
        <v>216795078000</v>
      </c>
      <c r="I286" s="114">
        <v>0.38918721779945858</v>
      </c>
      <c r="J286" s="116">
        <v>14.886976341849136</v>
      </c>
    </row>
    <row r="287" spans="1:10">
      <c r="A287" s="55">
        <v>4141</v>
      </c>
      <c r="B287" s="45">
        <v>-1.98</v>
      </c>
      <c r="C287" s="123">
        <v>0</v>
      </c>
      <c r="D287" s="121">
        <v>152020202.02020201</v>
      </c>
      <c r="E287" s="241">
        <v>0.43</v>
      </c>
      <c r="F287" s="123">
        <v>0.16027499999999997</v>
      </c>
      <c r="G287" s="46">
        <v>4286969696.9696965</v>
      </c>
      <c r="H287" s="46">
        <v>10989701000</v>
      </c>
      <c r="I287" s="56">
        <v>0.39008974829885695</v>
      </c>
      <c r="J287" s="125">
        <v>0</v>
      </c>
    </row>
    <row r="288" spans="1:10">
      <c r="A288" s="55">
        <v>8070</v>
      </c>
      <c r="B288" s="45">
        <v>0.68</v>
      </c>
      <c r="C288" s="123">
        <v>0</v>
      </c>
      <c r="D288" s="121">
        <v>76470588.235294119</v>
      </c>
      <c r="E288" s="241">
        <v>0.1</v>
      </c>
      <c r="F288" s="123">
        <v>-1.5775000000000001E-2</v>
      </c>
      <c r="G288" s="46">
        <v>5895882352.9411764</v>
      </c>
      <c r="H288" s="46">
        <v>15098034000</v>
      </c>
      <c r="I288" s="56">
        <v>0.39050662840878331</v>
      </c>
      <c r="J288" s="125">
        <v>0</v>
      </c>
    </row>
    <row r="289" spans="1:10">
      <c r="A289" s="55">
        <v>2034</v>
      </c>
      <c r="B289" s="114">
        <v>0.56000000000000005</v>
      </c>
      <c r="C289" s="122">
        <v>0.7192982456140351</v>
      </c>
      <c r="D289" s="116">
        <v>369642857.14285713</v>
      </c>
      <c r="E289" s="241">
        <v>7.0000000000000007E-2</v>
      </c>
      <c r="F289" s="122">
        <v>-1.9916666666666672E-3</v>
      </c>
      <c r="G289" s="116">
        <v>7226517857.1428576</v>
      </c>
      <c r="H289" s="116">
        <v>18374720000</v>
      </c>
      <c r="I289" s="114">
        <v>0.39328587630956324</v>
      </c>
      <c r="J289" s="116">
        <v>12.133601916376307</v>
      </c>
    </row>
    <row r="290" spans="1:10">
      <c r="A290" s="55">
        <v>1715</v>
      </c>
      <c r="B290" s="114">
        <v>0.31</v>
      </c>
      <c r="C290" s="122">
        <v>0.60377358490566035</v>
      </c>
      <c r="D290" s="116">
        <v>409677419.35483873</v>
      </c>
      <c r="E290" s="241">
        <v>0.09</v>
      </c>
      <c r="F290" s="122">
        <v>-1.616666666666669E-3</v>
      </c>
      <c r="G290" s="116">
        <v>4424516129.032259</v>
      </c>
      <c r="H290" s="116">
        <v>11229877000</v>
      </c>
      <c r="I290" s="114">
        <v>0.3939950659328022</v>
      </c>
      <c r="J290" s="116">
        <v>14.425403225806452</v>
      </c>
    </row>
    <row r="291" spans="1:10">
      <c r="A291" s="55">
        <v>6122</v>
      </c>
      <c r="B291" s="45">
        <v>-0.21</v>
      </c>
      <c r="C291" s="123">
        <v>1</v>
      </c>
      <c r="D291" s="121">
        <v>66666666.666666672</v>
      </c>
      <c r="E291" s="241">
        <v>0</v>
      </c>
      <c r="F291" s="123">
        <v>0.12111666666666666</v>
      </c>
      <c r="G291" s="46">
        <v>420000000</v>
      </c>
      <c r="H291" s="46">
        <v>1061483000</v>
      </c>
      <c r="I291" s="56">
        <v>0.39567284638566985</v>
      </c>
      <c r="J291" s="125">
        <v>0</v>
      </c>
    </row>
    <row r="292" spans="1:10">
      <c r="A292" s="55">
        <v>3707</v>
      </c>
      <c r="B292" s="45">
        <v>-0.92</v>
      </c>
      <c r="C292" s="123">
        <v>1</v>
      </c>
      <c r="D292" s="121">
        <v>161956521.73913044</v>
      </c>
      <c r="E292" s="241">
        <v>-0.08</v>
      </c>
      <c r="F292" s="123">
        <v>-6.133333333333337E-3</v>
      </c>
      <c r="G292" s="46">
        <v>1266500000</v>
      </c>
      <c r="H292" s="46">
        <v>3192025000</v>
      </c>
      <c r="I292" s="56">
        <v>0.39677007542234161</v>
      </c>
      <c r="J292" s="125">
        <v>0</v>
      </c>
    </row>
    <row r="293" spans="1:10">
      <c r="A293" s="55">
        <v>2614</v>
      </c>
      <c r="B293" s="114">
        <v>-0.42</v>
      </c>
      <c r="C293" s="122">
        <v>1</v>
      </c>
      <c r="D293" s="116">
        <v>690476190.47619045</v>
      </c>
      <c r="E293" s="241">
        <v>0.19</v>
      </c>
      <c r="F293" s="122">
        <v>-7.5583333333333336E-3</v>
      </c>
      <c r="G293" s="116">
        <v>4522619047.6190472</v>
      </c>
      <c r="H293" s="116">
        <v>11369529000</v>
      </c>
      <c r="I293" s="114">
        <v>0.39778420439571832</v>
      </c>
      <c r="J293" s="116">
        <v>0</v>
      </c>
    </row>
    <row r="294" spans="1:10">
      <c r="A294" s="55">
        <v>4121</v>
      </c>
      <c r="B294" s="45">
        <v>0.14000000000000001</v>
      </c>
      <c r="C294" s="123">
        <v>0</v>
      </c>
      <c r="D294" s="121">
        <v>78571428.571428567</v>
      </c>
      <c r="E294" s="241">
        <v>0.28000000000000003</v>
      </c>
      <c r="F294" s="123">
        <v>-4.2583333333333327E-3</v>
      </c>
      <c r="G294" s="46">
        <v>1355357142.8571427</v>
      </c>
      <c r="H294" s="46">
        <v>3406228000</v>
      </c>
      <c r="I294" s="56">
        <v>0.3979055843757795</v>
      </c>
      <c r="J294" s="125">
        <v>0</v>
      </c>
    </row>
    <row r="295" spans="1:10">
      <c r="A295" s="55">
        <v>6213</v>
      </c>
      <c r="B295" s="45">
        <v>0.56999999999999995</v>
      </c>
      <c r="C295" s="123">
        <v>1</v>
      </c>
      <c r="D295" s="121">
        <v>315789473.68421054</v>
      </c>
      <c r="E295" s="241">
        <v>0.13</v>
      </c>
      <c r="F295" s="123">
        <v>7.0333333333333324E-3</v>
      </c>
      <c r="G295" s="46">
        <v>7563157894.7368422</v>
      </c>
      <c r="H295" s="46">
        <v>18899522000</v>
      </c>
      <c r="I295" s="56">
        <v>0.40017720526142631</v>
      </c>
      <c r="J295" s="125">
        <v>10.504385964912281</v>
      </c>
    </row>
    <row r="296" spans="1:10">
      <c r="A296" s="55">
        <v>2460</v>
      </c>
      <c r="B296" s="114">
        <v>-0.14000000000000001</v>
      </c>
      <c r="C296" s="122">
        <v>1</v>
      </c>
      <c r="D296" s="116">
        <v>164285714.28571427</v>
      </c>
      <c r="E296" s="241">
        <v>0.08</v>
      </c>
      <c r="F296" s="122">
        <v>2.7775000000000005E-2</v>
      </c>
      <c r="G296" s="116">
        <v>1493357142.8571427</v>
      </c>
      <c r="H296" s="116">
        <v>3728498000</v>
      </c>
      <c r="I296" s="114">
        <v>0.40052512911556953</v>
      </c>
      <c r="J296" s="116">
        <v>0</v>
      </c>
    </row>
    <row r="297" spans="1:10">
      <c r="A297" s="55">
        <v>2413</v>
      </c>
      <c r="B297" s="114">
        <v>0.71</v>
      </c>
      <c r="C297" s="122">
        <v>0.45454545454545453</v>
      </c>
      <c r="D297" s="116">
        <v>126760563.3802817</v>
      </c>
      <c r="E297" s="241">
        <v>0.18</v>
      </c>
      <c r="F297" s="122">
        <v>1.5683333333333337E-2</v>
      </c>
      <c r="G297" s="116">
        <v>1774647887.3239439</v>
      </c>
      <c r="H297" s="116">
        <v>4407681000</v>
      </c>
      <c r="I297" s="114">
        <v>0.40262620804998001</v>
      </c>
      <c r="J297" s="116">
        <v>10.845070422535212</v>
      </c>
    </row>
    <row r="298" spans="1:10">
      <c r="A298" s="55">
        <v>5410</v>
      </c>
      <c r="B298" s="45">
        <v>0.36</v>
      </c>
      <c r="C298" s="123">
        <v>0.53061224489795922</v>
      </c>
      <c r="D298" s="121">
        <v>88888888.888888896</v>
      </c>
      <c r="E298" s="241">
        <v>0.18</v>
      </c>
      <c r="F298" s="123">
        <v>0.15988333333333329</v>
      </c>
      <c r="G298" s="46">
        <v>986666666.66666675</v>
      </c>
      <c r="H298" s="46">
        <v>2425455000</v>
      </c>
      <c r="I298" s="56">
        <v>0.40679652546292006</v>
      </c>
      <c r="J298" s="125">
        <v>14.527243589743588</v>
      </c>
    </row>
    <row r="299" spans="1:10">
      <c r="A299" s="55">
        <v>3047</v>
      </c>
      <c r="B299" s="114">
        <v>0.46</v>
      </c>
      <c r="C299" s="122">
        <v>0.30357142857142855</v>
      </c>
      <c r="D299" s="116">
        <v>195652173.91304347</v>
      </c>
      <c r="E299" s="241">
        <v>0.28000000000000003</v>
      </c>
      <c r="F299" s="122">
        <v>1.0333333333333329E-3</v>
      </c>
      <c r="G299" s="116">
        <v>2250000000</v>
      </c>
      <c r="H299" s="116">
        <v>5528349000</v>
      </c>
      <c r="I299" s="114">
        <v>0.40699311856035136</v>
      </c>
      <c r="J299" s="116">
        <v>20.588235294117649</v>
      </c>
    </row>
    <row r="300" spans="1:10">
      <c r="A300" s="55">
        <v>2377</v>
      </c>
      <c r="B300" s="114">
        <v>1.35</v>
      </c>
      <c r="C300" s="122">
        <v>0.909358446144791</v>
      </c>
      <c r="D300" s="116">
        <v>847407407.4074074</v>
      </c>
      <c r="E300" s="241">
        <v>0.15</v>
      </c>
      <c r="F300" s="122">
        <v>2.1774999999999999E-2</v>
      </c>
      <c r="G300" s="116">
        <v>34743703703.703705</v>
      </c>
      <c r="H300" s="116">
        <v>85304393000</v>
      </c>
      <c r="I300" s="114">
        <v>0.4072909082619427</v>
      </c>
      <c r="J300" s="116">
        <v>8.3493947021455117</v>
      </c>
    </row>
    <row r="301" spans="1:10">
      <c r="A301" s="55">
        <v>6145</v>
      </c>
      <c r="B301" s="45">
        <v>0.1</v>
      </c>
      <c r="C301" s="123">
        <v>0</v>
      </c>
      <c r="D301" s="121">
        <v>340000000</v>
      </c>
      <c r="E301" s="241">
        <v>0.08</v>
      </c>
      <c r="F301" s="123">
        <v>2.0333333333333339E-2</v>
      </c>
      <c r="G301" s="46">
        <v>3434000000</v>
      </c>
      <c r="H301" s="46">
        <v>8371174000</v>
      </c>
      <c r="I301" s="56">
        <v>0.410217252681643</v>
      </c>
      <c r="J301" s="125">
        <v>0</v>
      </c>
    </row>
    <row r="302" spans="1:10">
      <c r="A302" s="55">
        <v>9933</v>
      </c>
      <c r="B302" s="45">
        <v>0.6</v>
      </c>
      <c r="C302" s="123">
        <v>0.66404715127701375</v>
      </c>
      <c r="D302" s="121">
        <v>753333333.33333337</v>
      </c>
      <c r="E302" s="241">
        <v>0.08</v>
      </c>
      <c r="F302" s="123">
        <v>3.445833333333332E-2</v>
      </c>
      <c r="G302" s="46">
        <v>27647333333.333336</v>
      </c>
      <c r="H302" s="46">
        <v>66978466000</v>
      </c>
      <c r="I302" s="56">
        <v>0.41277943471164802</v>
      </c>
      <c r="J302" s="125">
        <v>23.027983234714007</v>
      </c>
    </row>
    <row r="303" spans="1:10">
      <c r="A303" s="55">
        <v>4933</v>
      </c>
      <c r="B303" s="45">
        <v>0.87</v>
      </c>
      <c r="C303" s="123">
        <v>0.40229885057471265</v>
      </c>
      <c r="D303" s="121">
        <v>77011494.25287357</v>
      </c>
      <c r="E303" s="241">
        <v>0.12</v>
      </c>
      <c r="F303" s="123">
        <v>1.0758333333333335E-2</v>
      </c>
      <c r="G303" s="46">
        <v>1671149425.2873564</v>
      </c>
      <c r="H303" s="46">
        <v>4023830000</v>
      </c>
      <c r="I303" s="56">
        <v>0.41531312835963657</v>
      </c>
      <c r="J303" s="125">
        <v>15.5</v>
      </c>
    </row>
    <row r="304" spans="1:10">
      <c r="A304" s="55">
        <v>6246</v>
      </c>
      <c r="B304" s="45">
        <v>0.13</v>
      </c>
      <c r="C304" s="123">
        <v>0</v>
      </c>
      <c r="D304" s="121">
        <v>130769230.76923077</v>
      </c>
      <c r="E304" s="241">
        <v>0.18</v>
      </c>
      <c r="F304" s="123">
        <v>1.9416666666666676E-2</v>
      </c>
      <c r="G304" s="46">
        <v>363538461.53846151</v>
      </c>
      <c r="H304" s="46">
        <v>874086000</v>
      </c>
      <c r="I304" s="56">
        <v>0.41590697201243526</v>
      </c>
      <c r="J304" s="125">
        <v>0</v>
      </c>
    </row>
    <row r="305" spans="1:11">
      <c r="A305" s="55">
        <v>2911</v>
      </c>
      <c r="B305" s="114">
        <v>-0.02</v>
      </c>
      <c r="C305" s="122">
        <v>1</v>
      </c>
      <c r="D305" s="116">
        <v>250000000</v>
      </c>
      <c r="E305" s="241">
        <v>0.47</v>
      </c>
      <c r="F305" s="122">
        <v>-5.9500000000000013E-3</v>
      </c>
      <c r="G305" s="116">
        <v>3850000000</v>
      </c>
      <c r="H305" s="116">
        <v>9232232000</v>
      </c>
      <c r="I305" s="114">
        <v>0.41701724999978335</v>
      </c>
      <c r="J305" s="116">
        <v>0</v>
      </c>
    </row>
    <row r="306" spans="1:11">
      <c r="A306" s="55">
        <v>8215</v>
      </c>
      <c r="B306" s="45">
        <v>0.36</v>
      </c>
      <c r="C306" s="123">
        <v>1</v>
      </c>
      <c r="D306" s="121">
        <v>325000000</v>
      </c>
      <c r="E306" s="241">
        <v>0.17</v>
      </c>
      <c r="F306" s="123">
        <v>-9.2666666666666661E-3</v>
      </c>
      <c r="G306" s="46">
        <v>6045000000</v>
      </c>
      <c r="H306" s="46">
        <v>14495768000</v>
      </c>
      <c r="I306" s="56">
        <v>0.41701826353733035</v>
      </c>
      <c r="J306" s="125">
        <v>12.916666666666668</v>
      </c>
    </row>
    <row r="307" spans="1:11">
      <c r="A307" s="55">
        <v>2462</v>
      </c>
      <c r="B307" s="114">
        <v>0.82</v>
      </c>
      <c r="C307" s="122">
        <v>0.2696629213483146</v>
      </c>
      <c r="D307" s="116">
        <v>104878048.78048781</v>
      </c>
      <c r="E307" s="241">
        <v>0.12</v>
      </c>
      <c r="F307" s="122">
        <v>1.1883333333333334E-2</v>
      </c>
      <c r="G307" s="116">
        <v>1740975609.7560978</v>
      </c>
      <c r="H307" s="116">
        <v>4169815000</v>
      </c>
      <c r="I307" s="114">
        <v>0.41751866923498954</v>
      </c>
      <c r="J307" s="116">
        <v>18.76778455284553</v>
      </c>
    </row>
    <row r="308" spans="1:11">
      <c r="A308" s="55">
        <v>2610</v>
      </c>
      <c r="B308" s="114">
        <v>0.39</v>
      </c>
      <c r="C308" s="122">
        <v>0.9237157797600738</v>
      </c>
      <c r="D308" s="116">
        <v>5471794871.7948713</v>
      </c>
      <c r="E308" s="241">
        <v>0.14000000000000001</v>
      </c>
      <c r="F308" s="122">
        <v>-5.233333333333332E-3</v>
      </c>
      <c r="G308" s="116">
        <v>60736923076.923073</v>
      </c>
      <c r="H308" s="116">
        <v>145040432000</v>
      </c>
      <c r="I308" s="114">
        <v>0.41875856434930553</v>
      </c>
      <c r="J308" s="116">
        <v>7.7030021260790491</v>
      </c>
    </row>
    <row r="309" spans="1:11">
      <c r="A309" s="55">
        <v>3379</v>
      </c>
      <c r="B309" s="114">
        <v>-0.46</v>
      </c>
      <c r="C309" s="122">
        <v>1</v>
      </c>
      <c r="D309" s="116">
        <v>39130434.782608695</v>
      </c>
      <c r="E309" s="241">
        <v>0.06</v>
      </c>
      <c r="F309" s="122">
        <v>0.71074166666666672</v>
      </c>
      <c r="G309" s="116">
        <v>477391304.34782606</v>
      </c>
      <c r="H309" s="116">
        <v>1138826000</v>
      </c>
      <c r="I309" s="114">
        <v>0.41919600039674726</v>
      </c>
      <c r="J309" s="116">
        <v>0</v>
      </c>
    </row>
    <row r="310" spans="1:11">
      <c r="A310" s="55">
        <v>9904</v>
      </c>
      <c r="B310" s="45">
        <v>1.21</v>
      </c>
      <c r="C310" s="123">
        <v>0.11553848615778524</v>
      </c>
      <c r="D310" s="121">
        <v>2947107438.0165291</v>
      </c>
      <c r="E310" s="241">
        <v>0.23</v>
      </c>
      <c r="F310" s="123">
        <v>6.8833333333333385E-3</v>
      </c>
      <c r="G310" s="46">
        <v>113758347107.43803</v>
      </c>
      <c r="H310" s="46">
        <v>269167416000</v>
      </c>
      <c r="I310" s="56">
        <v>0.42263045355920065</v>
      </c>
      <c r="J310" s="125">
        <v>50</v>
      </c>
    </row>
    <row r="311" spans="1:11">
      <c r="A311" s="55">
        <v>8358</v>
      </c>
      <c r="B311" s="45">
        <v>-0.04</v>
      </c>
      <c r="C311" s="123">
        <v>0.95238095238095233</v>
      </c>
      <c r="D311" s="121">
        <v>200000000</v>
      </c>
      <c r="E311" s="241">
        <v>0.01</v>
      </c>
      <c r="F311" s="123">
        <v>4.3758333333333337E-2</v>
      </c>
      <c r="G311" s="46">
        <v>1810000000.0000002</v>
      </c>
      <c r="H311" s="46">
        <v>4265122000</v>
      </c>
      <c r="I311" s="56">
        <v>0.42437238606539279</v>
      </c>
      <c r="J311" s="125">
        <v>0</v>
      </c>
    </row>
    <row r="312" spans="1:11">
      <c r="A312" s="55">
        <v>6221</v>
      </c>
      <c r="B312" s="45">
        <v>0.66</v>
      </c>
      <c r="C312" s="123">
        <v>0.89583333333333337</v>
      </c>
      <c r="D312" s="121">
        <v>37878787.878787875</v>
      </c>
      <c r="E312" s="241">
        <v>0.2</v>
      </c>
      <c r="F312" s="123">
        <v>6.4916666666666678E-2</v>
      </c>
      <c r="G312" s="46">
        <v>967803030.30303025</v>
      </c>
      <c r="H312" s="46">
        <v>2272872000</v>
      </c>
      <c r="I312" s="56">
        <v>0.42580621799337148</v>
      </c>
      <c r="J312" s="125">
        <v>10.803382663847779</v>
      </c>
    </row>
    <row r="313" spans="1:11">
      <c r="A313" s="55">
        <v>2357</v>
      </c>
      <c r="B313" s="114">
        <v>5.67</v>
      </c>
      <c r="C313" s="122">
        <v>0.84255606897328972</v>
      </c>
      <c r="D313" s="116">
        <v>743386243.38624334</v>
      </c>
      <c r="E313" s="241">
        <v>0.15</v>
      </c>
      <c r="F313" s="122">
        <v>1.0899999999999993E-2</v>
      </c>
      <c r="G313" s="116">
        <v>201457671957.67194</v>
      </c>
      <c r="H313" s="116">
        <v>472268578000</v>
      </c>
      <c r="I313" s="114">
        <v>0.4265743717501187</v>
      </c>
      <c r="J313" s="116">
        <v>14.181671767056111</v>
      </c>
    </row>
    <row r="314" spans="1:11">
      <c r="A314" s="55">
        <v>4942</v>
      </c>
      <c r="B314" s="45">
        <v>-2.27</v>
      </c>
      <c r="C314" s="123">
        <v>0.54025974025974022</v>
      </c>
      <c r="D314" s="121">
        <v>152422907.48898679</v>
      </c>
      <c r="E314" s="241">
        <v>0.09</v>
      </c>
      <c r="F314" s="123">
        <v>-4.358333333333333E-3</v>
      </c>
      <c r="G314" s="46">
        <v>3040837004.4052863</v>
      </c>
      <c r="H314" s="46">
        <v>7096516000</v>
      </c>
      <c r="I314" s="56">
        <v>0.42849716739950794</v>
      </c>
      <c r="J314" s="125">
        <v>0</v>
      </c>
    </row>
    <row r="315" spans="1:11">
      <c r="A315" s="55">
        <v>2376</v>
      </c>
      <c r="B315" s="114">
        <v>1.3</v>
      </c>
      <c r="C315" s="122">
        <v>0.44037478705281091</v>
      </c>
      <c r="D315" s="116">
        <v>629230769.23076916</v>
      </c>
      <c r="E315" s="241">
        <v>0.19</v>
      </c>
      <c r="F315" s="122">
        <v>2.6649999999999997E-2</v>
      </c>
      <c r="G315" s="116">
        <v>21802846153.846149</v>
      </c>
      <c r="H315" s="116">
        <v>50827491000</v>
      </c>
      <c r="I315" s="114">
        <v>0.42895774953452159</v>
      </c>
      <c r="J315" s="116">
        <v>15.131342062193125</v>
      </c>
    </row>
    <row r="316" spans="1:11">
      <c r="A316" s="55">
        <v>2374</v>
      </c>
      <c r="B316" s="114">
        <v>0.72</v>
      </c>
      <c r="C316" s="122">
        <v>0.35625000000000001</v>
      </c>
      <c r="D316" s="116">
        <v>402777777.77777779</v>
      </c>
      <c r="E316" s="241">
        <v>0.13</v>
      </c>
      <c r="F316" s="122">
        <v>-5.9416666666666671E-3</v>
      </c>
      <c r="G316" s="116">
        <v>8297222222.2222233</v>
      </c>
      <c r="H316" s="116">
        <v>19237774000</v>
      </c>
      <c r="I316" s="114">
        <v>0.4312984559555707</v>
      </c>
      <c r="J316" s="116">
        <v>20.077972709551659</v>
      </c>
    </row>
    <row r="317" spans="1:11">
      <c r="A317" s="55">
        <v>6141</v>
      </c>
      <c r="B317" s="45">
        <v>-0.84</v>
      </c>
      <c r="C317" s="123">
        <v>0.93478260869565222</v>
      </c>
      <c r="D317" s="121">
        <v>130952380.95238096</v>
      </c>
      <c r="E317" s="241">
        <v>0.03</v>
      </c>
      <c r="F317" s="123">
        <v>1.653333333333333E-2</v>
      </c>
      <c r="G317" s="46">
        <v>1090833333.3333333</v>
      </c>
      <c r="H317" s="46">
        <v>2523852000</v>
      </c>
      <c r="I317" s="56">
        <v>0.43220970696115829</v>
      </c>
      <c r="J317" s="125">
        <v>0</v>
      </c>
    </row>
    <row r="318" spans="1:11">
      <c r="A318" s="55">
        <v>1466</v>
      </c>
      <c r="B318" s="114">
        <v>0.2</v>
      </c>
      <c r="C318" s="122">
        <v>0</v>
      </c>
      <c r="D318" s="116">
        <v>110000000</v>
      </c>
      <c r="E318" s="241">
        <v>0.06</v>
      </c>
      <c r="F318" s="122">
        <v>-1.5024999999999998E-2</v>
      </c>
      <c r="G318" s="116">
        <v>1765500000</v>
      </c>
      <c r="H318" s="116">
        <v>4079244000</v>
      </c>
      <c r="I318" s="114">
        <v>0.43280078367462205</v>
      </c>
      <c r="J318" s="116">
        <v>0</v>
      </c>
    </row>
    <row r="319" spans="1:11">
      <c r="A319" s="55">
        <v>3598</v>
      </c>
      <c r="B319" s="114">
        <v>1.4</v>
      </c>
      <c r="C319" s="122">
        <v>0.77464788732394363</v>
      </c>
      <c r="D319" s="116">
        <v>72142857.142857149</v>
      </c>
      <c r="E319" s="241">
        <v>0.2</v>
      </c>
      <c r="F319" s="122">
        <v>3.2424999999999989E-2</v>
      </c>
      <c r="G319" s="116">
        <v>3581892857.1428576</v>
      </c>
      <c r="H319" s="116">
        <v>8272431000</v>
      </c>
      <c r="I319" s="114">
        <v>0.43299156646248937</v>
      </c>
      <c r="J319" s="116">
        <v>11.445292207792209</v>
      </c>
      <c r="K319" s="26"/>
    </row>
    <row r="320" spans="1:11">
      <c r="A320" s="55">
        <v>5536</v>
      </c>
      <c r="B320" s="45">
        <v>2.02</v>
      </c>
      <c r="C320" s="123">
        <v>0.87449392712550611</v>
      </c>
      <c r="D320" s="121">
        <v>46039603.960396037</v>
      </c>
      <c r="E320" s="241">
        <v>0.12</v>
      </c>
      <c r="F320" s="123">
        <v>5.0583333333333348E-2</v>
      </c>
      <c r="G320" s="46">
        <v>3706188118.8118811</v>
      </c>
      <c r="H320" s="46">
        <v>8558768000</v>
      </c>
      <c r="I320" s="56">
        <v>0.43302822541887814</v>
      </c>
      <c r="J320" s="125">
        <v>11.392727814448111</v>
      </c>
    </row>
    <row r="321" spans="1:10">
      <c r="A321" s="55">
        <v>1201</v>
      </c>
      <c r="B321" s="114">
        <v>-1.1499999999999999</v>
      </c>
      <c r="C321" s="122">
        <v>0.67941507311586047</v>
      </c>
      <c r="D321" s="116">
        <v>505217391.30434787</v>
      </c>
      <c r="E321" s="241">
        <v>0.3</v>
      </c>
      <c r="F321" s="122">
        <v>-5.7583333333333306E-3</v>
      </c>
      <c r="G321" s="116">
        <v>8992869565.217392</v>
      </c>
      <c r="H321" s="116">
        <v>20731475000</v>
      </c>
      <c r="I321" s="114">
        <v>0.43377856931151265</v>
      </c>
      <c r="J321" s="116">
        <v>0</v>
      </c>
    </row>
    <row r="322" spans="1:10">
      <c r="A322" s="55">
        <v>2012</v>
      </c>
      <c r="B322" s="114">
        <v>0.32</v>
      </c>
      <c r="C322" s="122">
        <v>0.43137254901960786</v>
      </c>
      <c r="D322" s="116">
        <v>265625000</v>
      </c>
      <c r="E322" s="241">
        <v>0.15</v>
      </c>
      <c r="F322" s="122">
        <v>1.3750000000000012E-3</v>
      </c>
      <c r="G322" s="116">
        <v>3718750000</v>
      </c>
      <c r="H322" s="116">
        <v>8562033000</v>
      </c>
      <c r="I322" s="114">
        <v>0.4343302577787308</v>
      </c>
      <c r="J322" s="116">
        <v>25.355113636363633</v>
      </c>
    </row>
    <row r="323" spans="1:10">
      <c r="A323" s="55">
        <v>3531</v>
      </c>
      <c r="B323" s="114">
        <v>0.14000000000000001</v>
      </c>
      <c r="C323" s="122">
        <v>0</v>
      </c>
      <c r="D323" s="116">
        <v>57142857.142857134</v>
      </c>
      <c r="E323" s="241">
        <v>0.18</v>
      </c>
      <c r="F323" s="122">
        <v>1.5966666666666664E-2</v>
      </c>
      <c r="G323" s="116">
        <v>762857142.85714269</v>
      </c>
      <c r="H323" s="116">
        <v>1754252000</v>
      </c>
      <c r="I323" s="114">
        <v>0.43486177747389926</v>
      </c>
      <c r="J323" s="116">
        <v>0</v>
      </c>
    </row>
    <row r="324" spans="1:10">
      <c r="A324" s="55">
        <v>3536</v>
      </c>
      <c r="B324" s="114">
        <v>-0.04</v>
      </c>
      <c r="C324" s="122">
        <v>1</v>
      </c>
      <c r="D324" s="116">
        <v>100000000</v>
      </c>
      <c r="E324" s="241">
        <v>0.11</v>
      </c>
      <c r="F324" s="122">
        <v>4.1083333333333319E-3</v>
      </c>
      <c r="G324" s="116">
        <v>515000000.00000006</v>
      </c>
      <c r="H324" s="116">
        <v>1182576000</v>
      </c>
      <c r="I324" s="114">
        <v>0.43548998119359777</v>
      </c>
      <c r="J324" s="116">
        <v>0</v>
      </c>
    </row>
    <row r="325" spans="1:10">
      <c r="A325" s="55">
        <v>6153</v>
      </c>
      <c r="B325" s="45">
        <v>1.43</v>
      </c>
      <c r="C325" s="123">
        <v>0.44634146341463415</v>
      </c>
      <c r="D325" s="121">
        <v>323076923.07692307</v>
      </c>
      <c r="E325" s="241">
        <v>0.19</v>
      </c>
      <c r="F325" s="123">
        <v>1.039166666666666E-2</v>
      </c>
      <c r="G325" s="46">
        <v>6865384615.3846149</v>
      </c>
      <c r="H325" s="46">
        <v>15713771000</v>
      </c>
      <c r="I325" s="56">
        <v>0.43690242242836647</v>
      </c>
      <c r="J325" s="125">
        <v>8.3233023806794293</v>
      </c>
    </row>
    <row r="326" spans="1:10">
      <c r="A326" s="55">
        <v>5255</v>
      </c>
      <c r="B326" s="45">
        <v>0.06</v>
      </c>
      <c r="C326" s="123">
        <v>1</v>
      </c>
      <c r="D326" s="121">
        <v>33333333.333333336</v>
      </c>
      <c r="E326" s="241">
        <v>0.16</v>
      </c>
      <c r="F326" s="123">
        <v>1.7274999999999999E-2</v>
      </c>
      <c r="G326" s="46">
        <v>506666666.66666669</v>
      </c>
      <c r="H326" s="46">
        <v>1159195000</v>
      </c>
      <c r="I326" s="56">
        <v>0.4370849310656677</v>
      </c>
      <c r="J326" s="125">
        <v>50</v>
      </c>
    </row>
    <row r="327" spans="1:10">
      <c r="A327" s="55">
        <v>2029</v>
      </c>
      <c r="B327" s="114">
        <v>-1.38</v>
      </c>
      <c r="C327" s="122">
        <v>0</v>
      </c>
      <c r="D327" s="116">
        <v>320289855.07246381</v>
      </c>
      <c r="E327" s="241">
        <v>0.11</v>
      </c>
      <c r="F327" s="122">
        <v>-3.9866666666666668E-2</v>
      </c>
      <c r="G327" s="116">
        <v>5637101449.2753639</v>
      </c>
      <c r="H327" s="116">
        <v>12892499000</v>
      </c>
      <c r="I327" s="114">
        <v>0.43723885099974519</v>
      </c>
      <c r="J327" s="116">
        <v>0</v>
      </c>
    </row>
    <row r="328" spans="1:10">
      <c r="A328" s="55">
        <v>3434</v>
      </c>
      <c r="B328" s="114">
        <v>0.44</v>
      </c>
      <c r="C328" s="122">
        <v>0.5</v>
      </c>
      <c r="D328" s="116">
        <v>22727272.727272727</v>
      </c>
      <c r="E328" s="241">
        <v>0.15</v>
      </c>
      <c r="F328" s="122">
        <v>1.2149999999999992E-2</v>
      </c>
      <c r="G328" s="116">
        <v>306818181.81818181</v>
      </c>
      <c r="H328" s="116">
        <v>701001000</v>
      </c>
      <c r="I328" s="114">
        <v>0.43768579762109017</v>
      </c>
      <c r="J328" s="116">
        <v>15.340909090909092</v>
      </c>
    </row>
    <row r="329" spans="1:10">
      <c r="A329" s="55">
        <v>4207</v>
      </c>
      <c r="B329" s="45">
        <v>-0.05</v>
      </c>
      <c r="C329" s="123">
        <v>1</v>
      </c>
      <c r="D329" s="121">
        <v>160000000</v>
      </c>
      <c r="E329" s="241">
        <v>0.09</v>
      </c>
      <c r="F329" s="123">
        <v>7.8750000000000001E-3</v>
      </c>
      <c r="G329" s="46">
        <v>1436800000</v>
      </c>
      <c r="H329" s="46">
        <v>3280991000</v>
      </c>
      <c r="I329" s="56">
        <v>0.43791647096867992</v>
      </c>
      <c r="J329" s="125">
        <v>0</v>
      </c>
    </row>
    <row r="330" spans="1:10">
      <c r="A330" s="55">
        <v>8401</v>
      </c>
      <c r="B330" s="45">
        <v>-0.04</v>
      </c>
      <c r="C330" s="123">
        <v>0.72727272727272729</v>
      </c>
      <c r="D330" s="121">
        <v>50000000</v>
      </c>
      <c r="E330" s="241">
        <v>0.22</v>
      </c>
      <c r="F330" s="123">
        <v>2.6475000000000009E-2</v>
      </c>
      <c r="G330" s="46">
        <v>600000000</v>
      </c>
      <c r="H330" s="46">
        <v>1367222000</v>
      </c>
      <c r="I330" s="56">
        <v>0.4388460688900559</v>
      </c>
      <c r="J330" s="125">
        <v>0</v>
      </c>
    </row>
    <row r="331" spans="1:10">
      <c r="A331" s="55">
        <v>3663</v>
      </c>
      <c r="B331" s="114">
        <v>-1.1299999999999999</v>
      </c>
      <c r="C331" s="122">
        <v>0.75490196078431371</v>
      </c>
      <c r="D331" s="116">
        <v>73451327.433628321</v>
      </c>
      <c r="E331" s="241">
        <v>0.05</v>
      </c>
      <c r="F331" s="122">
        <v>4.3666666666666645E-3</v>
      </c>
      <c r="G331" s="116">
        <v>1182566371.681416</v>
      </c>
      <c r="H331" s="116">
        <v>2677100000</v>
      </c>
      <c r="I331" s="114">
        <v>0.44173410469590829</v>
      </c>
      <c r="J331" s="116">
        <v>0</v>
      </c>
    </row>
    <row r="332" spans="1:10">
      <c r="A332" s="55">
        <v>2365</v>
      </c>
      <c r="B332" s="114">
        <v>0.11</v>
      </c>
      <c r="C332" s="122">
        <v>0</v>
      </c>
      <c r="D332" s="116">
        <v>281818181.81818181</v>
      </c>
      <c r="E332" s="241">
        <v>0.2</v>
      </c>
      <c r="F332" s="122">
        <v>-5.8333333333333362E-3</v>
      </c>
      <c r="G332" s="116">
        <v>2564545454.5454545</v>
      </c>
      <c r="H332" s="116">
        <v>5789550000</v>
      </c>
      <c r="I332" s="114">
        <v>0.44296110311603742</v>
      </c>
      <c r="J332" s="116">
        <v>0</v>
      </c>
    </row>
    <row r="333" spans="1:10">
      <c r="A333" s="55">
        <v>8088</v>
      </c>
      <c r="B333" s="45">
        <v>0.77</v>
      </c>
      <c r="C333" s="123">
        <v>0.50980392156862742</v>
      </c>
      <c r="D333" s="121">
        <v>58441558.441558443</v>
      </c>
      <c r="E333" s="241">
        <v>0.09</v>
      </c>
      <c r="F333" s="123">
        <v>3.55833333333333E-3</v>
      </c>
      <c r="G333" s="46">
        <v>891233766.2337662</v>
      </c>
      <c r="H333" s="46">
        <v>2011403000</v>
      </c>
      <c r="I333" s="56">
        <v>0.44309060204929901</v>
      </c>
      <c r="J333" s="125">
        <v>9.7121628371628379</v>
      </c>
    </row>
    <row r="334" spans="1:10">
      <c r="A334" s="55">
        <v>1305</v>
      </c>
      <c r="B334" s="114">
        <v>0.18</v>
      </c>
      <c r="C334" s="122">
        <v>0.82440476190476186</v>
      </c>
      <c r="D334" s="116">
        <v>461111111.1111111</v>
      </c>
      <c r="E334" s="241">
        <v>0.1</v>
      </c>
      <c r="F334" s="122">
        <v>1.6291666666666666E-2</v>
      </c>
      <c r="G334" s="116">
        <v>6155833333.333333</v>
      </c>
      <c r="H334" s="116">
        <v>13842012000</v>
      </c>
      <c r="I334" s="114">
        <v>0.44472099383625247</v>
      </c>
      <c r="J334" s="116">
        <v>22.490974729241877</v>
      </c>
    </row>
    <row r="335" spans="1:10">
      <c r="A335" s="55">
        <v>3537</v>
      </c>
      <c r="B335" s="114">
        <v>0.83</v>
      </c>
      <c r="C335" s="122">
        <v>0.54</v>
      </c>
      <c r="D335" s="116">
        <v>48192771.084337354</v>
      </c>
      <c r="E335" s="241">
        <v>0.13</v>
      </c>
      <c r="F335" s="122">
        <v>6.4100000000000004E-2</v>
      </c>
      <c r="G335" s="116">
        <v>951807228.91566277</v>
      </c>
      <c r="H335" s="116">
        <v>2137616000</v>
      </c>
      <c r="I335" s="114">
        <v>0.44526576752590868</v>
      </c>
      <c r="J335" s="116">
        <v>11.016287371709058</v>
      </c>
    </row>
    <row r="336" spans="1:10">
      <c r="A336" s="55">
        <v>6274</v>
      </c>
      <c r="B336" s="45">
        <v>0.92</v>
      </c>
      <c r="C336" s="123">
        <v>0.99748743718592969</v>
      </c>
      <c r="D336" s="121">
        <v>241304347.82608694</v>
      </c>
      <c r="E336" s="241">
        <v>0.2</v>
      </c>
      <c r="F336" s="123">
        <v>3.7749999999999971E-3</v>
      </c>
      <c r="G336" s="46">
        <v>5767173913.0434771</v>
      </c>
      <c r="H336" s="46">
        <v>12920609000</v>
      </c>
      <c r="I336" s="56">
        <v>0.44635465039174832</v>
      </c>
      <c r="J336" s="125">
        <v>6.5109243237323389</v>
      </c>
    </row>
    <row r="337" spans="1:10">
      <c r="A337" s="55">
        <v>2431</v>
      </c>
      <c r="B337" s="114">
        <v>0.15</v>
      </c>
      <c r="C337" s="122">
        <v>0</v>
      </c>
      <c r="D337" s="116">
        <v>113333333.33333334</v>
      </c>
      <c r="E337" s="241">
        <v>0.09</v>
      </c>
      <c r="F337" s="122">
        <v>-2.2716666666666666E-2</v>
      </c>
      <c r="G337" s="116">
        <v>1626333333.3333335</v>
      </c>
      <c r="H337" s="116">
        <v>3635573000</v>
      </c>
      <c r="I337" s="114">
        <v>0.44733892933337704</v>
      </c>
      <c r="J337" s="116">
        <v>0</v>
      </c>
    </row>
    <row r="338" spans="1:10">
      <c r="A338" s="55">
        <v>2613</v>
      </c>
      <c r="B338" s="119">
        <v>-0.11</v>
      </c>
      <c r="C338" s="122">
        <v>1</v>
      </c>
      <c r="D338" s="120">
        <v>90909090.909090906</v>
      </c>
      <c r="E338" s="241">
        <v>0.05</v>
      </c>
      <c r="F338" s="122">
        <v>4.9166666666666673E-3</v>
      </c>
      <c r="G338" s="120">
        <v>1140909090.909091</v>
      </c>
      <c r="H338" s="120">
        <v>2549615000</v>
      </c>
      <c r="I338" s="119">
        <v>0.44748289091062415</v>
      </c>
      <c r="J338" s="120">
        <v>0</v>
      </c>
    </row>
    <row r="339" spans="1:10">
      <c r="A339" s="55">
        <v>3090</v>
      </c>
      <c r="B339" s="114">
        <v>0.76</v>
      </c>
      <c r="C339" s="122">
        <v>0.73142857142857143</v>
      </c>
      <c r="D339" s="116">
        <v>168421052.63157895</v>
      </c>
      <c r="E339" s="241">
        <v>0.14000000000000001</v>
      </c>
      <c r="F339" s="122">
        <v>2.6833333333333362E-3</v>
      </c>
      <c r="G339" s="116">
        <v>3696842105.2631578</v>
      </c>
      <c r="H339" s="116">
        <v>8260868000</v>
      </c>
      <c r="I339" s="114">
        <v>0.44751255016581282</v>
      </c>
      <c r="J339" s="116">
        <v>9.871633429276315</v>
      </c>
    </row>
    <row r="340" spans="1:10">
      <c r="A340" s="55">
        <v>3431</v>
      </c>
      <c r="B340" s="114">
        <v>-1.47</v>
      </c>
      <c r="C340" s="122">
        <v>0.50724637681159424</v>
      </c>
      <c r="D340" s="116">
        <v>35374149.659863949</v>
      </c>
      <c r="E340" s="241">
        <v>0.17</v>
      </c>
      <c r="F340" s="122">
        <v>-1.8874999999999996E-2</v>
      </c>
      <c r="G340" s="116">
        <v>218965986.39455786</v>
      </c>
      <c r="H340" s="116">
        <v>487942000</v>
      </c>
      <c r="I340" s="114">
        <v>0.44875412732365294</v>
      </c>
      <c r="J340" s="116">
        <v>0</v>
      </c>
    </row>
    <row r="341" spans="1:10">
      <c r="A341" s="55">
        <v>1514</v>
      </c>
      <c r="B341" s="114">
        <v>0.33</v>
      </c>
      <c r="C341" s="122">
        <v>0.375</v>
      </c>
      <c r="D341" s="116">
        <v>196969696.96969697</v>
      </c>
      <c r="E341" s="241">
        <v>0.14000000000000001</v>
      </c>
      <c r="F341" s="122">
        <v>1.8949999999999998E-2</v>
      </c>
      <c r="G341" s="116">
        <v>1577727272.7272727</v>
      </c>
      <c r="H341" s="116">
        <v>3511654000</v>
      </c>
      <c r="I341" s="114">
        <v>0.4492832359700793</v>
      </c>
      <c r="J341" s="116">
        <v>16.18181818181818</v>
      </c>
    </row>
    <row r="342" spans="1:10">
      <c r="A342" s="55">
        <v>6259</v>
      </c>
      <c r="B342" s="45">
        <v>-0.39</v>
      </c>
      <c r="C342" s="123">
        <v>1</v>
      </c>
      <c r="D342" s="121">
        <v>71794871.794871792</v>
      </c>
      <c r="E342" s="241">
        <v>0.08</v>
      </c>
      <c r="F342" s="123">
        <v>-5.5466666666666664E-2</v>
      </c>
      <c r="G342" s="46">
        <v>517641025.6410256</v>
      </c>
      <c r="H342" s="46">
        <v>1151195000</v>
      </c>
      <c r="I342" s="56">
        <v>0.44965538040125747</v>
      </c>
      <c r="J342" s="125">
        <v>0</v>
      </c>
    </row>
    <row r="343" spans="1:10">
      <c r="A343" s="55">
        <v>8421</v>
      </c>
      <c r="B343" s="45">
        <v>0.4</v>
      </c>
      <c r="C343" s="123">
        <v>0.78947368421052633</v>
      </c>
      <c r="D343" s="121">
        <v>37500000</v>
      </c>
      <c r="E343" s="241">
        <v>0.17</v>
      </c>
      <c r="F343" s="123">
        <v>4.6116666666666667E-2</v>
      </c>
      <c r="G343" s="46">
        <v>502500000</v>
      </c>
      <c r="H343" s="46">
        <v>1113541000</v>
      </c>
      <c r="I343" s="56">
        <v>0.45126313265519635</v>
      </c>
      <c r="J343" s="125">
        <v>10.608333333333333</v>
      </c>
    </row>
    <row r="344" spans="1:10">
      <c r="A344" s="55">
        <v>3703</v>
      </c>
      <c r="B344" s="114">
        <v>-0.14000000000000001</v>
      </c>
      <c r="C344" s="122">
        <v>0.23030303030303031</v>
      </c>
      <c r="D344" s="116">
        <v>914285714.28571415</v>
      </c>
      <c r="E344" s="241">
        <v>0.08</v>
      </c>
      <c r="F344" s="122">
        <v>0.22108333333333338</v>
      </c>
      <c r="G344" s="116">
        <v>9965714285.7142849</v>
      </c>
      <c r="H344" s="116">
        <v>22035841000</v>
      </c>
      <c r="I344" s="114">
        <v>0.45225023568259931</v>
      </c>
      <c r="J344" s="116">
        <v>0</v>
      </c>
    </row>
    <row r="345" spans="1:10">
      <c r="A345" s="55">
        <v>6702</v>
      </c>
      <c r="B345" s="45">
        <v>-0.32</v>
      </c>
      <c r="C345" s="123">
        <v>1</v>
      </c>
      <c r="D345" s="121">
        <v>640625000</v>
      </c>
      <c r="E345" s="241">
        <v>-0.15</v>
      </c>
      <c r="F345" s="123">
        <v>1.5333333333333264E-3</v>
      </c>
      <c r="G345" s="46">
        <v>4791875000</v>
      </c>
      <c r="H345" s="46">
        <v>10580590000</v>
      </c>
      <c r="I345" s="56">
        <v>0.45289298611892154</v>
      </c>
      <c r="J345" s="125">
        <v>0</v>
      </c>
    </row>
    <row r="346" spans="1:10">
      <c r="A346" s="55">
        <v>3308</v>
      </c>
      <c r="B346" s="114">
        <v>0.27</v>
      </c>
      <c r="C346" s="122">
        <v>0.24324324324324326</v>
      </c>
      <c r="D346" s="116">
        <v>96296296.296296284</v>
      </c>
      <c r="E346" s="241">
        <v>0.16</v>
      </c>
      <c r="F346" s="122">
        <v>-1.8475000000000002E-2</v>
      </c>
      <c r="G346" s="116">
        <v>669259259.25925922</v>
      </c>
      <c r="H346" s="116">
        <v>1471272000</v>
      </c>
      <c r="I346" s="114">
        <v>0.45488479306291374</v>
      </c>
      <c r="J346" s="116">
        <v>26.455761316872426</v>
      </c>
    </row>
    <row r="347" spans="1:10">
      <c r="A347" s="55">
        <v>2440</v>
      </c>
      <c r="B347" s="114">
        <v>-0.11</v>
      </c>
      <c r="C347" s="122">
        <v>1</v>
      </c>
      <c r="D347" s="116">
        <v>136363636.36363637</v>
      </c>
      <c r="E347" s="241">
        <v>7.0000000000000007E-2</v>
      </c>
      <c r="F347" s="122">
        <v>1.940833333333333E-2</v>
      </c>
      <c r="G347" s="116">
        <v>1112727272.7272727</v>
      </c>
      <c r="H347" s="116">
        <v>2441212000</v>
      </c>
      <c r="I347" s="114">
        <v>0.45580935728944177</v>
      </c>
      <c r="J347" s="116">
        <v>0</v>
      </c>
    </row>
    <row r="348" spans="1:10">
      <c r="A348" s="55">
        <v>3548</v>
      </c>
      <c r="B348" s="114">
        <v>2.27</v>
      </c>
      <c r="C348" s="122">
        <v>0.43965517241379309</v>
      </c>
      <c r="D348" s="116">
        <v>50660792.951541848</v>
      </c>
      <c r="E348" s="241">
        <v>0.24</v>
      </c>
      <c r="F348" s="122">
        <v>4.1916666666666665E-2</v>
      </c>
      <c r="G348" s="116">
        <v>1765528634.3612335</v>
      </c>
      <c r="H348" s="116">
        <v>3870693000</v>
      </c>
      <c r="I348" s="114">
        <v>0.45612727084303339</v>
      </c>
      <c r="J348" s="116">
        <v>8.7298091042584431</v>
      </c>
    </row>
    <row r="349" spans="1:10">
      <c r="A349" s="55">
        <v>1219</v>
      </c>
      <c r="B349" s="114">
        <v>0.08</v>
      </c>
      <c r="C349" s="122">
        <v>0.72727272727272729</v>
      </c>
      <c r="D349" s="116">
        <v>312500000</v>
      </c>
      <c r="E349" s="241">
        <v>0.09</v>
      </c>
      <c r="F349" s="122">
        <v>-6.0000000000000331E-4</v>
      </c>
      <c r="G349" s="116">
        <v>4500000000</v>
      </c>
      <c r="H349" s="116">
        <v>9810309000</v>
      </c>
      <c r="I349" s="114">
        <v>0.45870114794549283</v>
      </c>
      <c r="J349" s="116">
        <v>50</v>
      </c>
    </row>
    <row r="350" spans="1:10">
      <c r="A350" s="55">
        <v>1467</v>
      </c>
      <c r="B350" s="114">
        <v>0.14000000000000001</v>
      </c>
      <c r="C350" s="122">
        <v>1</v>
      </c>
      <c r="D350" s="116">
        <v>207142857.14285713</v>
      </c>
      <c r="E350" s="241">
        <v>0.18</v>
      </c>
      <c r="F350" s="122">
        <v>1.2899999999999997E-2</v>
      </c>
      <c r="G350" s="116">
        <v>3272857142.8571429</v>
      </c>
      <c r="H350" s="116">
        <v>7115176000</v>
      </c>
      <c r="I350" s="114">
        <v>0.45998259816161158</v>
      </c>
      <c r="J350" s="116">
        <v>28.214285714285712</v>
      </c>
    </row>
    <row r="351" spans="1:10">
      <c r="A351" s="55">
        <v>5434</v>
      </c>
      <c r="B351" s="45">
        <v>1.61</v>
      </c>
      <c r="C351" s="123">
        <v>0.8012048192771084</v>
      </c>
      <c r="D351" s="121">
        <v>162732919.25465837</v>
      </c>
      <c r="E351" s="241">
        <v>0.14000000000000001</v>
      </c>
      <c r="F351" s="123">
        <v>4.1416666666666676E-3</v>
      </c>
      <c r="G351" s="46">
        <v>8803850931.6770172</v>
      </c>
      <c r="H351" s="46">
        <v>19071975000</v>
      </c>
      <c r="I351" s="56">
        <v>0.46161191652553119</v>
      </c>
      <c r="J351" s="125">
        <v>10.484985756316258</v>
      </c>
    </row>
    <row r="352" spans="1:10">
      <c r="A352" s="55">
        <v>4924</v>
      </c>
      <c r="B352" s="45">
        <v>-0.6</v>
      </c>
      <c r="C352" s="123">
        <v>0.73684210526315785</v>
      </c>
      <c r="D352" s="121">
        <v>36666666.666666672</v>
      </c>
      <c r="E352" s="241">
        <v>7.0000000000000007E-2</v>
      </c>
      <c r="F352" s="123">
        <v>1.2408333333333332E-2</v>
      </c>
      <c r="G352" s="46">
        <v>262533333.33333337</v>
      </c>
      <c r="H352" s="46">
        <v>566356000</v>
      </c>
      <c r="I352" s="56">
        <v>0.46354825115887072</v>
      </c>
      <c r="J352" s="125">
        <v>0</v>
      </c>
    </row>
    <row r="353" spans="1:11">
      <c r="A353" s="55">
        <v>3689</v>
      </c>
      <c r="B353" s="114">
        <v>0.54</v>
      </c>
      <c r="C353" s="122">
        <v>0.69411764705882351</v>
      </c>
      <c r="D353" s="116">
        <v>70370370.370370373</v>
      </c>
      <c r="E353" s="241">
        <v>0.2</v>
      </c>
      <c r="F353" s="122">
        <v>5.8750000000000052E-3</v>
      </c>
      <c r="G353" s="116">
        <v>2093518518.5185187</v>
      </c>
      <c r="H353" s="116">
        <v>4507777000</v>
      </c>
      <c r="I353" s="114">
        <v>0.46442371007228589</v>
      </c>
      <c r="J353" s="116">
        <v>19.842671060891398</v>
      </c>
    </row>
    <row r="354" spans="1:11">
      <c r="A354" s="55">
        <v>2399</v>
      </c>
      <c r="B354" s="114">
        <v>0.09</v>
      </c>
      <c r="C354" s="122">
        <v>1</v>
      </c>
      <c r="D354" s="116">
        <v>177777777.77777779</v>
      </c>
      <c r="E354" s="241">
        <v>0.05</v>
      </c>
      <c r="F354" s="122">
        <v>1.0287916666666665</v>
      </c>
      <c r="G354" s="116">
        <v>1315555555.5555558</v>
      </c>
      <c r="H354" s="116">
        <v>2830595000</v>
      </c>
      <c r="I354" s="114">
        <v>0.46476290516854435</v>
      </c>
      <c r="J354" s="116">
        <v>20.555555555555557</v>
      </c>
    </row>
    <row r="355" spans="1:11">
      <c r="A355" s="55">
        <v>3062</v>
      </c>
      <c r="B355" s="114">
        <v>0.38</v>
      </c>
      <c r="C355" s="122">
        <v>1</v>
      </c>
      <c r="D355" s="116">
        <v>323684210.52631581</v>
      </c>
      <c r="E355" s="241">
        <v>0.1</v>
      </c>
      <c r="F355" s="122">
        <v>-8.8583333333333378E-3</v>
      </c>
      <c r="G355" s="116">
        <v>6732631578.9473686</v>
      </c>
      <c r="H355" s="116">
        <v>14461542000</v>
      </c>
      <c r="I355" s="114">
        <v>0.46555419739799314</v>
      </c>
      <c r="J355" s="116">
        <v>13.684210526315789</v>
      </c>
    </row>
    <row r="356" spans="1:11">
      <c r="A356" s="55">
        <v>6603</v>
      </c>
      <c r="B356" s="45">
        <v>0.06</v>
      </c>
      <c r="C356" s="123">
        <v>7.1428571428571425E-2</v>
      </c>
      <c r="D356" s="121">
        <v>133333333.33333334</v>
      </c>
      <c r="E356" s="241">
        <v>0.27</v>
      </c>
      <c r="F356" s="123">
        <v>1.4233333333333329E-2</v>
      </c>
      <c r="G356" s="46">
        <v>1308000000.0000002</v>
      </c>
      <c r="H356" s="46">
        <v>2804777000</v>
      </c>
      <c r="I356" s="56">
        <v>0.46634723544866497</v>
      </c>
      <c r="J356" s="125">
        <v>50</v>
      </c>
    </row>
    <row r="357" spans="1:11">
      <c r="A357" s="55">
        <v>2367</v>
      </c>
      <c r="B357" s="114">
        <v>0.53</v>
      </c>
      <c r="C357" s="122">
        <v>0.6837944664031621</v>
      </c>
      <c r="D357" s="116">
        <v>562264150.94339621</v>
      </c>
      <c r="E357" s="241">
        <v>0.16</v>
      </c>
      <c r="F357" s="122">
        <v>-1.0416666666666663E-2</v>
      </c>
      <c r="G357" s="116">
        <v>6466037735.8490562</v>
      </c>
      <c r="H357" s="116">
        <v>13790019000</v>
      </c>
      <c r="I357" s="114">
        <v>0.46889259078243883</v>
      </c>
      <c r="J357" s="116">
        <v>7.9329806958228799</v>
      </c>
    </row>
    <row r="358" spans="1:11">
      <c r="A358" s="55">
        <v>3019</v>
      </c>
      <c r="B358" s="114">
        <v>0.64</v>
      </c>
      <c r="C358" s="122">
        <v>0.7416666666666667</v>
      </c>
      <c r="D358" s="116">
        <v>282812500</v>
      </c>
      <c r="E358" s="241">
        <v>0.18</v>
      </c>
      <c r="F358" s="122">
        <v>2.3475000000000006E-2</v>
      </c>
      <c r="G358" s="116">
        <v>8597500000</v>
      </c>
      <c r="H358" s="116">
        <v>18252901000</v>
      </c>
      <c r="I358" s="114">
        <v>0.47102101742621627</v>
      </c>
      <c r="J358" s="116">
        <v>16.011235955056179</v>
      </c>
    </row>
    <row r="359" spans="1:11">
      <c r="A359" s="55">
        <v>2465</v>
      </c>
      <c r="B359" s="114">
        <v>-0.37</v>
      </c>
      <c r="C359" s="122">
        <v>1</v>
      </c>
      <c r="D359" s="116">
        <v>108108108.1081081</v>
      </c>
      <c r="E359" s="241">
        <v>0.16</v>
      </c>
      <c r="F359" s="122">
        <v>9.391666666666669E-2</v>
      </c>
      <c r="G359" s="116">
        <v>1167567567.5675676</v>
      </c>
      <c r="H359" s="116">
        <v>2476902000</v>
      </c>
      <c r="I359" s="114">
        <v>0.47138222164928917</v>
      </c>
      <c r="J359" s="116">
        <v>0</v>
      </c>
    </row>
    <row r="360" spans="1:11">
      <c r="A360" s="55">
        <v>1524</v>
      </c>
      <c r="B360" s="114">
        <v>0.2</v>
      </c>
      <c r="C360" s="122">
        <v>0</v>
      </c>
      <c r="D360" s="116">
        <v>180000000</v>
      </c>
      <c r="E360" s="241">
        <v>0.2</v>
      </c>
      <c r="F360" s="122">
        <v>7.2583333333333345E-3</v>
      </c>
      <c r="G360" s="116">
        <v>1171800000</v>
      </c>
      <c r="H360" s="116">
        <v>2485230000</v>
      </c>
      <c r="I360" s="114">
        <v>0.47150565541217515</v>
      </c>
      <c r="J360" s="116">
        <v>0</v>
      </c>
    </row>
    <row r="361" spans="1:11">
      <c r="A361" s="55">
        <v>2468</v>
      </c>
      <c r="B361" s="114">
        <v>0.19</v>
      </c>
      <c r="C361" s="122">
        <v>0.62962962962962965</v>
      </c>
      <c r="D361" s="116">
        <v>68421052.631578952</v>
      </c>
      <c r="E361" s="241">
        <v>0.14000000000000001</v>
      </c>
      <c r="F361" s="122">
        <v>6.7274999999999988E-2</v>
      </c>
      <c r="G361" s="116">
        <v>691052631.57894742</v>
      </c>
      <c r="H361" s="116">
        <v>1454524000</v>
      </c>
      <c r="I361" s="114">
        <v>0.47510569201948366</v>
      </c>
      <c r="J361" s="116">
        <v>21.106811145510832</v>
      </c>
    </row>
    <row r="362" spans="1:11">
      <c r="A362" s="55">
        <v>1806</v>
      </c>
      <c r="B362" s="114">
        <v>0.13</v>
      </c>
      <c r="C362" s="122">
        <v>1</v>
      </c>
      <c r="D362" s="116">
        <v>430769230.76923078</v>
      </c>
      <c r="E362" s="241">
        <v>0.33</v>
      </c>
      <c r="F362" s="122">
        <v>6.8700000000000011E-2</v>
      </c>
      <c r="G362" s="116">
        <v>2873230769.2307692</v>
      </c>
      <c r="H362" s="116">
        <v>6040657000</v>
      </c>
      <c r="I362" s="114">
        <v>0.47564871987116125</v>
      </c>
      <c r="J362" s="116">
        <v>12.826923076923077</v>
      </c>
      <c r="K362" s="26"/>
    </row>
    <row r="363" spans="1:11">
      <c r="A363" s="55">
        <v>8182</v>
      </c>
      <c r="B363" s="45">
        <v>0.44</v>
      </c>
      <c r="C363" s="123">
        <v>0.68518518518518523</v>
      </c>
      <c r="D363" s="121">
        <v>106818181.81818181</v>
      </c>
      <c r="E363" s="241">
        <v>0.18</v>
      </c>
      <c r="F363" s="123">
        <v>1.4774999999999998E-2</v>
      </c>
      <c r="G363" s="46">
        <v>1345909090.9090908</v>
      </c>
      <c r="H363" s="46">
        <v>2817432000</v>
      </c>
      <c r="I363" s="56">
        <v>0.47770774624164514</v>
      </c>
      <c r="J363" s="125">
        <v>10.448402948402947</v>
      </c>
    </row>
    <row r="364" spans="1:11">
      <c r="A364" s="55">
        <v>5356</v>
      </c>
      <c r="B364" s="45">
        <v>1.46</v>
      </c>
      <c r="C364" s="123">
        <v>0.66533864541832666</v>
      </c>
      <c r="D364" s="121">
        <v>129452054.79452056</v>
      </c>
      <c r="E364" s="241">
        <v>0.13</v>
      </c>
      <c r="F364" s="123">
        <v>-3.5500000000000015E-3</v>
      </c>
      <c r="G364" s="46">
        <v>4466095890.4109592</v>
      </c>
      <c r="H364" s="46">
        <v>9307801000</v>
      </c>
      <c r="I364" s="56">
        <v>0.47982288087282476</v>
      </c>
      <c r="J364" s="125">
        <v>8.878988598146174</v>
      </c>
    </row>
    <row r="365" spans="1:11">
      <c r="A365" s="55">
        <v>8418</v>
      </c>
      <c r="B365" s="45">
        <v>-1.36</v>
      </c>
      <c r="C365" s="123">
        <v>0</v>
      </c>
      <c r="D365" s="121">
        <v>68382352.941176459</v>
      </c>
      <c r="E365" s="241">
        <v>7.0000000000000007E-2</v>
      </c>
      <c r="F365" s="123">
        <v>-2.5850000000000001E-2</v>
      </c>
      <c r="G365" s="46">
        <v>1025735294.1176469</v>
      </c>
      <c r="H365" s="46">
        <v>2136810000</v>
      </c>
      <c r="I365" s="56">
        <v>0.48003111840437235</v>
      </c>
      <c r="J365" s="125">
        <v>0</v>
      </c>
    </row>
    <row r="366" spans="1:11">
      <c r="A366" s="55">
        <v>6226</v>
      </c>
      <c r="B366" s="45">
        <v>0.04</v>
      </c>
      <c r="C366" s="123">
        <v>0.51851851851851849</v>
      </c>
      <c r="D366" s="121">
        <v>100000000</v>
      </c>
      <c r="E366" s="241">
        <v>0.39</v>
      </c>
      <c r="F366" s="123">
        <v>-7.6999999999999976E-3</v>
      </c>
      <c r="G366" s="46">
        <v>529000000</v>
      </c>
      <c r="H366" s="46">
        <v>1095921000</v>
      </c>
      <c r="I366" s="56">
        <v>0.48269902666341824</v>
      </c>
      <c r="J366" s="125">
        <v>50</v>
      </c>
    </row>
    <row r="367" spans="1:11">
      <c r="A367" s="55">
        <v>1810</v>
      </c>
      <c r="B367" s="114">
        <v>0.12</v>
      </c>
      <c r="C367" s="122">
        <v>0.4</v>
      </c>
      <c r="D367" s="116">
        <v>358333333.33333337</v>
      </c>
      <c r="E367" s="241">
        <v>0.27</v>
      </c>
      <c r="F367" s="122">
        <v>4.280833333333333E-2</v>
      </c>
      <c r="G367" s="116">
        <v>2891750000.0000005</v>
      </c>
      <c r="H367" s="116">
        <v>5988979000</v>
      </c>
      <c r="I367" s="114">
        <v>0.48284523956420627</v>
      </c>
      <c r="J367" s="116">
        <v>42.03125</v>
      </c>
    </row>
    <row r="368" spans="1:11">
      <c r="A368" s="55">
        <v>4175</v>
      </c>
      <c r="B368" s="45">
        <v>1.17</v>
      </c>
      <c r="C368" s="123">
        <v>0.8771929824561403</v>
      </c>
      <c r="D368" s="121">
        <v>24786324.786324788</v>
      </c>
      <c r="E368" s="241">
        <v>0.31</v>
      </c>
      <c r="F368" s="123">
        <v>1.596666666666666E-2</v>
      </c>
      <c r="G368" s="46">
        <v>1873846153.8461537</v>
      </c>
      <c r="H368" s="46">
        <v>3879578000</v>
      </c>
      <c r="I368" s="56">
        <v>0.48300257240507954</v>
      </c>
      <c r="J368" s="125">
        <v>18.415384615384617</v>
      </c>
    </row>
    <row r="369" spans="1:11">
      <c r="A369" s="55">
        <v>2618</v>
      </c>
      <c r="B369" s="114">
        <v>0.6</v>
      </c>
      <c r="C369" s="122">
        <v>1</v>
      </c>
      <c r="D369" s="116">
        <v>3870000000</v>
      </c>
      <c r="E369" s="241">
        <v>0.16</v>
      </c>
      <c r="F369" s="122">
        <v>3.9916666666666685E-3</v>
      </c>
      <c r="G369" s="116">
        <v>66370499999.999992</v>
      </c>
      <c r="H369" s="116">
        <v>137168544000</v>
      </c>
      <c r="I369" s="114">
        <v>0.48386093534680946</v>
      </c>
      <c r="J369" s="116">
        <v>7.145833333333333</v>
      </c>
    </row>
    <row r="370" spans="1:11">
      <c r="A370" s="55">
        <v>2024</v>
      </c>
      <c r="B370" s="114">
        <v>0.08</v>
      </c>
      <c r="C370" s="122">
        <v>1</v>
      </c>
      <c r="D370" s="116">
        <v>100000000</v>
      </c>
      <c r="E370" s="241">
        <v>0.09</v>
      </c>
      <c r="F370" s="122">
        <v>-5.1999999999999937E-3</v>
      </c>
      <c r="G370" s="116">
        <v>669000000</v>
      </c>
      <c r="H370" s="116">
        <v>1380466000</v>
      </c>
      <c r="I370" s="114">
        <v>0.48461896200268606</v>
      </c>
      <c r="J370" s="116">
        <v>20.90625</v>
      </c>
    </row>
    <row r="371" spans="1:11">
      <c r="A371" s="55">
        <v>5450</v>
      </c>
      <c r="B371" s="45">
        <v>-0.05</v>
      </c>
      <c r="C371" s="123">
        <v>1</v>
      </c>
      <c r="D371" s="121">
        <v>40000000</v>
      </c>
      <c r="E371" s="241">
        <v>0.24</v>
      </c>
      <c r="F371" s="123">
        <v>3.5666666666666659E-2</v>
      </c>
      <c r="G371" s="46">
        <v>375600000</v>
      </c>
      <c r="H371" s="46">
        <v>774192000</v>
      </c>
      <c r="I371" s="56">
        <v>0.4851509703019406</v>
      </c>
      <c r="J371" s="125">
        <v>0</v>
      </c>
    </row>
    <row r="372" spans="1:11">
      <c r="A372" s="55">
        <v>8110</v>
      </c>
      <c r="B372" s="45">
        <v>0.31</v>
      </c>
      <c r="C372" s="123">
        <v>0</v>
      </c>
      <c r="D372" s="121">
        <v>487096774.19354838</v>
      </c>
      <c r="E372" s="241">
        <v>0.06</v>
      </c>
      <c r="F372" s="123">
        <v>7.0833333333333284E-4</v>
      </c>
      <c r="G372" s="46">
        <v>3852935483.8709679</v>
      </c>
      <c r="H372" s="46">
        <v>7913596000</v>
      </c>
      <c r="I372" s="56">
        <v>0.48687543360451657</v>
      </c>
      <c r="J372" s="125">
        <v>0</v>
      </c>
    </row>
    <row r="373" spans="1:11">
      <c r="A373" s="55">
        <v>8176</v>
      </c>
      <c r="B373" s="45">
        <v>0.19</v>
      </c>
      <c r="C373" s="123">
        <v>1</v>
      </c>
      <c r="D373" s="121">
        <v>78947368.421052635</v>
      </c>
      <c r="E373" s="241">
        <v>0.28000000000000003</v>
      </c>
      <c r="F373" s="123">
        <v>0.10324166666666668</v>
      </c>
      <c r="G373" s="46">
        <v>647368421.0526315</v>
      </c>
      <c r="H373" s="46">
        <v>1326976000</v>
      </c>
      <c r="I373" s="56">
        <v>0.48785239601366681</v>
      </c>
      <c r="J373" s="125">
        <v>10.789473684210526</v>
      </c>
    </row>
    <row r="374" spans="1:11">
      <c r="A374" s="55">
        <v>6298</v>
      </c>
      <c r="B374" s="45">
        <v>0.66</v>
      </c>
      <c r="C374" s="123">
        <v>0.61963190184049077</v>
      </c>
      <c r="D374" s="121">
        <v>168181818.18181819</v>
      </c>
      <c r="E374" s="241">
        <v>0.16</v>
      </c>
      <c r="F374" s="123">
        <v>3.2666666666666699E-3</v>
      </c>
      <c r="G374" s="46">
        <v>2690909090.909091</v>
      </c>
      <c r="H374" s="46">
        <v>5512233000</v>
      </c>
      <c r="I374" s="56">
        <v>0.4881704185779322</v>
      </c>
      <c r="J374" s="125">
        <v>9.7809780978097809</v>
      </c>
      <c r="K374" s="26"/>
    </row>
    <row r="375" spans="1:11">
      <c r="A375" s="55">
        <v>3296</v>
      </c>
      <c r="B375" s="114">
        <v>0.37</v>
      </c>
      <c r="C375" s="122">
        <v>0</v>
      </c>
      <c r="D375" s="116">
        <v>110810810.81081082</v>
      </c>
      <c r="E375" s="241">
        <v>0.17</v>
      </c>
      <c r="F375" s="122">
        <v>1.8883333333333332E-2</v>
      </c>
      <c r="G375" s="116">
        <v>1318648648.6486487</v>
      </c>
      <c r="H375" s="116">
        <v>2696818000</v>
      </c>
      <c r="I375" s="114">
        <v>0.48896464227420938</v>
      </c>
      <c r="J375" s="116">
        <v>0</v>
      </c>
    </row>
    <row r="376" spans="1:11">
      <c r="A376" s="55">
        <v>3528</v>
      </c>
      <c r="B376" s="114">
        <v>0.9</v>
      </c>
      <c r="C376" s="122">
        <v>1</v>
      </c>
      <c r="D376" s="116">
        <v>56666666.666666664</v>
      </c>
      <c r="E376" s="241">
        <v>0.17</v>
      </c>
      <c r="F376" s="122">
        <v>2.3991666666666665E-2</v>
      </c>
      <c r="G376" s="116">
        <v>1598000000</v>
      </c>
      <c r="H376" s="116">
        <v>3254736000</v>
      </c>
      <c r="I376" s="114">
        <v>0.49097684113242979</v>
      </c>
      <c r="J376" s="116">
        <v>7.833333333333333</v>
      </c>
    </row>
    <row r="377" spans="1:11">
      <c r="A377" s="55">
        <v>6109</v>
      </c>
      <c r="B377" s="45">
        <v>0.56000000000000005</v>
      </c>
      <c r="C377" s="123">
        <v>0.45569620253164556</v>
      </c>
      <c r="D377" s="121">
        <v>73214285.714285702</v>
      </c>
      <c r="E377" s="241">
        <v>0.21</v>
      </c>
      <c r="F377" s="123">
        <v>2.160833333333333E-2</v>
      </c>
      <c r="G377" s="46">
        <v>973749999.99999988</v>
      </c>
      <c r="H377" s="46">
        <v>1982194000</v>
      </c>
      <c r="I377" s="56">
        <v>0.49124858616260564</v>
      </c>
      <c r="J377" s="125">
        <v>13.029513888888889</v>
      </c>
    </row>
    <row r="378" spans="1:11">
      <c r="A378" s="55">
        <v>5291</v>
      </c>
      <c r="B378" s="45">
        <v>0.51</v>
      </c>
      <c r="C378" s="123">
        <v>0</v>
      </c>
      <c r="D378" s="121">
        <v>33333333.333333332</v>
      </c>
      <c r="E378" s="241">
        <v>0.11</v>
      </c>
      <c r="F378" s="123">
        <v>-1.8550000000000001E-2</v>
      </c>
      <c r="G378" s="46">
        <v>500000000</v>
      </c>
      <c r="H378" s="46">
        <v>1017775000</v>
      </c>
      <c r="I378" s="56">
        <v>0.4912677163420206</v>
      </c>
      <c r="J378" s="125">
        <v>0</v>
      </c>
    </row>
    <row r="379" spans="1:11">
      <c r="A379" s="55">
        <v>5516</v>
      </c>
      <c r="B379" s="45">
        <v>-0.11</v>
      </c>
      <c r="C379" s="123">
        <v>0</v>
      </c>
      <c r="D379" s="121">
        <v>36363636.363636367</v>
      </c>
      <c r="E379" s="241">
        <v>0.03</v>
      </c>
      <c r="F379" s="123">
        <v>0.43519999999999998</v>
      </c>
      <c r="G379" s="46">
        <v>310909090.90909094</v>
      </c>
      <c r="H379" s="46">
        <v>632848000</v>
      </c>
      <c r="I379" s="56">
        <v>0.49128557079913493</v>
      </c>
      <c r="J379" s="125">
        <v>0</v>
      </c>
    </row>
    <row r="380" spans="1:11">
      <c r="A380" s="55">
        <v>6121</v>
      </c>
      <c r="B380" s="45">
        <v>2.5099999999999998</v>
      </c>
      <c r="C380" s="123">
        <v>0.72040133779264215</v>
      </c>
      <c r="D380" s="121">
        <v>307968127.49003989</v>
      </c>
      <c r="E380" s="241">
        <v>0.1</v>
      </c>
      <c r="F380" s="123">
        <v>-1.0424999999999995E-2</v>
      </c>
      <c r="G380" s="46">
        <v>31566733067.729088</v>
      </c>
      <c r="H380" s="46">
        <v>64236256000</v>
      </c>
      <c r="I380" s="56">
        <v>0.49141614149693108</v>
      </c>
      <c r="J380" s="125">
        <v>14.171494153377207</v>
      </c>
    </row>
    <row r="381" spans="1:11">
      <c r="A381" s="55">
        <v>2461</v>
      </c>
      <c r="B381" s="114">
        <v>0.46</v>
      </c>
      <c r="C381" s="122">
        <v>0.89622641509433965</v>
      </c>
      <c r="D381" s="116">
        <v>143478260.86956522</v>
      </c>
      <c r="E381" s="241">
        <v>0.25</v>
      </c>
      <c r="F381" s="122">
        <v>1.1674999999999998E-2</v>
      </c>
      <c r="G381" s="116">
        <v>1994347826.0869565</v>
      </c>
      <c r="H381" s="116">
        <v>4058184000</v>
      </c>
      <c r="I381" s="114">
        <v>0.49143849221399438</v>
      </c>
      <c r="J381" s="116">
        <v>8.4290617848970246</v>
      </c>
    </row>
    <row r="382" spans="1:11">
      <c r="A382" s="55">
        <v>3290</v>
      </c>
      <c r="B382" s="114">
        <v>0.22</v>
      </c>
      <c r="C382" s="122">
        <v>0</v>
      </c>
      <c r="D382" s="116">
        <v>100000000</v>
      </c>
      <c r="E382" s="241">
        <v>0.16</v>
      </c>
      <c r="F382" s="122">
        <v>-1.4874999999999994E-2</v>
      </c>
      <c r="G382" s="116">
        <v>1290000000</v>
      </c>
      <c r="H382" s="116">
        <v>2620552000</v>
      </c>
      <c r="I382" s="114">
        <v>0.49226269885123441</v>
      </c>
      <c r="J382" s="116">
        <v>0</v>
      </c>
    </row>
    <row r="383" spans="1:11">
      <c r="A383" s="55">
        <v>5701</v>
      </c>
      <c r="B383" s="45">
        <v>-0.43</v>
      </c>
      <c r="C383" s="123">
        <v>0.91836734693877553</v>
      </c>
      <c r="D383" s="121">
        <v>253488372.09302327</v>
      </c>
      <c r="E383" s="241">
        <v>0.48</v>
      </c>
      <c r="F383" s="123">
        <v>1.1408333333333335E-2</v>
      </c>
      <c r="G383" s="46">
        <v>763000000</v>
      </c>
      <c r="H383" s="46">
        <v>1534831000</v>
      </c>
      <c r="I383" s="56">
        <v>0.49712313603256647</v>
      </c>
      <c r="J383" s="125">
        <v>0</v>
      </c>
    </row>
    <row r="384" spans="1:11">
      <c r="A384" s="55">
        <v>2415</v>
      </c>
      <c r="B384" s="114">
        <v>0.4</v>
      </c>
      <c r="C384" s="122">
        <v>1</v>
      </c>
      <c r="D384" s="116">
        <v>90000000</v>
      </c>
      <c r="E384" s="241">
        <v>0.26</v>
      </c>
      <c r="F384" s="122">
        <v>1.0558333333333334E-2</v>
      </c>
      <c r="G384" s="116">
        <v>1071000000</v>
      </c>
      <c r="H384" s="116">
        <v>2151628000</v>
      </c>
      <c r="I384" s="114">
        <v>0.49776262439417968</v>
      </c>
      <c r="J384" s="116">
        <v>7.4375</v>
      </c>
    </row>
    <row r="385" spans="1:10">
      <c r="A385" s="55">
        <v>2313</v>
      </c>
      <c r="B385" s="114">
        <v>0.8</v>
      </c>
      <c r="C385" s="122">
        <v>1</v>
      </c>
      <c r="D385" s="116">
        <v>1192500000</v>
      </c>
      <c r="E385" s="241">
        <v>0.15</v>
      </c>
      <c r="F385" s="122">
        <v>2.1725000000000005E-2</v>
      </c>
      <c r="G385" s="116">
        <v>22180500000</v>
      </c>
      <c r="H385" s="116">
        <v>44376680000</v>
      </c>
      <c r="I385" s="114">
        <v>0.49982333063221496</v>
      </c>
      <c r="J385" s="116">
        <v>5.8125</v>
      </c>
    </row>
    <row r="386" spans="1:10">
      <c r="A386" s="55">
        <v>3632</v>
      </c>
      <c r="B386" s="114">
        <v>1.05</v>
      </c>
      <c r="C386" s="122">
        <v>0.92307692307692313</v>
      </c>
      <c r="D386" s="116">
        <v>30476190.476190474</v>
      </c>
      <c r="E386" s="241">
        <v>0.27</v>
      </c>
      <c r="F386" s="122">
        <v>4.1416666666666671E-2</v>
      </c>
      <c r="G386" s="116">
        <v>731428571.42857134</v>
      </c>
      <c r="H386" s="116">
        <v>1463043000</v>
      </c>
      <c r="I386" s="114">
        <v>0.49993648267930019</v>
      </c>
      <c r="J386" s="116">
        <v>6.1904761904761898</v>
      </c>
    </row>
    <row r="387" spans="1:10">
      <c r="A387" s="55">
        <v>1522</v>
      </c>
      <c r="B387" s="114">
        <v>0.91</v>
      </c>
      <c r="C387" s="122">
        <v>0.45591939546599497</v>
      </c>
      <c r="D387" s="116">
        <v>312087912.08791208</v>
      </c>
      <c r="E387" s="241">
        <v>0.21</v>
      </c>
      <c r="F387" s="122">
        <v>-1.783333333333333E-2</v>
      </c>
      <c r="G387" s="116">
        <v>7521318681.3186817</v>
      </c>
      <c r="H387" s="116">
        <v>15018240000</v>
      </c>
      <c r="I387" s="114">
        <v>0.50081225771586291</v>
      </c>
      <c r="J387" s="116">
        <v>14.522038734745918</v>
      </c>
    </row>
    <row r="388" spans="1:10">
      <c r="A388" s="55">
        <v>5902</v>
      </c>
      <c r="B388" s="45">
        <v>0.14000000000000001</v>
      </c>
      <c r="C388" s="123">
        <v>0.6875</v>
      </c>
      <c r="D388" s="121">
        <v>92857142.857142851</v>
      </c>
      <c r="E388" s="241">
        <v>0.1</v>
      </c>
      <c r="F388" s="123">
        <v>1.9908333333333337E-2</v>
      </c>
      <c r="G388" s="46">
        <v>998214285.71428561</v>
      </c>
      <c r="H388" s="46">
        <v>1991873000</v>
      </c>
      <c r="I388" s="56">
        <v>0.50114353963043101</v>
      </c>
      <c r="J388" s="125">
        <v>27.922077922077921</v>
      </c>
    </row>
    <row r="389" spans="1:10">
      <c r="A389" s="55">
        <v>5015</v>
      </c>
      <c r="B389" s="45">
        <v>1.04</v>
      </c>
      <c r="C389" s="123">
        <v>0.81481481481481477</v>
      </c>
      <c r="D389" s="121">
        <v>60576923.076923072</v>
      </c>
      <c r="E389" s="241">
        <v>0.18</v>
      </c>
      <c r="F389" s="123">
        <v>1.9025000000000011E-2</v>
      </c>
      <c r="G389" s="46">
        <v>1041923076.9230767</v>
      </c>
      <c r="H389" s="46">
        <v>2074293000</v>
      </c>
      <c r="I389" s="56">
        <v>0.50230274938163355</v>
      </c>
      <c r="J389" s="125">
        <v>5.0743006993006992</v>
      </c>
    </row>
    <row r="390" spans="1:10">
      <c r="A390" s="55">
        <v>4502</v>
      </c>
      <c r="B390" s="45">
        <v>-1.38</v>
      </c>
      <c r="C390" s="123">
        <v>0.72</v>
      </c>
      <c r="D390" s="121">
        <v>27536231.884057973</v>
      </c>
      <c r="E390" s="241">
        <v>0.06</v>
      </c>
      <c r="F390" s="123">
        <v>0.173925</v>
      </c>
      <c r="G390" s="46">
        <v>843985507.24637687</v>
      </c>
      <c r="H390" s="46">
        <v>1672730000</v>
      </c>
      <c r="I390" s="56">
        <v>0.50455573059990366</v>
      </c>
      <c r="J390" s="125">
        <v>0</v>
      </c>
    </row>
    <row r="391" spans="1:10">
      <c r="A391" s="55">
        <v>1218</v>
      </c>
      <c r="B391" s="114">
        <v>0.3</v>
      </c>
      <c r="C391" s="122">
        <v>0</v>
      </c>
      <c r="D391" s="116">
        <v>336666666.66666669</v>
      </c>
      <c r="E391" s="241">
        <v>0.2</v>
      </c>
      <c r="F391" s="122">
        <v>-9.1833333333333367E-3</v>
      </c>
      <c r="G391" s="116">
        <v>4073666666.666667</v>
      </c>
      <c r="H391" s="116">
        <v>8070526000</v>
      </c>
      <c r="I391" s="114">
        <v>0.50475850851191939</v>
      </c>
      <c r="J391" s="116">
        <v>0</v>
      </c>
    </row>
    <row r="392" spans="1:10">
      <c r="A392" s="55">
        <v>8924</v>
      </c>
      <c r="B392" s="45">
        <v>-0.09</v>
      </c>
      <c r="C392" s="123">
        <v>1</v>
      </c>
      <c r="D392" s="121">
        <v>122222222.22222222</v>
      </c>
      <c r="E392" s="241">
        <v>0.11</v>
      </c>
      <c r="F392" s="123">
        <v>2.9225000000000011E-2</v>
      </c>
      <c r="G392" s="46">
        <v>2273333333.3333335</v>
      </c>
      <c r="H392" s="46">
        <v>4501924000</v>
      </c>
      <c r="I392" s="56">
        <v>0.50496928276295505</v>
      </c>
      <c r="J392" s="125">
        <v>0</v>
      </c>
    </row>
    <row r="393" spans="1:10">
      <c r="A393" s="55">
        <v>2067</v>
      </c>
      <c r="B393" s="114">
        <v>-0.25</v>
      </c>
      <c r="C393" s="122">
        <v>1</v>
      </c>
      <c r="D393" s="116">
        <v>32000000</v>
      </c>
      <c r="E393" s="241">
        <v>0.16</v>
      </c>
      <c r="F393" s="122">
        <v>4.5691666666666665E-2</v>
      </c>
      <c r="G393" s="116">
        <v>436800000</v>
      </c>
      <c r="H393" s="116">
        <v>863002000</v>
      </c>
      <c r="I393" s="114">
        <v>0.50614019434485669</v>
      </c>
      <c r="J393" s="116">
        <v>0</v>
      </c>
    </row>
    <row r="394" spans="1:10">
      <c r="A394" s="55">
        <v>4927</v>
      </c>
      <c r="B394" s="45">
        <v>2.02</v>
      </c>
      <c r="C394" s="123">
        <v>1</v>
      </c>
      <c r="D394" s="121">
        <v>122772277.22772276</v>
      </c>
      <c r="E394" s="241">
        <v>0.23</v>
      </c>
      <c r="F394" s="123">
        <v>1.315E-2</v>
      </c>
      <c r="G394" s="46">
        <v>4376831683.1683159</v>
      </c>
      <c r="H394" s="46">
        <v>8628754000</v>
      </c>
      <c r="I394" s="56">
        <v>0.50723797238492552</v>
      </c>
      <c r="J394" s="125">
        <v>4.4121287128712865</v>
      </c>
    </row>
    <row r="395" spans="1:10">
      <c r="A395" s="55">
        <v>2427</v>
      </c>
      <c r="B395" s="114">
        <v>0.12</v>
      </c>
      <c r="C395" s="122">
        <v>0</v>
      </c>
      <c r="D395" s="116">
        <v>191666666.66666669</v>
      </c>
      <c r="E395" s="241">
        <v>0.39</v>
      </c>
      <c r="F395" s="122">
        <v>0.1134416666666667</v>
      </c>
      <c r="G395" s="116">
        <v>1150000000</v>
      </c>
      <c r="H395" s="116">
        <v>2263019000</v>
      </c>
      <c r="I395" s="114">
        <v>0.50817072238456684</v>
      </c>
      <c r="J395" s="116">
        <v>0</v>
      </c>
    </row>
    <row r="396" spans="1:10">
      <c r="A396" s="55">
        <v>1418</v>
      </c>
      <c r="B396" s="114">
        <v>-0.18</v>
      </c>
      <c r="C396" s="122">
        <v>1</v>
      </c>
      <c r="D396" s="116">
        <v>127777777.77777778</v>
      </c>
      <c r="E396" s="241">
        <v>0.01</v>
      </c>
      <c r="F396" s="122">
        <v>0.18155833333333329</v>
      </c>
      <c r="G396" s="116">
        <v>741111111.11111104</v>
      </c>
      <c r="H396" s="116">
        <v>1454403000</v>
      </c>
      <c r="I396" s="114">
        <v>0.50956379429299237</v>
      </c>
      <c r="J396" s="116">
        <v>0</v>
      </c>
    </row>
    <row r="397" spans="1:10">
      <c r="A397" s="55">
        <v>6412</v>
      </c>
      <c r="B397" s="45">
        <v>0.81</v>
      </c>
      <c r="C397" s="123">
        <v>0.76297577854671284</v>
      </c>
      <c r="D397" s="121">
        <v>360493827.16049379</v>
      </c>
      <c r="E397" s="241">
        <v>0.16</v>
      </c>
      <c r="F397" s="123">
        <v>7.4083333333333336E-3</v>
      </c>
      <c r="G397" s="46">
        <v>13518518518.518517</v>
      </c>
      <c r="H397" s="46">
        <v>26526875000</v>
      </c>
      <c r="I397" s="56">
        <v>0.50961594679051025</v>
      </c>
      <c r="J397" s="125">
        <v>15.169648106156041</v>
      </c>
    </row>
    <row r="398" spans="1:10">
      <c r="A398" s="55">
        <v>2064</v>
      </c>
      <c r="B398" s="114">
        <v>0.75</v>
      </c>
      <c r="C398" s="122">
        <v>0.3783783783783784</v>
      </c>
      <c r="D398" s="116">
        <v>69333333.333333328</v>
      </c>
      <c r="E398" s="241">
        <v>7.0000000000000007E-2</v>
      </c>
      <c r="F398" s="122">
        <v>1.0833333333333413E-4</v>
      </c>
      <c r="G398" s="116">
        <v>1178666666.6666665</v>
      </c>
      <c r="H398" s="116">
        <v>2306291000</v>
      </c>
      <c r="I398" s="114">
        <v>0.51106589180058648</v>
      </c>
      <c r="J398" s="116">
        <v>14.976190476190476</v>
      </c>
    </row>
    <row r="399" spans="1:10">
      <c r="A399" s="55">
        <v>8289</v>
      </c>
      <c r="B399" s="45">
        <v>0.54</v>
      </c>
      <c r="C399" s="123">
        <v>0.32727272727272727</v>
      </c>
      <c r="D399" s="121">
        <v>77777777.777777776</v>
      </c>
      <c r="E399" s="241">
        <v>0.21</v>
      </c>
      <c r="F399" s="123">
        <v>1.6216666666666667E-2</v>
      </c>
      <c r="G399" s="46">
        <v>816666666.66666663</v>
      </c>
      <c r="H399" s="46">
        <v>1595482000</v>
      </c>
      <c r="I399" s="56">
        <v>0.51186203709391054</v>
      </c>
      <c r="J399" s="125">
        <v>14.853395061728394</v>
      </c>
    </row>
    <row r="400" spans="1:10">
      <c r="A400" s="55">
        <v>6266</v>
      </c>
      <c r="B400" s="45">
        <v>0.23</v>
      </c>
      <c r="C400" s="123">
        <v>0.5636363636363636</v>
      </c>
      <c r="D400" s="121">
        <v>86956521.739130437</v>
      </c>
      <c r="E400" s="241">
        <v>0.11</v>
      </c>
      <c r="F400" s="123">
        <v>3.78E-2</v>
      </c>
      <c r="G400" s="46">
        <v>1126086956.521739</v>
      </c>
      <c r="H400" s="46">
        <v>2195627000</v>
      </c>
      <c r="I400" s="56">
        <v>0.51287716744316725</v>
      </c>
      <c r="J400" s="125">
        <v>24.973702664796633</v>
      </c>
    </row>
    <row r="401" spans="1:10">
      <c r="A401" s="55">
        <v>2406</v>
      </c>
      <c r="B401" s="114">
        <v>0.44</v>
      </c>
      <c r="C401" s="122">
        <v>1</v>
      </c>
      <c r="D401" s="116">
        <v>304545454.54545456</v>
      </c>
      <c r="E401" s="241">
        <v>0.16</v>
      </c>
      <c r="F401" s="122">
        <v>4.2449999999999995E-2</v>
      </c>
      <c r="G401" s="116">
        <v>9684545454.5454559</v>
      </c>
      <c r="H401" s="116">
        <v>18839494000</v>
      </c>
      <c r="I401" s="114">
        <v>0.51405549716703935</v>
      </c>
      <c r="J401" s="116">
        <v>18.06818181818182</v>
      </c>
    </row>
    <row r="402" spans="1:10">
      <c r="A402" s="55">
        <v>2208</v>
      </c>
      <c r="B402" s="114">
        <v>0.11</v>
      </c>
      <c r="C402" s="122">
        <v>0.56756756756756754</v>
      </c>
      <c r="D402" s="116">
        <v>745454545.4545455</v>
      </c>
      <c r="E402" s="241">
        <v>0.04</v>
      </c>
      <c r="F402" s="122">
        <v>1.1133333333333335E-2</v>
      </c>
      <c r="G402" s="116">
        <v>10920909090.909092</v>
      </c>
      <c r="H402" s="116">
        <v>21223265000</v>
      </c>
      <c r="I402" s="114">
        <v>0.51457252646607821</v>
      </c>
      <c r="J402" s="116">
        <v>50</v>
      </c>
    </row>
    <row r="403" spans="1:10">
      <c r="A403" s="55">
        <v>2444</v>
      </c>
      <c r="B403" s="114">
        <v>0.45</v>
      </c>
      <c r="C403" s="122">
        <v>1</v>
      </c>
      <c r="D403" s="116">
        <v>84444444.444444448</v>
      </c>
      <c r="E403" s="241">
        <v>0.15</v>
      </c>
      <c r="F403" s="122">
        <v>1.0249999999999981E-3</v>
      </c>
      <c r="G403" s="116">
        <v>837688888.88888896</v>
      </c>
      <c r="H403" s="116">
        <v>1627020000</v>
      </c>
      <c r="I403" s="114">
        <v>0.51486084306824065</v>
      </c>
      <c r="J403" s="116">
        <v>5.5111111111111111</v>
      </c>
    </row>
    <row r="404" spans="1:10">
      <c r="A404" s="55">
        <v>1259</v>
      </c>
      <c r="B404" s="114">
        <v>1.67</v>
      </c>
      <c r="C404" s="122">
        <v>1</v>
      </c>
      <c r="D404" s="116">
        <v>32335329.341317367</v>
      </c>
      <c r="E404" s="241">
        <v>0.28000000000000003</v>
      </c>
      <c r="F404" s="122">
        <v>8.1166666666666661E-3</v>
      </c>
      <c r="G404" s="116">
        <v>2282874251.4970059</v>
      </c>
      <c r="H404" s="116">
        <v>4424546000</v>
      </c>
      <c r="I404" s="114">
        <v>0.51595672222573929</v>
      </c>
      <c r="J404" s="116">
        <v>10.568862275449101</v>
      </c>
    </row>
    <row r="405" spans="1:10">
      <c r="A405" s="55">
        <v>1905</v>
      </c>
      <c r="B405" s="114">
        <v>0.23</v>
      </c>
      <c r="C405" s="122">
        <v>0.77389277389277389</v>
      </c>
      <c r="D405" s="116">
        <v>1169565217.3913043</v>
      </c>
      <c r="E405" s="241">
        <v>0.11</v>
      </c>
      <c r="F405" s="122">
        <v>1.56666666666667E-3</v>
      </c>
      <c r="G405" s="116">
        <v>10841869565.21739</v>
      </c>
      <c r="H405" s="116">
        <v>20990620000</v>
      </c>
      <c r="I405" s="114">
        <v>0.51651021099983663</v>
      </c>
      <c r="J405" s="116">
        <v>13.020003928758511</v>
      </c>
    </row>
    <row r="406" spans="1:10">
      <c r="A406" s="55">
        <v>1471</v>
      </c>
      <c r="B406" s="114">
        <v>-0.22</v>
      </c>
      <c r="C406" s="122">
        <v>1</v>
      </c>
      <c r="D406" s="116">
        <v>200000000</v>
      </c>
      <c r="E406" s="241">
        <v>-0.06</v>
      </c>
      <c r="F406" s="122">
        <v>-3.7058333333333332E-2</v>
      </c>
      <c r="G406" s="116">
        <v>900000000</v>
      </c>
      <c r="H406" s="116">
        <v>1740516000</v>
      </c>
      <c r="I406" s="114">
        <v>0.51708803596174924</v>
      </c>
      <c r="J406" s="116">
        <v>0</v>
      </c>
    </row>
    <row r="407" spans="1:10">
      <c r="A407" s="55">
        <v>6290</v>
      </c>
      <c r="B407" s="45">
        <v>0.78</v>
      </c>
      <c r="C407" s="123">
        <v>0.18390804597701149</v>
      </c>
      <c r="D407" s="121">
        <v>134615384.61538461</v>
      </c>
      <c r="E407" s="241">
        <v>0.14000000000000001</v>
      </c>
      <c r="F407" s="123">
        <v>9.1666666666666598E-3</v>
      </c>
      <c r="G407" s="46">
        <v>3816346153.8461537</v>
      </c>
      <c r="H407" s="46">
        <v>7370610000</v>
      </c>
      <c r="I407" s="56">
        <v>0.51777887499761266</v>
      </c>
      <c r="J407" s="125">
        <v>49.408052884615387</v>
      </c>
    </row>
    <row r="408" spans="1:10">
      <c r="A408" s="55">
        <v>8064</v>
      </c>
      <c r="B408" s="45">
        <v>0.12</v>
      </c>
      <c r="C408" s="123">
        <v>0</v>
      </c>
      <c r="D408" s="121">
        <v>133333333.33333334</v>
      </c>
      <c r="E408" s="241">
        <v>0.18</v>
      </c>
      <c r="F408" s="123">
        <v>3.6549999999999999E-2</v>
      </c>
      <c r="G408" s="46">
        <v>1586666666.6666667</v>
      </c>
      <c r="H408" s="46">
        <v>3051177000</v>
      </c>
      <c r="I408" s="56">
        <v>0.52001790347353394</v>
      </c>
      <c r="J408" s="125">
        <v>0</v>
      </c>
    </row>
    <row r="409" spans="1:10">
      <c r="A409" s="55">
        <v>3224</v>
      </c>
      <c r="B409" s="114">
        <v>0.3</v>
      </c>
      <c r="C409" s="122">
        <v>0</v>
      </c>
      <c r="D409" s="116">
        <v>40000000</v>
      </c>
      <c r="E409" s="241">
        <v>0.09</v>
      </c>
      <c r="F409" s="122">
        <v>2.7958333333333335E-2</v>
      </c>
      <c r="G409" s="116">
        <v>1120000000</v>
      </c>
      <c r="H409" s="116">
        <v>2142229000</v>
      </c>
      <c r="I409" s="114">
        <v>0.52281992261331534</v>
      </c>
      <c r="J409" s="116">
        <v>0</v>
      </c>
    </row>
    <row r="410" spans="1:10">
      <c r="A410" s="55">
        <v>6247</v>
      </c>
      <c r="B410" s="45">
        <v>0.96</v>
      </c>
      <c r="C410" s="123">
        <v>0.44736842105263158</v>
      </c>
      <c r="D410" s="121">
        <v>60416666.666666672</v>
      </c>
      <c r="E410" s="241">
        <v>0.23</v>
      </c>
      <c r="F410" s="123">
        <v>5.7316666666666648E-2</v>
      </c>
      <c r="G410" s="46">
        <v>721979166.66666663</v>
      </c>
      <c r="H410" s="46">
        <v>1378791000</v>
      </c>
      <c r="I410" s="56">
        <v>0.52363205639336685</v>
      </c>
      <c r="J410" s="125">
        <v>6.956188725490196</v>
      </c>
    </row>
    <row r="411" spans="1:10">
      <c r="A411" s="55">
        <v>9955</v>
      </c>
      <c r="B411" s="45">
        <v>-0.23</v>
      </c>
      <c r="C411" s="123">
        <v>0.98305084745762716</v>
      </c>
      <c r="D411" s="121">
        <v>100000000</v>
      </c>
      <c r="E411" s="241">
        <v>-0.01</v>
      </c>
      <c r="F411" s="123">
        <v>0.14774999999999996</v>
      </c>
      <c r="G411" s="46">
        <v>1215000000</v>
      </c>
      <c r="H411" s="46">
        <v>2317213000</v>
      </c>
      <c r="I411" s="56">
        <v>0.52433677870787021</v>
      </c>
      <c r="J411" s="125">
        <v>0</v>
      </c>
    </row>
    <row r="412" spans="1:10">
      <c r="A412" s="55">
        <v>3652</v>
      </c>
      <c r="B412" s="114">
        <v>0.03</v>
      </c>
      <c r="C412" s="122">
        <v>0.66666666666666663</v>
      </c>
      <c r="D412" s="116">
        <v>66666666.666666672</v>
      </c>
      <c r="E412" s="241">
        <v>0.34</v>
      </c>
      <c r="F412" s="122">
        <v>3.0708333333333334E-2</v>
      </c>
      <c r="G412" s="116">
        <v>1073333333.3333335</v>
      </c>
      <c r="H412" s="116">
        <v>2045278000</v>
      </c>
      <c r="I412" s="114">
        <v>0.52478603560656967</v>
      </c>
      <c r="J412" s="116">
        <v>50</v>
      </c>
    </row>
    <row r="413" spans="1:10">
      <c r="A413" s="55">
        <v>9919</v>
      </c>
      <c r="B413" s="45">
        <v>0.03</v>
      </c>
      <c r="C413" s="123">
        <v>1</v>
      </c>
      <c r="D413" s="121">
        <v>200000000</v>
      </c>
      <c r="E413" s="241">
        <v>0.1</v>
      </c>
      <c r="F413" s="123">
        <v>4.5966666666666663E-2</v>
      </c>
      <c r="G413" s="46">
        <v>2360000000</v>
      </c>
      <c r="H413" s="46">
        <v>4475154000</v>
      </c>
      <c r="I413" s="56">
        <v>0.52735615355359833</v>
      </c>
      <c r="J413" s="125">
        <v>50</v>
      </c>
    </row>
    <row r="414" spans="1:10">
      <c r="A414" s="55">
        <v>2903</v>
      </c>
      <c r="B414" s="114">
        <v>0.51</v>
      </c>
      <c r="C414" s="122">
        <v>0.33487833140208573</v>
      </c>
      <c r="D414" s="116">
        <v>1427450980.3921568</v>
      </c>
      <c r="E414" s="241">
        <v>0.5</v>
      </c>
      <c r="F414" s="122">
        <v>1.2766666666666662E-2</v>
      </c>
      <c r="G414" s="116">
        <v>23767058823.529408</v>
      </c>
      <c r="H414" s="116">
        <v>45005371000</v>
      </c>
      <c r="I414" s="114">
        <v>0.52809383181241654</v>
      </c>
      <c r="J414" s="116">
        <v>24.372328516181557</v>
      </c>
    </row>
    <row r="415" spans="1:10">
      <c r="A415" s="55">
        <v>3018</v>
      </c>
      <c r="B415" s="114">
        <v>-0.05</v>
      </c>
      <c r="C415" s="122">
        <v>1</v>
      </c>
      <c r="D415" s="116">
        <v>40000000</v>
      </c>
      <c r="E415" s="241">
        <v>0.08</v>
      </c>
      <c r="F415" s="122">
        <v>-1.4783333333333334E-2</v>
      </c>
      <c r="G415" s="116">
        <v>600000000</v>
      </c>
      <c r="H415" s="116">
        <v>1135534000</v>
      </c>
      <c r="I415" s="114">
        <v>0.52838576387849245</v>
      </c>
      <c r="J415" s="116">
        <v>0</v>
      </c>
    </row>
    <row r="416" spans="1:10">
      <c r="A416" s="55">
        <v>4720</v>
      </c>
      <c r="B416" s="45">
        <v>0.5</v>
      </c>
      <c r="C416" s="123">
        <v>0.6470588235294118</v>
      </c>
      <c r="D416" s="121">
        <v>80000000</v>
      </c>
      <c r="E416" s="241">
        <v>0.22</v>
      </c>
      <c r="F416" s="123">
        <v>4.7958333333333325E-2</v>
      </c>
      <c r="G416" s="46">
        <v>1296000000</v>
      </c>
      <c r="H416" s="46">
        <v>2452263000</v>
      </c>
      <c r="I416" s="56">
        <v>0.52849143831636325</v>
      </c>
      <c r="J416" s="125">
        <v>12.518181818181818</v>
      </c>
    </row>
    <row r="417" spans="1:10">
      <c r="A417" s="55">
        <v>1473</v>
      </c>
      <c r="B417" s="114">
        <v>0.36</v>
      </c>
      <c r="C417" s="122">
        <v>0</v>
      </c>
      <c r="D417" s="116">
        <v>147222222.22222224</v>
      </c>
      <c r="E417" s="241">
        <v>0.13</v>
      </c>
      <c r="F417" s="122">
        <v>7.5966666666666641E-2</v>
      </c>
      <c r="G417" s="116">
        <v>5064444444.4444447</v>
      </c>
      <c r="H417" s="116">
        <v>9567870000</v>
      </c>
      <c r="I417" s="114">
        <v>0.52931785699893963</v>
      </c>
      <c r="J417" s="116">
        <v>0</v>
      </c>
    </row>
    <row r="418" spans="1:10">
      <c r="A418" s="55">
        <v>1515</v>
      </c>
      <c r="B418" s="114">
        <v>0.66</v>
      </c>
      <c r="C418" s="122">
        <v>0.76851851851851849</v>
      </c>
      <c r="D418" s="116">
        <v>180303030.30303028</v>
      </c>
      <c r="E418" s="241">
        <v>0.25</v>
      </c>
      <c r="F418" s="122">
        <v>-1.9999999999999415E-4</v>
      </c>
      <c r="G418" s="116">
        <v>1830075757.5757575</v>
      </c>
      <c r="H418" s="116">
        <v>3451296000</v>
      </c>
      <c r="I418" s="114">
        <v>0.53025754892531896</v>
      </c>
      <c r="J418" s="116">
        <v>5.0027382256297921</v>
      </c>
    </row>
    <row r="419" spans="1:10">
      <c r="A419" s="55">
        <v>1225</v>
      </c>
      <c r="B419" s="114">
        <v>0.24</v>
      </c>
      <c r="C419" s="122">
        <v>1</v>
      </c>
      <c r="D419" s="116">
        <v>216666666.66666669</v>
      </c>
      <c r="E419" s="241">
        <v>0.08</v>
      </c>
      <c r="F419" s="122">
        <v>-6.3E-3</v>
      </c>
      <c r="G419" s="116">
        <v>5774166666.666667</v>
      </c>
      <c r="H419" s="116">
        <v>10884323000</v>
      </c>
      <c r="I419" s="114">
        <v>0.53050306083958254</v>
      </c>
      <c r="J419" s="116">
        <v>27.760416666666668</v>
      </c>
    </row>
    <row r="420" spans="1:10">
      <c r="A420" s="55">
        <v>6215</v>
      </c>
      <c r="B420" s="45">
        <v>0.16</v>
      </c>
      <c r="C420" s="123">
        <v>0</v>
      </c>
      <c r="D420" s="121">
        <v>81250000</v>
      </c>
      <c r="E420" s="241">
        <v>0.24</v>
      </c>
      <c r="F420" s="123">
        <v>1.1249999999999996E-2</v>
      </c>
      <c r="G420" s="46">
        <v>926250000</v>
      </c>
      <c r="H420" s="46">
        <v>1741449000</v>
      </c>
      <c r="I420" s="56">
        <v>0.53188465467550294</v>
      </c>
      <c r="J420" s="125">
        <v>0</v>
      </c>
    </row>
    <row r="421" spans="1:10">
      <c r="A421" s="55">
        <v>1538</v>
      </c>
      <c r="B421" s="114">
        <v>1.77</v>
      </c>
      <c r="C421" s="122">
        <v>0</v>
      </c>
      <c r="D421" s="116">
        <v>83050847.457627118</v>
      </c>
      <c r="E421" s="241">
        <v>0.15</v>
      </c>
      <c r="F421" s="122">
        <v>2.725000000000001E-2</v>
      </c>
      <c r="G421" s="116">
        <v>401135593.220339</v>
      </c>
      <c r="H421" s="116">
        <v>754124000</v>
      </c>
      <c r="I421" s="114">
        <v>0.53192259259795338</v>
      </c>
      <c r="J421" s="116">
        <v>0</v>
      </c>
    </row>
    <row r="422" spans="1:10">
      <c r="A422" s="55">
        <v>3051</v>
      </c>
      <c r="B422" s="114">
        <v>0.41</v>
      </c>
      <c r="C422" s="122">
        <v>0.77848101265822789</v>
      </c>
      <c r="D422" s="116">
        <v>326829268.29268295</v>
      </c>
      <c r="E422" s="241">
        <v>0.19</v>
      </c>
      <c r="F422" s="122">
        <v>-2.2216666666666673E-2</v>
      </c>
      <c r="G422" s="116">
        <v>1833512195.1219513</v>
      </c>
      <c r="H422" s="116">
        <v>3441793000</v>
      </c>
      <c r="I422" s="114">
        <v>0.53272006629159607</v>
      </c>
      <c r="J422" s="116">
        <v>4.3941106484235579</v>
      </c>
    </row>
    <row r="423" spans="1:10">
      <c r="A423" s="55">
        <v>2421</v>
      </c>
      <c r="B423" s="114">
        <v>0.7</v>
      </c>
      <c r="C423" s="122">
        <v>0.65461847389558236</v>
      </c>
      <c r="D423" s="116">
        <v>251428571.42857143</v>
      </c>
      <c r="E423" s="241">
        <v>0.21</v>
      </c>
      <c r="F423" s="122">
        <v>9.8083333333333338E-3</v>
      </c>
      <c r="G423" s="116">
        <v>5393142857.1428566</v>
      </c>
      <c r="H423" s="116">
        <v>10113229000</v>
      </c>
      <c r="I423" s="114">
        <v>0.5332760542792867</v>
      </c>
      <c r="J423" s="116">
        <v>11.702563540753726</v>
      </c>
    </row>
    <row r="424" spans="1:10">
      <c r="A424" s="55">
        <v>2323</v>
      </c>
      <c r="B424" s="114">
        <v>-0.26</v>
      </c>
      <c r="C424" s="122">
        <v>1</v>
      </c>
      <c r="D424" s="116">
        <v>2088461538.4615383</v>
      </c>
      <c r="E424" s="241">
        <v>-0.06</v>
      </c>
      <c r="F424" s="122">
        <v>-3.6400000000000009E-2</v>
      </c>
      <c r="G424" s="116">
        <v>6808384615.384614</v>
      </c>
      <c r="H424" s="116">
        <v>12740008000</v>
      </c>
      <c r="I424" s="114">
        <v>0.53440975981997918</v>
      </c>
      <c r="J424" s="116">
        <v>0</v>
      </c>
    </row>
    <row r="425" spans="1:10">
      <c r="A425" s="55">
        <v>4939</v>
      </c>
      <c r="B425" s="45">
        <v>-0.31</v>
      </c>
      <c r="C425" s="123">
        <v>0.59493670886075944</v>
      </c>
      <c r="D425" s="121">
        <v>100000000</v>
      </c>
      <c r="E425" s="241">
        <v>0.17</v>
      </c>
      <c r="F425" s="123">
        <v>1.749999999999997E-3</v>
      </c>
      <c r="G425" s="46">
        <v>830000000.00000012</v>
      </c>
      <c r="H425" s="46">
        <v>1552402000</v>
      </c>
      <c r="I425" s="56">
        <v>0.53465532767929969</v>
      </c>
      <c r="J425" s="125">
        <v>0</v>
      </c>
    </row>
    <row r="426" spans="1:10">
      <c r="A426" s="55">
        <v>4533</v>
      </c>
      <c r="B426" s="45">
        <v>0.12</v>
      </c>
      <c r="C426" s="123">
        <v>0.8125</v>
      </c>
      <c r="D426" s="121">
        <v>158333333.33333334</v>
      </c>
      <c r="E426" s="241">
        <v>0.28999999999999998</v>
      </c>
      <c r="F426" s="123">
        <v>0.20192499999999999</v>
      </c>
      <c r="G426" s="46">
        <v>1844583333.3333335</v>
      </c>
      <c r="H426" s="46">
        <v>3448980000</v>
      </c>
      <c r="I426" s="56">
        <v>0.53481995643156344</v>
      </c>
      <c r="J426" s="125">
        <v>29.871794871794872</v>
      </c>
    </row>
    <row r="427" spans="1:10">
      <c r="A427" s="55">
        <v>2498</v>
      </c>
      <c r="B427" s="114">
        <v>-5.41</v>
      </c>
      <c r="C427" s="122">
        <v>0.81440332507393498</v>
      </c>
      <c r="D427" s="116">
        <v>827541589.64879847</v>
      </c>
      <c r="E427" s="241">
        <v>0.18</v>
      </c>
      <c r="F427" s="122">
        <v>4.1999999999999954E-3</v>
      </c>
      <c r="G427" s="116">
        <v>62065619223.659882</v>
      </c>
      <c r="H427" s="116">
        <v>115886473000</v>
      </c>
      <c r="I427" s="114">
        <v>0.53557259632588772</v>
      </c>
      <c r="J427" s="116">
        <v>0</v>
      </c>
    </row>
    <row r="428" spans="1:10">
      <c r="A428" s="55">
        <v>2405</v>
      </c>
      <c r="B428" s="119">
        <v>-0.1</v>
      </c>
      <c r="C428" s="122">
        <v>1</v>
      </c>
      <c r="D428" s="120">
        <v>340000000</v>
      </c>
      <c r="E428" s="241">
        <v>0.13</v>
      </c>
      <c r="F428" s="122">
        <v>3.0091666666666673E-2</v>
      </c>
      <c r="G428" s="120">
        <v>2692800000</v>
      </c>
      <c r="H428" s="120">
        <v>5027280000</v>
      </c>
      <c r="I428" s="119">
        <v>0.53563756146464891</v>
      </c>
      <c r="J428" s="120">
        <v>0</v>
      </c>
    </row>
    <row r="429" spans="1:10">
      <c r="A429" s="55">
        <v>3026</v>
      </c>
      <c r="B429" s="114">
        <v>0.82</v>
      </c>
      <c r="C429" s="122">
        <v>0.91869918699186992</v>
      </c>
      <c r="D429" s="116">
        <v>223170731.70731708</v>
      </c>
      <c r="E429" s="241">
        <v>0.15</v>
      </c>
      <c r="F429" s="122">
        <v>1.6441666666666663E-2</v>
      </c>
      <c r="G429" s="116">
        <v>7297682926.8292694</v>
      </c>
      <c r="H429" s="116">
        <v>13618769000</v>
      </c>
      <c r="I429" s="114">
        <v>0.53585481381094502</v>
      </c>
      <c r="J429" s="116">
        <v>10.851769911504427</v>
      </c>
    </row>
    <row r="430" spans="1:10">
      <c r="A430" s="55">
        <v>1417</v>
      </c>
      <c r="B430" s="114">
        <v>-0.34</v>
      </c>
      <c r="C430" s="122">
        <v>1</v>
      </c>
      <c r="D430" s="116">
        <v>379411764.70588231</v>
      </c>
      <c r="E430" s="241">
        <v>0.16</v>
      </c>
      <c r="F430" s="122">
        <v>-5.3333333333333488E-4</v>
      </c>
      <c r="G430" s="116">
        <v>1904647058.823529</v>
      </c>
      <c r="H430" s="116">
        <v>3552426000</v>
      </c>
      <c r="I430" s="114">
        <v>0.53615390125607931</v>
      </c>
      <c r="J430" s="116">
        <v>0</v>
      </c>
    </row>
    <row r="431" spans="1:10">
      <c r="A431" s="55">
        <v>2351</v>
      </c>
      <c r="B431" s="114">
        <v>1.0900000000000001</v>
      </c>
      <c r="C431" s="122">
        <v>0.87187499999999996</v>
      </c>
      <c r="D431" s="116">
        <v>182568807.33944952</v>
      </c>
      <c r="E431" s="241">
        <v>0.17</v>
      </c>
      <c r="F431" s="122">
        <v>-2.7749999999999997E-3</v>
      </c>
      <c r="G431" s="116">
        <v>4719403669.7247705</v>
      </c>
      <c r="H431" s="116">
        <v>8793245000</v>
      </c>
      <c r="I431" s="114">
        <v>0.53670785582851044</v>
      </c>
      <c r="J431" s="116">
        <v>6.8001709907599226</v>
      </c>
    </row>
    <row r="432" spans="1:10">
      <c r="A432" s="55">
        <v>5016</v>
      </c>
      <c r="B432" s="45">
        <v>0.48</v>
      </c>
      <c r="C432" s="123">
        <v>1</v>
      </c>
      <c r="D432" s="121">
        <v>50000000</v>
      </c>
      <c r="E432" s="241">
        <v>0.12</v>
      </c>
      <c r="F432" s="123">
        <v>1.0308333333333334E-2</v>
      </c>
      <c r="G432" s="46">
        <v>1207500000</v>
      </c>
      <c r="H432" s="46">
        <v>2244964000</v>
      </c>
      <c r="I432" s="56">
        <v>0.53787054046300964</v>
      </c>
      <c r="J432" s="125">
        <v>12.578125</v>
      </c>
    </row>
    <row r="433" spans="1:10">
      <c r="A433" s="55">
        <v>6285</v>
      </c>
      <c r="B433" s="45">
        <v>1.83</v>
      </c>
      <c r="C433" s="123">
        <v>0.78621378621378624</v>
      </c>
      <c r="D433" s="121">
        <v>330601092.89617485</v>
      </c>
      <c r="E433" s="241">
        <v>0.13</v>
      </c>
      <c r="F433" s="123">
        <v>2.6474999999999999E-2</v>
      </c>
      <c r="G433" s="46">
        <v>28101092896.174862</v>
      </c>
      <c r="H433" s="46">
        <v>52183219000</v>
      </c>
      <c r="I433" s="56">
        <v>0.53850822993834213</v>
      </c>
      <c r="J433" s="125">
        <v>14.769547496545641</v>
      </c>
    </row>
    <row r="434" spans="1:10">
      <c r="A434" s="55">
        <v>3071</v>
      </c>
      <c r="B434" s="114">
        <v>0.01</v>
      </c>
      <c r="C434" s="122">
        <v>0.5</v>
      </c>
      <c r="D434" s="116">
        <v>200000000</v>
      </c>
      <c r="E434" s="241">
        <v>0.19</v>
      </c>
      <c r="F434" s="122">
        <v>1.2550000000000006E-2</v>
      </c>
      <c r="G434" s="116">
        <v>1290000000</v>
      </c>
      <c r="H434" s="116">
        <v>2394452000</v>
      </c>
      <c r="I434" s="114">
        <v>0.53874539978249725</v>
      </c>
      <c r="J434" s="116">
        <v>50</v>
      </c>
    </row>
    <row r="435" spans="1:10">
      <c r="A435" s="55">
        <v>8155</v>
      </c>
      <c r="B435" s="45">
        <v>0.33</v>
      </c>
      <c r="C435" s="123">
        <v>0.5</v>
      </c>
      <c r="D435" s="121">
        <v>51515151.515151516</v>
      </c>
      <c r="E435" s="241">
        <v>0.13</v>
      </c>
      <c r="F435" s="123">
        <v>-1.7250000000000001E-2</v>
      </c>
      <c r="G435" s="46">
        <v>824242424.24242425</v>
      </c>
      <c r="H435" s="46">
        <v>1529426000</v>
      </c>
      <c r="I435" s="56">
        <v>0.53892272280085751</v>
      </c>
      <c r="J435" s="125">
        <v>24.242424242424242</v>
      </c>
    </row>
    <row r="436" spans="1:10">
      <c r="A436" s="55">
        <v>2369</v>
      </c>
      <c r="B436" s="114">
        <v>-0.03</v>
      </c>
      <c r="C436" s="122">
        <v>1</v>
      </c>
      <c r="D436" s="116">
        <v>366666666.66666669</v>
      </c>
      <c r="E436" s="241">
        <v>7.0000000000000007E-2</v>
      </c>
      <c r="F436" s="122">
        <v>1.3833333333333343E-3</v>
      </c>
      <c r="G436" s="116">
        <v>2970000000</v>
      </c>
      <c r="H436" s="116">
        <v>5510094000</v>
      </c>
      <c r="I436" s="114">
        <v>0.53901076823734773</v>
      </c>
      <c r="J436" s="116">
        <v>0</v>
      </c>
    </row>
    <row r="437" spans="1:10">
      <c r="A437" s="55">
        <v>3388</v>
      </c>
      <c r="B437" s="114">
        <v>1.33</v>
      </c>
      <c r="C437" s="122">
        <v>0.98742138364779874</v>
      </c>
      <c r="D437" s="116">
        <v>62406015.037593983</v>
      </c>
      <c r="E437" s="241">
        <v>0.17</v>
      </c>
      <c r="F437" s="122">
        <v>9.6083333333333264E-3</v>
      </c>
      <c r="G437" s="116">
        <v>3844210526.3157892</v>
      </c>
      <c r="H437" s="116">
        <v>7121084000</v>
      </c>
      <c r="I437" s="114">
        <v>0.53983502038675424</v>
      </c>
      <c r="J437" s="116">
        <v>11.726449882668454</v>
      </c>
    </row>
    <row r="438" spans="1:10">
      <c r="A438" s="55">
        <v>2031</v>
      </c>
      <c r="B438" s="114">
        <v>-0.71</v>
      </c>
      <c r="C438" s="122">
        <v>0.80769230769230771</v>
      </c>
      <c r="D438" s="116">
        <v>278873239.43661976</v>
      </c>
      <c r="E438" s="241">
        <v>-0.15</v>
      </c>
      <c r="F438" s="122">
        <v>2.7991666666666654E-2</v>
      </c>
      <c r="G438" s="116">
        <v>3597464788.7323952</v>
      </c>
      <c r="H438" s="116">
        <v>6645264000</v>
      </c>
      <c r="I438" s="114">
        <v>0.54135769304761938</v>
      </c>
      <c r="J438" s="116">
        <v>0</v>
      </c>
    </row>
    <row r="439" spans="1:10">
      <c r="A439" s="55">
        <v>5388</v>
      </c>
      <c r="B439" s="45">
        <v>1.89</v>
      </c>
      <c r="C439" s="123">
        <v>1</v>
      </c>
      <c r="D439" s="121">
        <v>233862433.86243388</v>
      </c>
      <c r="E439" s="241">
        <v>0.15</v>
      </c>
      <c r="F439" s="123">
        <v>3.9341666666666671E-2</v>
      </c>
      <c r="G439" s="46">
        <v>18942857142.857143</v>
      </c>
      <c r="H439" s="46">
        <v>34979755000</v>
      </c>
      <c r="I439" s="56">
        <v>0.54153773069185718</v>
      </c>
      <c r="J439" s="125">
        <v>10.714285714285715</v>
      </c>
    </row>
    <row r="440" spans="1:10">
      <c r="A440" s="55">
        <v>3149</v>
      </c>
      <c r="B440" s="114">
        <v>-2.1</v>
      </c>
      <c r="C440" s="122">
        <v>0.37807290194970333</v>
      </c>
      <c r="D440" s="116">
        <v>268571428.57142854</v>
      </c>
      <c r="E440" s="241">
        <v>-0.16</v>
      </c>
      <c r="F440" s="122">
        <v>1.956666666666667E-2</v>
      </c>
      <c r="G440" s="116">
        <v>3034857142.8571424</v>
      </c>
      <c r="H440" s="116">
        <v>5586236000</v>
      </c>
      <c r="I440" s="114">
        <v>0.54327406555275193</v>
      </c>
      <c r="J440" s="116">
        <v>0</v>
      </c>
    </row>
    <row r="441" spans="1:10">
      <c r="A441" s="55">
        <v>2017</v>
      </c>
      <c r="B441" s="114">
        <v>-0.17</v>
      </c>
      <c r="C441" s="122">
        <v>0.80851063829787229</v>
      </c>
      <c r="D441" s="116">
        <v>382352941.17647058</v>
      </c>
      <c r="E441" s="241">
        <v>0.13</v>
      </c>
      <c r="F441" s="122">
        <v>-2.6441666666666669E-2</v>
      </c>
      <c r="G441" s="116">
        <v>2607647058.8235292</v>
      </c>
      <c r="H441" s="116">
        <v>4797621000</v>
      </c>
      <c r="I441" s="114">
        <v>0.54352919057664817</v>
      </c>
      <c r="J441" s="116">
        <v>0</v>
      </c>
    </row>
    <row r="442" spans="1:10">
      <c r="A442" s="55">
        <v>3661</v>
      </c>
      <c r="B442" s="114">
        <v>1.51</v>
      </c>
      <c r="C442" s="122">
        <v>0.85321100917431192</v>
      </c>
      <c r="D442" s="116">
        <v>61589403.97350993</v>
      </c>
      <c r="E442" s="241">
        <v>0.2</v>
      </c>
      <c r="F442" s="122">
        <v>5.3783333333333315E-2</v>
      </c>
      <c r="G442" s="116">
        <v>2060165562.9139073</v>
      </c>
      <c r="H442" s="116">
        <v>3787721000</v>
      </c>
      <c r="I442" s="114">
        <v>0.54390636557283578</v>
      </c>
      <c r="J442" s="116">
        <v>6.490867336039309</v>
      </c>
    </row>
    <row r="443" spans="1:10">
      <c r="A443" s="55">
        <v>9937</v>
      </c>
      <c r="B443" s="45">
        <v>0.33</v>
      </c>
      <c r="C443" s="123">
        <v>0.23961661341853036</v>
      </c>
      <c r="D443" s="121">
        <v>312121212.12121212</v>
      </c>
      <c r="E443" s="241">
        <v>0.08</v>
      </c>
      <c r="F443" s="123">
        <v>-2.0783333333333338E-2</v>
      </c>
      <c r="G443" s="46">
        <v>11189545454.545456</v>
      </c>
      <c r="H443" s="46">
        <v>20559565000</v>
      </c>
      <c r="I443" s="56">
        <v>0.54425010716644329</v>
      </c>
      <c r="J443" s="125">
        <v>50</v>
      </c>
    </row>
    <row r="444" spans="1:10">
      <c r="A444" s="55">
        <v>8111</v>
      </c>
      <c r="B444" s="45">
        <v>-0.11</v>
      </c>
      <c r="C444" s="123">
        <v>1</v>
      </c>
      <c r="D444" s="121">
        <v>109090909.09090909</v>
      </c>
      <c r="E444" s="241">
        <v>0.18</v>
      </c>
      <c r="F444" s="123">
        <v>-4.3833333333333354E-3</v>
      </c>
      <c r="G444" s="46">
        <v>429818181.81818181</v>
      </c>
      <c r="H444" s="46">
        <v>784165000</v>
      </c>
      <c r="I444" s="56">
        <v>0.54812211947508727</v>
      </c>
      <c r="J444" s="125">
        <v>0</v>
      </c>
    </row>
    <row r="445" spans="1:10">
      <c r="A445" s="55">
        <v>6432</v>
      </c>
      <c r="B445" s="45">
        <v>1.58</v>
      </c>
      <c r="C445" s="123">
        <v>0.65853658536585369</v>
      </c>
      <c r="D445" s="121">
        <v>18987341.772151899</v>
      </c>
      <c r="E445" s="241">
        <v>0.26</v>
      </c>
      <c r="F445" s="123">
        <v>3.1083333333333334E-2</v>
      </c>
      <c r="G445" s="46">
        <v>540189873.41772151</v>
      </c>
      <c r="H445" s="46">
        <v>979688000</v>
      </c>
      <c r="I445" s="56">
        <v>0.55138970102494012</v>
      </c>
      <c r="J445" s="125">
        <v>6.8357360525082038</v>
      </c>
    </row>
    <row r="446" spans="1:10">
      <c r="A446" s="55">
        <v>2724</v>
      </c>
      <c r="B446" s="114">
        <v>-1.72</v>
      </c>
      <c r="C446" s="122">
        <v>0.88461538461538458</v>
      </c>
      <c r="D446" s="116">
        <v>38372093.023255818</v>
      </c>
      <c r="E446" s="241">
        <v>0.14000000000000001</v>
      </c>
      <c r="F446" s="122">
        <v>-9.1499999999999984E-3</v>
      </c>
      <c r="G446" s="116">
        <v>495000000.00000006</v>
      </c>
      <c r="H446" s="116">
        <v>896687000</v>
      </c>
      <c r="I446" s="114">
        <v>0.55203209146558396</v>
      </c>
      <c r="J446" s="116">
        <v>0</v>
      </c>
    </row>
    <row r="447" spans="1:10">
      <c r="A447" s="55">
        <v>3268</v>
      </c>
      <c r="B447" s="114">
        <v>0.47</v>
      </c>
      <c r="C447" s="122">
        <v>1</v>
      </c>
      <c r="D447" s="116">
        <v>34042553.191489361</v>
      </c>
      <c r="E447" s="241">
        <v>0.09</v>
      </c>
      <c r="F447" s="122">
        <v>9.9083333333333315E-2</v>
      </c>
      <c r="G447" s="116">
        <v>432340425.53191489</v>
      </c>
      <c r="H447" s="116">
        <v>781925000</v>
      </c>
      <c r="I447" s="114">
        <v>0.55291802350853969</v>
      </c>
      <c r="J447" s="116">
        <v>6.7553191489361701</v>
      </c>
    </row>
    <row r="448" spans="1:10">
      <c r="A448" s="55">
        <v>1532</v>
      </c>
      <c r="B448" s="114">
        <v>0.87</v>
      </c>
      <c r="C448" s="122">
        <v>1</v>
      </c>
      <c r="D448" s="116">
        <v>393103448.2758621</v>
      </c>
      <c r="E448" s="241">
        <v>0.27</v>
      </c>
      <c r="F448" s="122">
        <v>2.2000000000000002E-2</v>
      </c>
      <c r="G448" s="116">
        <v>9670344827.5862083</v>
      </c>
      <c r="H448" s="116">
        <v>17408608000</v>
      </c>
      <c r="I448" s="114">
        <v>0.55549213513143658</v>
      </c>
      <c r="J448" s="116">
        <v>7.0689655172413799</v>
      </c>
    </row>
    <row r="449" spans="1:10">
      <c r="A449" s="55">
        <v>1592</v>
      </c>
      <c r="B449" s="114">
        <v>0.87</v>
      </c>
      <c r="C449" s="122">
        <v>1</v>
      </c>
      <c r="D449" s="116">
        <v>100000000</v>
      </c>
      <c r="E449" s="241">
        <v>0.34</v>
      </c>
      <c r="F449" s="122">
        <v>1.4366666666666666E-2</v>
      </c>
      <c r="G449" s="116">
        <v>2860000000</v>
      </c>
      <c r="H449" s="116">
        <v>5145782000</v>
      </c>
      <c r="I449" s="114">
        <v>0.55579501813329835</v>
      </c>
      <c r="J449" s="116">
        <v>8.2183908045977017</v>
      </c>
    </row>
    <row r="450" spans="1:10">
      <c r="A450" s="55">
        <v>1454</v>
      </c>
      <c r="B450" s="114">
        <v>0.19</v>
      </c>
      <c r="C450" s="122">
        <v>0.69841269841269837</v>
      </c>
      <c r="D450" s="116">
        <v>131578947.36842105</v>
      </c>
      <c r="E450" s="241">
        <v>0.1</v>
      </c>
      <c r="F450" s="122">
        <v>-1.4583333333333323E-3</v>
      </c>
      <c r="G450" s="116">
        <v>1151315789.4736841</v>
      </c>
      <c r="H450" s="116">
        <v>2069544000</v>
      </c>
      <c r="I450" s="114">
        <v>0.5563137529202975</v>
      </c>
      <c r="J450" s="116">
        <v>16.484748803827749</v>
      </c>
    </row>
    <row r="451" spans="1:10">
      <c r="A451" s="55">
        <v>2385</v>
      </c>
      <c r="B451" s="114">
        <v>1.25</v>
      </c>
      <c r="C451" s="122">
        <v>0.78403001071811362</v>
      </c>
      <c r="D451" s="116">
        <v>664800000</v>
      </c>
      <c r="E451" s="241">
        <v>0.16</v>
      </c>
      <c r="F451" s="122">
        <v>-4.7416666666666649E-3</v>
      </c>
      <c r="G451" s="116">
        <v>44940480000</v>
      </c>
      <c r="H451" s="116">
        <v>80673614000</v>
      </c>
      <c r="I451" s="114">
        <v>0.55706541174664614</v>
      </c>
      <c r="J451" s="116">
        <v>17.244237867395761</v>
      </c>
    </row>
    <row r="452" spans="1:10">
      <c r="A452" s="55">
        <v>1220</v>
      </c>
      <c r="B452" s="114">
        <v>0.32</v>
      </c>
      <c r="C452" s="122">
        <v>0.78409090909090906</v>
      </c>
      <c r="D452" s="116">
        <v>178125000</v>
      </c>
      <c r="E452" s="241">
        <v>0.14000000000000001</v>
      </c>
      <c r="F452" s="122">
        <v>-4.029166666666667E-2</v>
      </c>
      <c r="G452" s="116">
        <v>1825781250</v>
      </c>
      <c r="H452" s="116">
        <v>3276231000</v>
      </c>
      <c r="I452" s="114">
        <v>0.55728098842847162</v>
      </c>
      <c r="J452" s="116">
        <v>10.21286231884058</v>
      </c>
    </row>
    <row r="453" spans="1:10">
      <c r="A453" s="55">
        <v>6176</v>
      </c>
      <c r="B453" s="45">
        <v>2.78</v>
      </c>
      <c r="C453" s="123">
        <v>0.82658517952635602</v>
      </c>
      <c r="D453" s="121">
        <v>465467625.89928061</v>
      </c>
      <c r="E453" s="241">
        <v>0.15</v>
      </c>
      <c r="F453" s="123">
        <v>3.6800000000000006E-2</v>
      </c>
      <c r="G453" s="46">
        <v>29324460431.654678</v>
      </c>
      <c r="H453" s="46">
        <v>52603250000</v>
      </c>
      <c r="I453" s="56">
        <v>0.5574648036319938</v>
      </c>
      <c r="J453" s="125">
        <v>6.8540638838282426</v>
      </c>
    </row>
    <row r="454" spans="1:10">
      <c r="A454" s="55">
        <v>1443</v>
      </c>
      <c r="B454" s="114">
        <v>0.27</v>
      </c>
      <c r="C454" s="122">
        <v>0</v>
      </c>
      <c r="D454" s="116">
        <v>133333333.33333333</v>
      </c>
      <c r="E454" s="241">
        <v>0</v>
      </c>
      <c r="F454" s="122">
        <v>1.3150000000000009E-2</v>
      </c>
      <c r="G454" s="116">
        <v>733333333.33333325</v>
      </c>
      <c r="H454" s="116">
        <v>1314738000</v>
      </c>
      <c r="I454" s="114">
        <v>0.55777906574034775</v>
      </c>
      <c r="J454" s="116">
        <v>0</v>
      </c>
    </row>
    <row r="455" spans="1:10">
      <c r="A455" s="55">
        <v>8249</v>
      </c>
      <c r="B455" s="45">
        <v>1.1100000000000001</v>
      </c>
      <c r="C455" s="123">
        <v>0.55555555555555558</v>
      </c>
      <c r="D455" s="121">
        <v>127027027.02702701</v>
      </c>
      <c r="E455" s="241">
        <v>0.17</v>
      </c>
      <c r="F455" s="123">
        <v>1.7399999999999999E-2</v>
      </c>
      <c r="G455" s="46">
        <v>2724729729.7297292</v>
      </c>
      <c r="H455" s="46">
        <v>4864839000</v>
      </c>
      <c r="I455" s="56">
        <v>0.56008631112555407</v>
      </c>
      <c r="J455" s="125">
        <v>8.6959459459459456</v>
      </c>
    </row>
    <row r="456" spans="1:10">
      <c r="A456" s="55">
        <v>2206</v>
      </c>
      <c r="B456" s="114">
        <v>3.44</v>
      </c>
      <c r="C456" s="122">
        <v>0</v>
      </c>
      <c r="D456" s="116">
        <v>889534883.72093022</v>
      </c>
      <c r="E456" s="241">
        <v>0.16</v>
      </c>
      <c r="F456" s="122">
        <v>-5.3083333333333342E-3</v>
      </c>
      <c r="G456" s="116">
        <v>18813662790.697674</v>
      </c>
      <c r="H456" s="116">
        <v>33527320000</v>
      </c>
      <c r="I456" s="114">
        <v>0.56114424865147805</v>
      </c>
      <c r="J456" s="116">
        <v>0</v>
      </c>
    </row>
    <row r="457" spans="1:10">
      <c r="A457" s="55">
        <v>3206</v>
      </c>
      <c r="B457" s="114">
        <v>0.67</v>
      </c>
      <c r="C457" s="122">
        <v>0.7846153846153846</v>
      </c>
      <c r="D457" s="116">
        <v>43283582.089552239</v>
      </c>
      <c r="E457" s="241">
        <v>0.25</v>
      </c>
      <c r="F457" s="122">
        <v>2.2816666666666666E-2</v>
      </c>
      <c r="G457" s="116">
        <v>872164179.10447752</v>
      </c>
      <c r="H457" s="116">
        <v>1554148000</v>
      </c>
      <c r="I457" s="114">
        <v>0.56118476432391096</v>
      </c>
      <c r="J457" s="116">
        <v>9.5826016973953756</v>
      </c>
    </row>
    <row r="458" spans="1:10">
      <c r="A458" s="55">
        <v>8930</v>
      </c>
      <c r="B458" s="45">
        <v>-0.2</v>
      </c>
      <c r="C458" s="123">
        <v>0.93333333333333335</v>
      </c>
      <c r="D458" s="121">
        <v>65000000</v>
      </c>
      <c r="E458" s="241">
        <v>0.17</v>
      </c>
      <c r="F458" s="123">
        <v>8.6666666666666559E-3</v>
      </c>
      <c r="G458" s="46">
        <v>581100000</v>
      </c>
      <c r="H458" s="46">
        <v>1033013000</v>
      </c>
      <c r="I458" s="56">
        <v>0.56252922276873574</v>
      </c>
      <c r="J458" s="125">
        <v>0</v>
      </c>
    </row>
    <row r="459" spans="1:10">
      <c r="A459" s="55">
        <v>5603</v>
      </c>
      <c r="B459" s="45">
        <v>0.48</v>
      </c>
      <c r="C459" s="123">
        <v>1</v>
      </c>
      <c r="D459" s="121">
        <v>77083333.333333343</v>
      </c>
      <c r="E459" s="241">
        <v>0.21</v>
      </c>
      <c r="F459" s="123">
        <v>-1.2366666666666663E-2</v>
      </c>
      <c r="G459" s="46">
        <v>1133125000</v>
      </c>
      <c r="H459" s="46">
        <v>2011572000</v>
      </c>
      <c r="I459" s="56">
        <v>0.56330322752553719</v>
      </c>
      <c r="J459" s="125">
        <v>7.65625</v>
      </c>
    </row>
    <row r="460" spans="1:10">
      <c r="A460" s="55">
        <v>9927</v>
      </c>
      <c r="B460" s="45">
        <v>0.43</v>
      </c>
      <c r="C460" s="123">
        <v>1</v>
      </c>
      <c r="D460" s="121">
        <v>209302325.58139536</v>
      </c>
      <c r="E460" s="241">
        <v>0.05</v>
      </c>
      <c r="F460" s="123">
        <v>-2.8666666666666636E-3</v>
      </c>
      <c r="G460" s="46">
        <v>5923255813.9534883</v>
      </c>
      <c r="H460" s="46">
        <v>10496698000</v>
      </c>
      <c r="I460" s="56">
        <v>0.56429705931841501</v>
      </c>
      <c r="J460" s="125">
        <v>16.453488372093023</v>
      </c>
    </row>
    <row r="461" spans="1:10">
      <c r="A461" s="55">
        <v>2359</v>
      </c>
      <c r="B461" s="114">
        <v>0.6</v>
      </c>
      <c r="C461" s="122">
        <v>0.2231404958677686</v>
      </c>
      <c r="D461" s="116">
        <v>171666666.66666669</v>
      </c>
      <c r="E461" s="241">
        <v>0.2</v>
      </c>
      <c r="F461" s="122">
        <v>2.719166666666667E-2</v>
      </c>
      <c r="G461" s="116">
        <v>2609333333.3333335</v>
      </c>
      <c r="H461" s="116">
        <v>4594723000</v>
      </c>
      <c r="I461" s="114">
        <v>0.56789785441545304</v>
      </c>
      <c r="J461" s="116">
        <v>28.382716049382712</v>
      </c>
    </row>
    <row r="462" spans="1:10">
      <c r="A462" s="55">
        <v>3059</v>
      </c>
      <c r="B462" s="119">
        <v>0.73</v>
      </c>
      <c r="C462" s="122">
        <v>0.89495798319327735</v>
      </c>
      <c r="D462" s="120">
        <v>269863013.69863015</v>
      </c>
      <c r="E462" s="241">
        <v>0.14000000000000001</v>
      </c>
      <c r="F462" s="122">
        <v>3.9583333333333302E-3</v>
      </c>
      <c r="G462" s="120">
        <v>7097397260.2739735</v>
      </c>
      <c r="H462" s="120">
        <v>12492029000</v>
      </c>
      <c r="I462" s="119">
        <v>0.56815408131649181</v>
      </c>
      <c r="J462" s="120">
        <v>10.063991253456814</v>
      </c>
    </row>
    <row r="463" spans="1:10">
      <c r="A463" s="55">
        <v>3038</v>
      </c>
      <c r="B463" s="114">
        <v>0.48</v>
      </c>
      <c r="C463" s="122">
        <v>0.4315068493150685</v>
      </c>
      <c r="D463" s="116">
        <v>214583333.33333334</v>
      </c>
      <c r="E463" s="241">
        <v>0.19</v>
      </c>
      <c r="F463" s="122">
        <v>2.5208333333333336E-2</v>
      </c>
      <c r="G463" s="116">
        <v>1989187500</v>
      </c>
      <c r="H463" s="116">
        <v>3476757000</v>
      </c>
      <c r="I463" s="114">
        <v>0.57213877760223109</v>
      </c>
      <c r="J463" s="116">
        <v>11.188988095238095</v>
      </c>
    </row>
    <row r="464" spans="1:10">
      <c r="A464" s="55">
        <v>6282</v>
      </c>
      <c r="B464" s="45">
        <v>0.56000000000000005</v>
      </c>
      <c r="C464" s="123">
        <v>0.53417721518987338</v>
      </c>
      <c r="D464" s="121">
        <v>519642857.14285707</v>
      </c>
      <c r="E464" s="241">
        <v>0.16</v>
      </c>
      <c r="F464" s="123">
        <v>-6.6166666666666639E-3</v>
      </c>
      <c r="G464" s="46">
        <v>11951785714.285713</v>
      </c>
      <c r="H464" s="46">
        <v>20836093000</v>
      </c>
      <c r="I464" s="56">
        <v>0.57360973164622142</v>
      </c>
      <c r="J464" s="125">
        <v>19.22181787406906</v>
      </c>
    </row>
    <row r="465" spans="1:10">
      <c r="A465" s="55">
        <v>5438</v>
      </c>
      <c r="B465" s="45">
        <v>1.1100000000000001</v>
      </c>
      <c r="C465" s="123">
        <v>0.50314465408805031</v>
      </c>
      <c r="D465" s="121">
        <v>112612612.61261261</v>
      </c>
      <c r="E465" s="241">
        <v>0.24</v>
      </c>
      <c r="F465" s="123">
        <v>7.2308333333333322E-2</v>
      </c>
      <c r="G465" s="46">
        <v>1452702702.7027028</v>
      </c>
      <c r="H465" s="46">
        <v>2527062000</v>
      </c>
      <c r="I465" s="56">
        <v>0.57485835436673205</v>
      </c>
      <c r="J465" s="125">
        <v>5.7744932432432421</v>
      </c>
    </row>
    <row r="466" spans="1:10">
      <c r="A466" s="55">
        <v>1402</v>
      </c>
      <c r="B466" s="114">
        <v>0.15</v>
      </c>
      <c r="C466" s="122">
        <v>0.56670416197975249</v>
      </c>
      <c r="D466" s="116">
        <v>5160000000</v>
      </c>
      <c r="E466" s="241">
        <v>0.24</v>
      </c>
      <c r="F466" s="122">
        <v>-1.891666666666663E-3</v>
      </c>
      <c r="G466" s="116">
        <v>125388000000</v>
      </c>
      <c r="H466" s="116">
        <v>217880235000</v>
      </c>
      <c r="I466" s="114">
        <v>0.57549047530630759</v>
      </c>
      <c r="J466" s="116">
        <v>50</v>
      </c>
    </row>
    <row r="467" spans="1:10">
      <c r="A467" s="55">
        <v>2329</v>
      </c>
      <c r="B467" s="114">
        <v>0.26</v>
      </c>
      <c r="C467" s="122">
        <v>1</v>
      </c>
      <c r="D467" s="116">
        <v>815384615.3846153</v>
      </c>
      <c r="E467" s="241">
        <v>0.15</v>
      </c>
      <c r="F467" s="122">
        <v>1.5125E-2</v>
      </c>
      <c r="G467" s="116">
        <v>9295384615.3846149</v>
      </c>
      <c r="H467" s="116">
        <v>16118713000</v>
      </c>
      <c r="I467" s="114">
        <v>0.57668280435197372</v>
      </c>
      <c r="J467" s="116">
        <v>10.961538461538462</v>
      </c>
    </row>
    <row r="468" spans="1:10">
      <c r="A468" s="55">
        <v>5521</v>
      </c>
      <c r="B468" s="45">
        <v>-0.1</v>
      </c>
      <c r="C468" s="123">
        <v>1</v>
      </c>
      <c r="D468" s="121">
        <v>340000000</v>
      </c>
      <c r="E468" s="241">
        <v>0.01</v>
      </c>
      <c r="F468" s="123">
        <v>2.555E-2</v>
      </c>
      <c r="G468" s="46">
        <v>3807999999.9999995</v>
      </c>
      <c r="H468" s="46">
        <v>6602060000</v>
      </c>
      <c r="I468" s="56">
        <v>0.57678966867916981</v>
      </c>
      <c r="J468" s="125">
        <v>0</v>
      </c>
    </row>
    <row r="469" spans="1:10">
      <c r="A469" s="55">
        <v>3557</v>
      </c>
      <c r="B469" s="114">
        <v>-0.1</v>
      </c>
      <c r="C469" s="122">
        <v>1</v>
      </c>
      <c r="D469" s="116">
        <v>110000000</v>
      </c>
      <c r="E469" s="241">
        <v>0.02</v>
      </c>
      <c r="F469" s="122">
        <v>-1.1749999999999998E-2</v>
      </c>
      <c r="G469" s="116">
        <v>407000000</v>
      </c>
      <c r="H469" s="116">
        <v>703047000</v>
      </c>
      <c r="I469" s="114">
        <v>0.5789086647123165</v>
      </c>
      <c r="J469" s="116">
        <v>0</v>
      </c>
    </row>
    <row r="470" spans="1:10">
      <c r="A470" s="55">
        <v>1333</v>
      </c>
      <c r="B470" s="114">
        <v>0.02</v>
      </c>
      <c r="C470" s="122">
        <v>1</v>
      </c>
      <c r="D470" s="116">
        <v>100000000</v>
      </c>
      <c r="E470" s="241">
        <v>0.2</v>
      </c>
      <c r="F470" s="122">
        <v>-2.9241666666666662E-2</v>
      </c>
      <c r="G470" s="116">
        <v>486000000.00000006</v>
      </c>
      <c r="H470" s="116">
        <v>838611000</v>
      </c>
      <c r="I470" s="114">
        <v>0.57952972236233491</v>
      </c>
      <c r="J470" s="116">
        <v>50</v>
      </c>
    </row>
    <row r="471" spans="1:10">
      <c r="A471" s="55">
        <v>3406</v>
      </c>
      <c r="B471" s="114">
        <v>-0.53</v>
      </c>
      <c r="C471" s="122">
        <v>0.87671232876712324</v>
      </c>
      <c r="D471" s="116">
        <v>100000000</v>
      </c>
      <c r="E471" s="241">
        <v>0.17</v>
      </c>
      <c r="F471" s="122">
        <v>5.626666666666668E-2</v>
      </c>
      <c r="G471" s="116">
        <v>5250000000</v>
      </c>
      <c r="H471" s="116">
        <v>9059060000</v>
      </c>
      <c r="I471" s="114">
        <v>0.57953032654602132</v>
      </c>
      <c r="J471" s="116">
        <v>0</v>
      </c>
    </row>
    <row r="472" spans="1:10">
      <c r="A472" s="55">
        <v>2006</v>
      </c>
      <c r="B472" s="114">
        <v>0.15</v>
      </c>
      <c r="C472" s="122">
        <v>0.90466926070038911</v>
      </c>
      <c r="D472" s="116">
        <v>1013333333.3333334</v>
      </c>
      <c r="E472" s="241">
        <v>0.08</v>
      </c>
      <c r="F472" s="122">
        <v>-1.6666666666666422E-4</v>
      </c>
      <c r="G472" s="116">
        <v>17986666666.666668</v>
      </c>
      <c r="H472" s="116">
        <v>31029119000</v>
      </c>
      <c r="I472" s="114">
        <v>0.57967055612074159</v>
      </c>
      <c r="J472" s="116">
        <v>32.700716845878141</v>
      </c>
    </row>
    <row r="473" spans="1:10">
      <c r="A473" s="55">
        <v>3607</v>
      </c>
      <c r="B473" s="114">
        <v>1.39</v>
      </c>
      <c r="C473" s="122">
        <v>0.86173633440514474</v>
      </c>
      <c r="D473" s="116">
        <v>123741007.19424461</v>
      </c>
      <c r="E473" s="241">
        <v>0.17</v>
      </c>
      <c r="F473" s="122">
        <v>-1.7275000000000002E-2</v>
      </c>
      <c r="G473" s="116">
        <v>5636402877.6978416</v>
      </c>
      <c r="H473" s="116">
        <v>9720919000</v>
      </c>
      <c r="I473" s="114">
        <v>0.57982201864842631</v>
      </c>
      <c r="J473" s="116">
        <v>9.5069056694942553</v>
      </c>
    </row>
    <row r="474" spans="1:10">
      <c r="A474" s="55">
        <v>8084</v>
      </c>
      <c r="B474" s="45">
        <v>-0.53</v>
      </c>
      <c r="C474" s="123">
        <v>1</v>
      </c>
      <c r="D474" s="121">
        <v>54716981.132075466</v>
      </c>
      <c r="E474" s="241">
        <v>0.01</v>
      </c>
      <c r="F474" s="123">
        <v>0.14790833333333334</v>
      </c>
      <c r="G474" s="46">
        <v>1288584905.6603773</v>
      </c>
      <c r="H474" s="46">
        <v>2222304000</v>
      </c>
      <c r="I474" s="56">
        <v>0.57984186936637705</v>
      </c>
      <c r="J474" s="125">
        <v>0</v>
      </c>
    </row>
    <row r="475" spans="1:10">
      <c r="A475" s="55">
        <v>5515</v>
      </c>
      <c r="B475" s="45">
        <v>-0.18</v>
      </c>
      <c r="C475" s="123">
        <v>0.39285714285714285</v>
      </c>
      <c r="D475" s="121">
        <v>344444444.44444448</v>
      </c>
      <c r="E475" s="241">
        <v>7.0000000000000007E-2</v>
      </c>
      <c r="F475" s="123">
        <v>1.8475000000000002E-2</v>
      </c>
      <c r="G475" s="46">
        <v>2927777777.7777781</v>
      </c>
      <c r="H475" s="46">
        <v>5040779000</v>
      </c>
      <c r="I475" s="56">
        <v>0.58081851590354949</v>
      </c>
      <c r="J475" s="125">
        <v>0</v>
      </c>
    </row>
    <row r="476" spans="1:10">
      <c r="A476" s="55">
        <v>6284</v>
      </c>
      <c r="B476" s="45">
        <v>0.57999999999999996</v>
      </c>
      <c r="C476" s="123">
        <v>0</v>
      </c>
      <c r="D476" s="121">
        <v>94827586.206896558</v>
      </c>
      <c r="E476" s="241">
        <v>0.19</v>
      </c>
      <c r="F476" s="123">
        <v>3.5749999999999983E-3</v>
      </c>
      <c r="G476" s="46">
        <v>1981896551.724138</v>
      </c>
      <c r="H476" s="46">
        <v>3400649000</v>
      </c>
      <c r="I476" s="56">
        <v>0.58279950436641303</v>
      </c>
      <c r="J476" s="125">
        <v>0</v>
      </c>
    </row>
    <row r="477" spans="1:10">
      <c r="A477" s="55">
        <v>9958</v>
      </c>
      <c r="B477" s="45">
        <v>0.48</v>
      </c>
      <c r="C477" s="123">
        <v>1</v>
      </c>
      <c r="D477" s="121">
        <v>185416666.66666669</v>
      </c>
      <c r="E477" s="241">
        <v>0.15</v>
      </c>
      <c r="F477" s="123">
        <v>4.1783333333333346E-2</v>
      </c>
      <c r="G477" s="46">
        <v>1763312500.0000002</v>
      </c>
      <c r="H477" s="46">
        <v>3025019000</v>
      </c>
      <c r="I477" s="56">
        <v>0.58290956189035514</v>
      </c>
      <c r="J477" s="125">
        <v>4.953125</v>
      </c>
    </row>
    <row r="478" spans="1:10">
      <c r="A478" s="55">
        <v>5243</v>
      </c>
      <c r="B478" s="45">
        <v>0.46</v>
      </c>
      <c r="C478" s="123">
        <v>0.52903225806451615</v>
      </c>
      <c r="D478" s="121">
        <v>176086956.52173913</v>
      </c>
      <c r="E478" s="241">
        <v>0.11</v>
      </c>
      <c r="F478" s="123">
        <v>1.0816666666666669E-2</v>
      </c>
      <c r="G478" s="46">
        <v>4930434782.608696</v>
      </c>
      <c r="H478" s="46">
        <v>8402864000</v>
      </c>
      <c r="I478" s="56">
        <v>0.58675646572510232</v>
      </c>
      <c r="J478" s="125">
        <v>28.764581124072109</v>
      </c>
    </row>
    <row r="479" spans="1:10">
      <c r="A479" s="55">
        <v>4711</v>
      </c>
      <c r="B479" s="45">
        <v>0.28000000000000003</v>
      </c>
      <c r="C479" s="123">
        <v>0.85</v>
      </c>
      <c r="D479" s="121">
        <v>60714285.714285709</v>
      </c>
      <c r="E479" s="241">
        <v>0.13</v>
      </c>
      <c r="F479" s="123">
        <v>4.3000000000000052E-3</v>
      </c>
      <c r="G479" s="46">
        <v>704285714.28571415</v>
      </c>
      <c r="H479" s="46">
        <v>1199690000</v>
      </c>
      <c r="I479" s="56">
        <v>0.5870564181461162</v>
      </c>
      <c r="J479" s="125">
        <v>12.184873949579831</v>
      </c>
    </row>
    <row r="480" spans="1:10">
      <c r="A480" s="55">
        <v>3291</v>
      </c>
      <c r="B480" s="114">
        <v>0.21</v>
      </c>
      <c r="C480" s="122">
        <v>0.5</v>
      </c>
      <c r="D480" s="116">
        <v>33333333.333333336</v>
      </c>
      <c r="E480" s="241">
        <v>0.28999999999999998</v>
      </c>
      <c r="F480" s="122">
        <v>2.6033333333333328E-2</v>
      </c>
      <c r="G480" s="116">
        <v>408333333.33333337</v>
      </c>
      <c r="H480" s="116">
        <v>693336000</v>
      </c>
      <c r="I480" s="114">
        <v>0.58894004253829801</v>
      </c>
      <c r="J480" s="116">
        <v>29.166666666666668</v>
      </c>
    </row>
    <row r="481" spans="1:10">
      <c r="A481" s="55">
        <v>4755</v>
      </c>
      <c r="B481" s="45">
        <v>0.68</v>
      </c>
      <c r="C481" s="123">
        <v>0.68224299065420557</v>
      </c>
      <c r="D481" s="121">
        <v>89705882.35294117</v>
      </c>
      <c r="E481" s="241">
        <v>0.13</v>
      </c>
      <c r="F481" s="123">
        <v>2.5966666666666666E-2</v>
      </c>
      <c r="G481" s="46">
        <v>2067720588.2352941</v>
      </c>
      <c r="H481" s="46">
        <v>3507399000</v>
      </c>
      <c r="I481" s="56">
        <v>0.58953104230094555</v>
      </c>
      <c r="J481" s="125">
        <v>12.421182514101531</v>
      </c>
    </row>
    <row r="482" spans="1:10">
      <c r="A482" s="55">
        <v>6506</v>
      </c>
      <c r="B482" s="45">
        <v>0.11</v>
      </c>
      <c r="C482" s="123">
        <v>1</v>
      </c>
      <c r="D482" s="121">
        <v>63636363.636363633</v>
      </c>
      <c r="E482" s="241">
        <v>0.11</v>
      </c>
      <c r="F482" s="123">
        <v>3.1333333333333331E-2</v>
      </c>
      <c r="G482" s="46">
        <v>1148636363.6363635</v>
      </c>
      <c r="H482" s="46">
        <v>1942205000</v>
      </c>
      <c r="I482" s="56">
        <v>0.59140840623742785</v>
      </c>
      <c r="J482" s="125">
        <v>41.022727272727273</v>
      </c>
    </row>
    <row r="483" spans="1:10">
      <c r="A483" s="55">
        <v>3284</v>
      </c>
      <c r="B483" s="114">
        <v>1.26</v>
      </c>
      <c r="C483" s="122">
        <v>4.3478260869565216E-2</v>
      </c>
      <c r="D483" s="116">
        <v>57142857.142857142</v>
      </c>
      <c r="E483" s="241">
        <v>0.15</v>
      </c>
      <c r="F483" s="122">
        <v>-6.483333333333334E-3</v>
      </c>
      <c r="G483" s="116">
        <v>525714285.71428567</v>
      </c>
      <c r="H483" s="116">
        <v>888262000</v>
      </c>
      <c r="I483" s="114">
        <v>0.59184597079947776</v>
      </c>
      <c r="J483" s="116">
        <v>41.984126984126981</v>
      </c>
    </row>
    <row r="484" spans="1:10">
      <c r="A484" s="55">
        <v>4433</v>
      </c>
      <c r="B484" s="45">
        <v>0.18</v>
      </c>
      <c r="C484" s="123">
        <v>0.125</v>
      </c>
      <c r="D484" s="121">
        <v>27777777.77777778</v>
      </c>
      <c r="E484" s="241">
        <v>0.2</v>
      </c>
      <c r="F484" s="123">
        <v>3.4066666666666662E-2</v>
      </c>
      <c r="G484" s="46">
        <v>879166666.66666675</v>
      </c>
      <c r="H484" s="46">
        <v>1480209000</v>
      </c>
      <c r="I484" s="56">
        <v>0.59394765649085146</v>
      </c>
      <c r="J484" s="125">
        <v>50</v>
      </c>
    </row>
    <row r="485" spans="1:10">
      <c r="A485" s="55">
        <v>2375</v>
      </c>
      <c r="B485" s="114">
        <v>0.06</v>
      </c>
      <c r="C485" s="122">
        <v>0.6</v>
      </c>
      <c r="D485" s="116">
        <v>66666666.666666672</v>
      </c>
      <c r="E485" s="241">
        <v>0.17</v>
      </c>
      <c r="F485" s="122">
        <v>2.5808333333333336E-2</v>
      </c>
      <c r="G485" s="116">
        <v>883333333.33333337</v>
      </c>
      <c r="H485" s="116">
        <v>1486806000</v>
      </c>
      <c r="I485" s="114">
        <v>0.59411472198345538</v>
      </c>
      <c r="J485" s="116">
        <v>50</v>
      </c>
    </row>
    <row r="486" spans="1:10">
      <c r="A486" s="55">
        <v>9912</v>
      </c>
      <c r="B486" s="45">
        <v>-0.2</v>
      </c>
      <c r="C486" s="123">
        <v>1</v>
      </c>
      <c r="D486" s="121">
        <v>50000000</v>
      </c>
      <c r="E486" s="241">
        <v>0.21</v>
      </c>
      <c r="F486" s="123">
        <v>2.0933333333333332E-2</v>
      </c>
      <c r="G486" s="46">
        <v>405999999.99999994</v>
      </c>
      <c r="H486" s="46">
        <v>682750000</v>
      </c>
      <c r="I486" s="56">
        <v>0.59465397290369815</v>
      </c>
      <c r="J486" s="125">
        <v>0</v>
      </c>
    </row>
    <row r="487" spans="1:10">
      <c r="A487" s="55">
        <v>5493</v>
      </c>
      <c r="B487" s="45">
        <v>0.84</v>
      </c>
      <c r="C487" s="123">
        <v>0.79347826086956519</v>
      </c>
      <c r="D487" s="121">
        <v>44047619.047619052</v>
      </c>
      <c r="E487" s="241">
        <v>0.21</v>
      </c>
      <c r="F487" s="123">
        <v>4.4950000000000011E-2</v>
      </c>
      <c r="G487" s="46">
        <v>1352261904.761905</v>
      </c>
      <c r="H487" s="46">
        <v>2271071000</v>
      </c>
      <c r="I487" s="56">
        <v>0.59542916305210403</v>
      </c>
      <c r="J487" s="125">
        <v>11.515003261578604</v>
      </c>
    </row>
    <row r="488" spans="1:10">
      <c r="A488" s="55">
        <v>3056</v>
      </c>
      <c r="B488" s="114">
        <v>2.8</v>
      </c>
      <c r="C488" s="122">
        <v>0.97267759562841527</v>
      </c>
      <c r="D488" s="116">
        <v>199642857.14285716</v>
      </c>
      <c r="E488" s="241">
        <v>0.28000000000000003</v>
      </c>
      <c r="F488" s="122">
        <v>9.0185999999999993</v>
      </c>
      <c r="G488" s="116">
        <v>2385732142.8571429</v>
      </c>
      <c r="H488" s="116">
        <v>3991064000</v>
      </c>
      <c r="I488" s="114">
        <v>0.597768450432552</v>
      </c>
      <c r="J488" s="116">
        <v>1.0969351926163724</v>
      </c>
    </row>
    <row r="489" spans="1:10">
      <c r="A489" s="55">
        <v>8929</v>
      </c>
      <c r="B489" s="45">
        <v>0.17</v>
      </c>
      <c r="C489" s="123">
        <v>1</v>
      </c>
      <c r="D489" s="121">
        <v>35294117.647058822</v>
      </c>
      <c r="E489" s="241">
        <v>0.21</v>
      </c>
      <c r="F489" s="123">
        <v>1.3666666666666643E-3</v>
      </c>
      <c r="G489" s="46">
        <v>801176470.58823526</v>
      </c>
      <c r="H489" s="46">
        <v>1338093000</v>
      </c>
      <c r="I489" s="56">
        <v>0.59874498303797663</v>
      </c>
      <c r="J489" s="125">
        <v>33.382352941176464</v>
      </c>
    </row>
    <row r="490" spans="1:10">
      <c r="A490" s="55">
        <v>3519</v>
      </c>
      <c r="B490" s="114">
        <v>-1.37</v>
      </c>
      <c r="C490" s="122">
        <v>0.7328453796889296</v>
      </c>
      <c r="D490" s="116">
        <v>413868613.13868612</v>
      </c>
      <c r="E490" s="241">
        <v>-0.02</v>
      </c>
      <c r="F490" s="122">
        <v>1.4133333333333333E-2</v>
      </c>
      <c r="G490" s="116">
        <v>9415510948.9051094</v>
      </c>
      <c r="H490" s="116">
        <v>15688096000</v>
      </c>
      <c r="I490" s="114">
        <v>0.60016913135316796</v>
      </c>
      <c r="J490" s="116">
        <v>0</v>
      </c>
    </row>
    <row r="491" spans="1:10">
      <c r="A491" s="55">
        <v>6188</v>
      </c>
      <c r="B491" s="45">
        <v>0.34</v>
      </c>
      <c r="C491" s="123">
        <v>0.14354066985645933</v>
      </c>
      <c r="D491" s="121">
        <v>279411764.70588231</v>
      </c>
      <c r="E491" s="241">
        <v>0.13</v>
      </c>
      <c r="F491" s="123">
        <v>-1.8883333333333332E-2</v>
      </c>
      <c r="G491" s="46">
        <v>6398529411.7647047</v>
      </c>
      <c r="H491" s="46">
        <v>10654966000</v>
      </c>
      <c r="I491" s="56">
        <v>0.60052086621061995</v>
      </c>
      <c r="J491" s="125">
        <v>50</v>
      </c>
    </row>
    <row r="492" spans="1:10">
      <c r="A492" s="55">
        <v>4716</v>
      </c>
      <c r="B492" s="45">
        <v>0.14000000000000001</v>
      </c>
      <c r="C492" s="123">
        <v>0.46666666666666667</v>
      </c>
      <c r="D492" s="121">
        <v>71428571.428571418</v>
      </c>
      <c r="E492" s="241">
        <v>0.18</v>
      </c>
      <c r="F492" s="123">
        <v>4.5783333333333349E-2</v>
      </c>
      <c r="G492" s="46">
        <v>659285714.28571427</v>
      </c>
      <c r="H492" s="46">
        <v>1096263000</v>
      </c>
      <c r="I492" s="56">
        <v>0.60139374792884026</v>
      </c>
      <c r="J492" s="125">
        <v>35.318877551020407</v>
      </c>
    </row>
    <row r="493" spans="1:10">
      <c r="A493" s="55">
        <v>5478</v>
      </c>
      <c r="B493" s="45">
        <v>0.43</v>
      </c>
      <c r="C493" s="123">
        <v>0.4838709677419355</v>
      </c>
      <c r="D493" s="121">
        <v>127906976.74418604</v>
      </c>
      <c r="E493" s="241">
        <v>0.22</v>
      </c>
      <c r="F493" s="123">
        <v>7.2916666666666659E-3</v>
      </c>
      <c r="G493" s="46">
        <v>9081395348.8372097</v>
      </c>
      <c r="H493" s="46">
        <v>15010897000</v>
      </c>
      <c r="I493" s="56">
        <v>0.60498685380608563</v>
      </c>
      <c r="J493" s="125">
        <v>50</v>
      </c>
    </row>
    <row r="494" spans="1:10">
      <c r="A494" s="55">
        <v>6180</v>
      </c>
      <c r="B494" s="45">
        <v>0.17</v>
      </c>
      <c r="C494" s="123">
        <v>0.36065573770491804</v>
      </c>
      <c r="D494" s="121">
        <v>152941176.47058824</v>
      </c>
      <c r="E494" s="241">
        <v>0.15</v>
      </c>
      <c r="F494" s="123">
        <v>1.2850000000000002E-2</v>
      </c>
      <c r="G494" s="46">
        <v>5872941176.4705877</v>
      </c>
      <c r="H494" s="46">
        <v>9705274000</v>
      </c>
      <c r="I494" s="56">
        <v>0.60512883783297489</v>
      </c>
      <c r="J494" s="125">
        <v>50</v>
      </c>
    </row>
    <row r="495" spans="1:10">
      <c r="A495" s="55">
        <v>6168</v>
      </c>
      <c r="B495" s="45">
        <v>0.88</v>
      </c>
      <c r="C495" s="123">
        <v>0</v>
      </c>
      <c r="D495" s="121">
        <v>203409090.90909091</v>
      </c>
      <c r="E495" s="241">
        <v>0.13</v>
      </c>
      <c r="F495" s="123">
        <v>-1.8925000000000001E-2</v>
      </c>
      <c r="G495" s="46">
        <v>2573125000</v>
      </c>
      <c r="H495" s="46">
        <v>4250876000</v>
      </c>
      <c r="I495" s="56">
        <v>0.60531641007641723</v>
      </c>
      <c r="J495" s="125">
        <v>0</v>
      </c>
    </row>
    <row r="496" spans="1:10">
      <c r="A496" s="55">
        <v>8411</v>
      </c>
      <c r="B496" s="45">
        <v>0.51</v>
      </c>
      <c r="C496" s="123">
        <v>0.94230769230769229</v>
      </c>
      <c r="D496" s="121">
        <v>152941176.47058824</v>
      </c>
      <c r="E496" s="241">
        <v>0.15</v>
      </c>
      <c r="F496" s="123">
        <v>6.5016666666666681E-2</v>
      </c>
      <c r="G496" s="46">
        <v>3907647058.8235297</v>
      </c>
      <c r="H496" s="46">
        <v>6419124000</v>
      </c>
      <c r="I496" s="56">
        <v>0.6087508293691678</v>
      </c>
      <c r="J496" s="125">
        <v>13.291316526610645</v>
      </c>
    </row>
    <row r="497" spans="1:10">
      <c r="A497" s="55">
        <v>6117</v>
      </c>
      <c r="B497" s="45">
        <v>-0.49</v>
      </c>
      <c r="C497" s="123">
        <v>1</v>
      </c>
      <c r="D497" s="121">
        <v>87755102.040816322</v>
      </c>
      <c r="E497" s="241">
        <v>0.15</v>
      </c>
      <c r="F497" s="123">
        <v>3.2291666666666663E-2</v>
      </c>
      <c r="G497" s="46">
        <v>1298775510.2040815</v>
      </c>
      <c r="H497" s="46">
        <v>2124410000</v>
      </c>
      <c r="I497" s="56">
        <v>0.61135821720104944</v>
      </c>
      <c r="J497" s="125">
        <v>0</v>
      </c>
    </row>
    <row r="498" spans="1:10">
      <c r="A498" s="55">
        <v>1604</v>
      </c>
      <c r="B498" s="114">
        <v>0.26</v>
      </c>
      <c r="C498" s="122">
        <v>0.33950617283950618</v>
      </c>
      <c r="D498" s="116">
        <v>500000000</v>
      </c>
      <c r="E498" s="241">
        <v>0.21</v>
      </c>
      <c r="F498" s="122">
        <v>8.6499999999999997E-3</v>
      </c>
      <c r="G498" s="116">
        <v>5975000000</v>
      </c>
      <c r="H498" s="116">
        <v>9765655000</v>
      </c>
      <c r="I498" s="114">
        <v>0.611838120433294</v>
      </c>
      <c r="J498" s="116">
        <v>33.844405594405586</v>
      </c>
    </row>
    <row r="499" spans="1:10">
      <c r="A499" s="55">
        <v>2109</v>
      </c>
      <c r="B499" s="114">
        <v>0.02</v>
      </c>
      <c r="C499" s="122">
        <v>1</v>
      </c>
      <c r="D499" s="116">
        <v>350000000</v>
      </c>
      <c r="E499" s="241">
        <v>0.28000000000000003</v>
      </c>
      <c r="F499" s="122">
        <v>-1.1575E-2</v>
      </c>
      <c r="G499" s="116">
        <v>3955000000.0000005</v>
      </c>
      <c r="H499" s="116">
        <v>6463497000</v>
      </c>
      <c r="I499" s="114">
        <v>0.61189786272044377</v>
      </c>
      <c r="J499" s="116">
        <v>50</v>
      </c>
    </row>
    <row r="500" spans="1:10">
      <c r="A500" s="55">
        <v>2727</v>
      </c>
      <c r="B500" s="114">
        <v>-0.04</v>
      </c>
      <c r="C500" s="122">
        <v>1</v>
      </c>
      <c r="D500" s="116">
        <v>75000000</v>
      </c>
      <c r="E500" s="241">
        <v>0.47</v>
      </c>
      <c r="F500" s="122">
        <v>9.5583333333333371E-3</v>
      </c>
      <c r="G500" s="116">
        <v>10275000000</v>
      </c>
      <c r="H500" s="116">
        <v>16783819000</v>
      </c>
      <c r="I500" s="114">
        <v>0.61219678310401227</v>
      </c>
      <c r="J500" s="116">
        <v>0</v>
      </c>
    </row>
    <row r="501" spans="1:10">
      <c r="A501" s="55">
        <v>2337</v>
      </c>
      <c r="B501" s="114">
        <v>-0.27</v>
      </c>
      <c r="C501" s="122">
        <v>1</v>
      </c>
      <c r="D501" s="116">
        <v>3514814814.8148146</v>
      </c>
      <c r="E501" s="241">
        <v>0.14000000000000001</v>
      </c>
      <c r="F501" s="122">
        <v>6.3333333333333332E-3</v>
      </c>
      <c r="G501" s="116">
        <v>12899370370.370369</v>
      </c>
      <c r="H501" s="116">
        <v>20927770000</v>
      </c>
      <c r="I501" s="114">
        <v>0.6163757710625819</v>
      </c>
      <c r="J501" s="116">
        <v>0</v>
      </c>
    </row>
    <row r="502" spans="1:10">
      <c r="A502" s="55">
        <v>3515</v>
      </c>
      <c r="B502" s="114">
        <v>0.55000000000000004</v>
      </c>
      <c r="C502" s="122">
        <v>1</v>
      </c>
      <c r="D502" s="116">
        <v>114545454.54545453</v>
      </c>
      <c r="E502" s="241">
        <v>0.21</v>
      </c>
      <c r="F502" s="122">
        <v>1.6316666666666667E-2</v>
      </c>
      <c r="G502" s="116">
        <v>4490181818.181818</v>
      </c>
      <c r="H502" s="116">
        <v>7273194000</v>
      </c>
      <c r="I502" s="114">
        <v>0.61736038089755585</v>
      </c>
      <c r="J502" s="116">
        <v>17.818181818181817</v>
      </c>
    </row>
    <row r="503" spans="1:10">
      <c r="A503" s="55">
        <v>8940</v>
      </c>
      <c r="B503" s="45">
        <v>-1.19</v>
      </c>
      <c r="C503" s="123">
        <v>1</v>
      </c>
      <c r="D503" s="121">
        <v>68067226.890756309</v>
      </c>
      <c r="E503" s="241">
        <v>0.28999999999999998</v>
      </c>
      <c r="F503" s="123">
        <v>0.13423333333333334</v>
      </c>
      <c r="G503" s="46">
        <v>1021008403.3613446</v>
      </c>
      <c r="H503" s="46">
        <v>1652942000</v>
      </c>
      <c r="I503" s="56">
        <v>0.61769160887759189</v>
      </c>
      <c r="J503" s="125">
        <v>0</v>
      </c>
    </row>
    <row r="504" spans="1:10">
      <c r="A504" s="55">
        <v>2615</v>
      </c>
      <c r="B504" s="114">
        <v>0.48</v>
      </c>
      <c r="C504" s="122">
        <v>9.1546006539000468E-2</v>
      </c>
      <c r="D504" s="116">
        <v>2197916666.666667</v>
      </c>
      <c r="E504" s="241">
        <v>7.0000000000000007E-2</v>
      </c>
      <c r="F504" s="122">
        <v>-1.7225000000000001E-2</v>
      </c>
      <c r="G504" s="116">
        <v>39452604166.666672</v>
      </c>
      <c r="H504" s="116">
        <v>63829958000</v>
      </c>
      <c r="I504" s="114">
        <v>0.6180891450166186</v>
      </c>
      <c r="J504" s="116">
        <v>50</v>
      </c>
    </row>
    <row r="505" spans="1:10">
      <c r="A505" s="55">
        <v>1465</v>
      </c>
      <c r="B505" s="114">
        <v>0.5</v>
      </c>
      <c r="C505" s="122">
        <v>0.375</v>
      </c>
      <c r="D505" s="116">
        <v>102000000</v>
      </c>
      <c r="E505" s="241">
        <v>0.15</v>
      </c>
      <c r="F505" s="122">
        <v>2.5700000000000001E-2</v>
      </c>
      <c r="G505" s="116">
        <v>1443300000</v>
      </c>
      <c r="H505" s="116">
        <v>2327338000</v>
      </c>
      <c r="I505" s="114">
        <v>0.62015057546432872</v>
      </c>
      <c r="J505" s="116">
        <v>18.866666666666667</v>
      </c>
    </row>
    <row r="506" spans="1:10">
      <c r="A506" s="55">
        <v>2380</v>
      </c>
      <c r="B506" s="114">
        <v>-0.08</v>
      </c>
      <c r="C506" s="122">
        <v>1</v>
      </c>
      <c r="D506" s="116">
        <v>212500000</v>
      </c>
      <c r="E506" s="241">
        <v>0.31</v>
      </c>
      <c r="F506" s="122">
        <v>9.6916666666666627E-3</v>
      </c>
      <c r="G506" s="116">
        <v>1530000000</v>
      </c>
      <c r="H506" s="116">
        <v>2463780000</v>
      </c>
      <c r="I506" s="114">
        <v>0.6209970046026837</v>
      </c>
      <c r="J506" s="116">
        <v>0</v>
      </c>
    </row>
    <row r="507" spans="1:10">
      <c r="A507" s="55">
        <v>6287</v>
      </c>
      <c r="B507" s="45">
        <v>-0.38</v>
      </c>
      <c r="C507" s="123">
        <v>0.95364238410596025</v>
      </c>
      <c r="D507" s="121">
        <v>181578947.36842105</v>
      </c>
      <c r="E507" s="241">
        <v>-0.2</v>
      </c>
      <c r="F507" s="123">
        <v>7.7441666666666673E-2</v>
      </c>
      <c r="G507" s="46">
        <v>571973684.21052623</v>
      </c>
      <c r="H507" s="46">
        <v>921025000</v>
      </c>
      <c r="I507" s="56">
        <v>0.62101863055891671</v>
      </c>
      <c r="J507" s="125">
        <v>0</v>
      </c>
    </row>
    <row r="508" spans="1:10">
      <c r="A508" s="55">
        <v>3437</v>
      </c>
      <c r="B508" s="114">
        <v>0.57999999999999996</v>
      </c>
      <c r="C508" s="122">
        <v>0.84920634920634919</v>
      </c>
      <c r="D508" s="116">
        <v>143103448.27586207</v>
      </c>
      <c r="E508" s="241">
        <v>0.18</v>
      </c>
      <c r="F508" s="122">
        <v>-5.958333333333332E-3</v>
      </c>
      <c r="G508" s="116">
        <v>3849482758.6206894</v>
      </c>
      <c r="H508" s="116">
        <v>6175746000</v>
      </c>
      <c r="I508" s="114">
        <v>0.62332271414994878</v>
      </c>
      <c r="J508" s="116">
        <v>13.653722204318402</v>
      </c>
    </row>
    <row r="509" spans="1:10">
      <c r="A509" s="55">
        <v>2061</v>
      </c>
      <c r="B509" s="114">
        <v>-0.43</v>
      </c>
      <c r="C509" s="122">
        <v>0.52830188679245282</v>
      </c>
      <c r="D509" s="116">
        <v>60465116.279069766</v>
      </c>
      <c r="E509" s="241">
        <v>0</v>
      </c>
      <c r="F509" s="122">
        <v>2.6575000000000005E-2</v>
      </c>
      <c r="G509" s="116">
        <v>677209302.32558131</v>
      </c>
      <c r="H509" s="116">
        <v>1085453000</v>
      </c>
      <c r="I509" s="114">
        <v>0.62389555542762454</v>
      </c>
      <c r="J509" s="116">
        <v>0</v>
      </c>
    </row>
    <row r="510" spans="1:10">
      <c r="A510" s="55">
        <v>6443</v>
      </c>
      <c r="B510" s="45">
        <v>0.2</v>
      </c>
      <c r="C510" s="123">
        <v>0</v>
      </c>
      <c r="D510" s="121">
        <v>325000000</v>
      </c>
      <c r="E510" s="241">
        <v>0.09</v>
      </c>
      <c r="F510" s="123">
        <v>3.8858333333333335E-2</v>
      </c>
      <c r="G510" s="46">
        <v>4468750000</v>
      </c>
      <c r="H510" s="46">
        <v>7134304000</v>
      </c>
      <c r="I510" s="56">
        <v>0.62637504653572373</v>
      </c>
      <c r="J510" s="125">
        <v>0</v>
      </c>
    </row>
    <row r="511" spans="1:10">
      <c r="A511" s="55">
        <v>3305</v>
      </c>
      <c r="B511" s="114">
        <v>0.3</v>
      </c>
      <c r="C511" s="122">
        <v>1</v>
      </c>
      <c r="D511" s="116">
        <v>120000000</v>
      </c>
      <c r="E511" s="241">
        <v>0.16</v>
      </c>
      <c r="F511" s="122">
        <v>-1.0466666666666666E-2</v>
      </c>
      <c r="G511" s="116">
        <v>2946000000</v>
      </c>
      <c r="H511" s="116">
        <v>4694857000</v>
      </c>
      <c r="I511" s="114">
        <v>0.62749515054452143</v>
      </c>
      <c r="J511" s="116">
        <v>20.458333333333336</v>
      </c>
    </row>
    <row r="512" spans="1:10">
      <c r="A512" s="55">
        <v>9946</v>
      </c>
      <c r="B512" s="45">
        <v>1.52</v>
      </c>
      <c r="C512" s="123">
        <v>0.9886621315192744</v>
      </c>
      <c r="D512" s="121">
        <v>264473684.21052632</v>
      </c>
      <c r="E512" s="241">
        <v>0.28999999999999998</v>
      </c>
      <c r="F512" s="123">
        <v>0.73157499999999998</v>
      </c>
      <c r="G512" s="46">
        <v>3147236842.1052632</v>
      </c>
      <c r="H512" s="46">
        <v>5014403000</v>
      </c>
      <c r="I512" s="56">
        <v>0.62763939039308636</v>
      </c>
      <c r="J512" s="125">
        <v>1.9796822187349108</v>
      </c>
    </row>
    <row r="513" spans="1:10">
      <c r="A513" s="55">
        <v>2349</v>
      </c>
      <c r="B513" s="114">
        <v>-0.22</v>
      </c>
      <c r="C513" s="122">
        <v>1</v>
      </c>
      <c r="D513" s="116">
        <v>2668181818.181818</v>
      </c>
      <c r="E513" s="241">
        <v>-0.02</v>
      </c>
      <c r="F513" s="122">
        <v>1.7666666666666657E-3</v>
      </c>
      <c r="G513" s="116">
        <v>6990636363.636363</v>
      </c>
      <c r="H513" s="116">
        <v>11070751000</v>
      </c>
      <c r="I513" s="114">
        <v>0.63145096151438718</v>
      </c>
      <c r="J513" s="116">
        <v>0</v>
      </c>
    </row>
    <row r="514" spans="1:10">
      <c r="A514" s="55">
        <v>4722</v>
      </c>
      <c r="B514" s="45">
        <v>1.31</v>
      </c>
      <c r="C514" s="123">
        <v>0.78306878306878303</v>
      </c>
      <c r="D514" s="121">
        <v>88549618.320610687</v>
      </c>
      <c r="E514" s="241">
        <v>0.18</v>
      </c>
      <c r="F514" s="123">
        <v>-2.5000000000000001E-3</v>
      </c>
      <c r="G514" s="46">
        <v>2846870229.0076337</v>
      </c>
      <c r="H514" s="46">
        <v>4501626000</v>
      </c>
      <c r="I514" s="56">
        <v>0.63240931810142242</v>
      </c>
      <c r="J514" s="125">
        <v>7.8351944501753668</v>
      </c>
    </row>
    <row r="515" spans="1:10">
      <c r="A515" s="55">
        <v>2489</v>
      </c>
      <c r="B515" s="114">
        <v>0.61</v>
      </c>
      <c r="C515" s="122">
        <v>0</v>
      </c>
      <c r="D515" s="116">
        <v>834426229.50819671</v>
      </c>
      <c r="E515" s="241">
        <v>0.09</v>
      </c>
      <c r="F515" s="122">
        <v>6.0150000000000016E-2</v>
      </c>
      <c r="G515" s="116">
        <v>13100491803.278688</v>
      </c>
      <c r="H515" s="116">
        <v>20701734000</v>
      </c>
      <c r="I515" s="114">
        <v>0.63282098993633518</v>
      </c>
      <c r="J515" s="116">
        <v>0</v>
      </c>
    </row>
    <row r="516" spans="1:10">
      <c r="A516" s="55">
        <v>8054</v>
      </c>
      <c r="B516" s="45">
        <v>0.17</v>
      </c>
      <c r="C516" s="123">
        <v>0</v>
      </c>
      <c r="D516" s="121">
        <v>76470588.235294119</v>
      </c>
      <c r="E516" s="241">
        <v>0.42</v>
      </c>
      <c r="F516" s="123">
        <v>7.6083333333333307E-3</v>
      </c>
      <c r="G516" s="46">
        <v>1460588235.2941177</v>
      </c>
      <c r="H516" s="46">
        <v>2304914000</v>
      </c>
      <c r="I516" s="56">
        <v>0.63368448249874731</v>
      </c>
      <c r="J516" s="125">
        <v>0</v>
      </c>
    </row>
    <row r="517" spans="1:10">
      <c r="A517" s="55">
        <v>4739</v>
      </c>
      <c r="B517" s="45">
        <v>0.15</v>
      </c>
      <c r="C517" s="123">
        <v>1</v>
      </c>
      <c r="D517" s="121">
        <v>66666666.666666672</v>
      </c>
      <c r="E517" s="241">
        <v>0.12</v>
      </c>
      <c r="F517" s="123">
        <v>1.5033333333333329E-2</v>
      </c>
      <c r="G517" s="46">
        <v>2480000000.0000005</v>
      </c>
      <c r="H517" s="46">
        <v>3905992000</v>
      </c>
      <c r="I517" s="56">
        <v>0.63492193532398444</v>
      </c>
      <c r="J517" s="125">
        <v>50</v>
      </c>
    </row>
    <row r="518" spans="1:10">
      <c r="A518" s="55">
        <v>9944</v>
      </c>
      <c r="B518" s="45">
        <v>0.16</v>
      </c>
      <c r="C518" s="123">
        <v>0.7192982456140351</v>
      </c>
      <c r="D518" s="121">
        <v>112500000</v>
      </c>
      <c r="E518" s="241">
        <v>0.2</v>
      </c>
      <c r="F518" s="123">
        <v>1.6166666666666679E-3</v>
      </c>
      <c r="G518" s="46">
        <v>2520000000</v>
      </c>
      <c r="H518" s="46">
        <v>3959385000</v>
      </c>
      <c r="I518" s="56">
        <v>0.63646248091559676</v>
      </c>
      <c r="J518" s="125">
        <v>48.658536585365852</v>
      </c>
    </row>
    <row r="519" spans="1:10">
      <c r="A519" s="55">
        <v>4526</v>
      </c>
      <c r="B519" s="45">
        <v>0.8</v>
      </c>
      <c r="C519" s="123">
        <v>0.32128514056224899</v>
      </c>
      <c r="D519" s="121">
        <v>255000000</v>
      </c>
      <c r="E519" s="241">
        <v>0.27</v>
      </c>
      <c r="F519" s="123">
        <v>8.4983333333333341E-2</v>
      </c>
      <c r="G519" s="46">
        <v>5967000000</v>
      </c>
      <c r="H519" s="46">
        <v>9374009000</v>
      </c>
      <c r="I519" s="56">
        <v>0.63654728729191534</v>
      </c>
      <c r="J519" s="125">
        <v>22.760156249999994</v>
      </c>
    </row>
    <row r="520" spans="1:10">
      <c r="A520" s="55">
        <v>3698</v>
      </c>
      <c r="B520" s="114">
        <v>0.06</v>
      </c>
      <c r="C520" s="122">
        <v>0</v>
      </c>
      <c r="D520" s="116">
        <v>600000000</v>
      </c>
      <c r="E520" s="241">
        <v>0.09</v>
      </c>
      <c r="F520" s="122">
        <v>4.8999999999999981E-3</v>
      </c>
      <c r="G520" s="116">
        <v>9060000000</v>
      </c>
      <c r="H520" s="116">
        <v>14230539000</v>
      </c>
      <c r="I520" s="114">
        <v>0.63665894875801965</v>
      </c>
      <c r="J520" s="116">
        <v>0</v>
      </c>
    </row>
    <row r="521" spans="1:10">
      <c r="A521" s="55">
        <v>3561</v>
      </c>
      <c r="B521" s="114">
        <v>0.06</v>
      </c>
      <c r="C521" s="122">
        <v>1</v>
      </c>
      <c r="D521" s="116">
        <v>383333333.33333337</v>
      </c>
      <c r="E521" s="241">
        <v>0.06</v>
      </c>
      <c r="F521" s="122">
        <v>4.199166666666667E-2</v>
      </c>
      <c r="G521" s="116">
        <v>6861666666.666667</v>
      </c>
      <c r="H521" s="116">
        <v>10769877000</v>
      </c>
      <c r="I521" s="114">
        <v>0.6371165303621078</v>
      </c>
      <c r="J521" s="116">
        <v>50</v>
      </c>
    </row>
    <row r="522" spans="1:10">
      <c r="A522" s="55">
        <v>3171</v>
      </c>
      <c r="B522" s="114">
        <v>0.4</v>
      </c>
      <c r="C522" s="122">
        <v>0.92307692307692313</v>
      </c>
      <c r="D522" s="116">
        <v>57500000</v>
      </c>
      <c r="E522" s="241">
        <v>0.21</v>
      </c>
      <c r="F522" s="122">
        <v>1.4083333333333354E-3</v>
      </c>
      <c r="G522" s="116">
        <v>1106875000</v>
      </c>
      <c r="H522" s="116">
        <v>1733799000</v>
      </c>
      <c r="I522" s="114">
        <v>0.63841021940836284</v>
      </c>
      <c r="J522" s="116">
        <v>13.033854166666666</v>
      </c>
    </row>
    <row r="523" spans="1:10">
      <c r="A523" s="55">
        <v>9935</v>
      </c>
      <c r="B523" s="45">
        <v>0.01</v>
      </c>
      <c r="C523" s="123">
        <v>1</v>
      </c>
      <c r="D523" s="121">
        <v>200000000</v>
      </c>
      <c r="E523" s="241">
        <v>0.17</v>
      </c>
      <c r="F523" s="123">
        <v>3.5683333333333331E-2</v>
      </c>
      <c r="G523" s="46">
        <v>2110000000.0000002</v>
      </c>
      <c r="H523" s="46">
        <v>3302481000</v>
      </c>
      <c r="I523" s="56">
        <v>0.63891359253845825</v>
      </c>
      <c r="J523" s="125">
        <v>50</v>
      </c>
    </row>
    <row r="524" spans="1:10">
      <c r="A524" s="55">
        <v>2419</v>
      </c>
      <c r="B524" s="114">
        <v>0.32</v>
      </c>
      <c r="C524" s="122">
        <v>0.92</v>
      </c>
      <c r="D524" s="116">
        <v>234375000</v>
      </c>
      <c r="E524" s="241">
        <v>0.22</v>
      </c>
      <c r="F524" s="122">
        <v>5.4391666666666665E-2</v>
      </c>
      <c r="G524" s="116">
        <v>5132812500</v>
      </c>
      <c r="H524" s="116">
        <v>8022564000</v>
      </c>
      <c r="I524" s="114">
        <v>0.63979701501913855</v>
      </c>
      <c r="J524" s="116">
        <v>18.597146739130434</v>
      </c>
    </row>
    <row r="525" spans="1:10">
      <c r="A525" s="55">
        <v>8443</v>
      </c>
      <c r="B525" s="45">
        <v>0.19</v>
      </c>
      <c r="C525" s="123">
        <v>0.6333333333333333</v>
      </c>
      <c r="D525" s="121">
        <v>68421052.631578952</v>
      </c>
      <c r="E525" s="241">
        <v>0.57999999999999996</v>
      </c>
      <c r="F525" s="123">
        <v>1.1250000000000056E-3</v>
      </c>
      <c r="G525" s="46">
        <v>1426578947.3684213</v>
      </c>
      <c r="H525" s="46">
        <v>2228850000</v>
      </c>
      <c r="I525" s="56">
        <v>0.64005157250080591</v>
      </c>
      <c r="J525" s="125">
        <v>43.317174515235457</v>
      </c>
    </row>
    <row r="526" spans="1:10">
      <c r="A526" s="55">
        <v>8916</v>
      </c>
      <c r="B526" s="45">
        <v>2.41</v>
      </c>
      <c r="C526" s="123">
        <v>0.97662337662337662</v>
      </c>
      <c r="D526" s="121">
        <v>105809128.63070539</v>
      </c>
      <c r="E526" s="241">
        <v>0.18</v>
      </c>
      <c r="F526" s="123">
        <v>3.2916666666666664E-2</v>
      </c>
      <c r="G526" s="46">
        <v>5713692946.0580912</v>
      </c>
      <c r="H526" s="46">
        <v>8920030000</v>
      </c>
      <c r="I526" s="56">
        <v>0.64054638224962146</v>
      </c>
      <c r="J526" s="125">
        <v>5.7357420323121744</v>
      </c>
    </row>
    <row r="527" spans="1:10">
      <c r="A527" s="55">
        <v>6164</v>
      </c>
      <c r="B527" s="45">
        <v>0.08</v>
      </c>
      <c r="C527" s="123">
        <v>0.82352941176470584</v>
      </c>
      <c r="D527" s="121">
        <v>112500000</v>
      </c>
      <c r="E527" s="241">
        <v>0.21</v>
      </c>
      <c r="F527" s="123">
        <v>1.2958333333333334E-2</v>
      </c>
      <c r="G527" s="46">
        <v>1072124999.9999999</v>
      </c>
      <c r="H527" s="46">
        <v>1668685000</v>
      </c>
      <c r="I527" s="56">
        <v>0.64249693621024928</v>
      </c>
      <c r="J527" s="125">
        <v>36.162946428571423</v>
      </c>
    </row>
    <row r="528" spans="1:10" ht="16.5" customHeight="1">
      <c r="A528" s="55">
        <v>4974</v>
      </c>
      <c r="B528" s="45">
        <v>1.4</v>
      </c>
      <c r="C528" s="123">
        <v>0.84615384615384615</v>
      </c>
      <c r="D528" s="121">
        <v>62142857.142857149</v>
      </c>
      <c r="E528" s="241">
        <v>0.13</v>
      </c>
      <c r="F528" s="123">
        <v>6.5874999999999989E-2</v>
      </c>
      <c r="G528" s="46">
        <v>2311714285.7142863</v>
      </c>
      <c r="H528" s="46">
        <v>3591060000</v>
      </c>
      <c r="I528" s="56">
        <v>0.64374148182271707</v>
      </c>
      <c r="J528" s="125">
        <v>7.8506493506493511</v>
      </c>
    </row>
    <row r="529" spans="1:11">
      <c r="A529" s="55">
        <v>4958</v>
      </c>
      <c r="B529" s="45">
        <v>2.67</v>
      </c>
      <c r="C529" s="123">
        <v>0.92480998914223667</v>
      </c>
      <c r="D529" s="121">
        <v>805617977.52808988</v>
      </c>
      <c r="E529" s="241">
        <v>0.22</v>
      </c>
      <c r="F529" s="123">
        <v>1.5591666666666663E-2</v>
      </c>
      <c r="G529" s="46">
        <v>55426516853.932579</v>
      </c>
      <c r="H529" s="46">
        <v>86026339000</v>
      </c>
      <c r="I529" s="56">
        <v>0.64429705481169641</v>
      </c>
      <c r="J529" s="125">
        <v>6.9656985123160187</v>
      </c>
    </row>
    <row r="530" spans="1:11">
      <c r="A530" s="55">
        <v>3005</v>
      </c>
      <c r="B530" s="114">
        <v>0.44</v>
      </c>
      <c r="C530" s="122">
        <v>0.83364839319470696</v>
      </c>
      <c r="D530" s="116">
        <v>581818181.81818187</v>
      </c>
      <c r="E530" s="241">
        <v>0.24</v>
      </c>
      <c r="F530" s="122">
        <v>1.2349999999999998E-2</v>
      </c>
      <c r="G530" s="116">
        <v>11840000000.000002</v>
      </c>
      <c r="H530" s="116">
        <v>18370744000</v>
      </c>
      <c r="I530" s="114">
        <v>0.64450302067243448</v>
      </c>
      <c r="J530" s="116">
        <v>13.869756235827666</v>
      </c>
    </row>
    <row r="531" spans="1:11">
      <c r="A531" s="55">
        <v>1324</v>
      </c>
      <c r="B531" s="114">
        <v>0.28000000000000003</v>
      </c>
      <c r="C531" s="122">
        <v>0.80555555555555558</v>
      </c>
      <c r="D531" s="116">
        <v>75000000</v>
      </c>
      <c r="E531" s="241">
        <v>0.21</v>
      </c>
      <c r="F531" s="122">
        <v>1.274999999999996E-3</v>
      </c>
      <c r="G531" s="116">
        <v>821250000</v>
      </c>
      <c r="H531" s="116">
        <v>1274030000</v>
      </c>
      <c r="I531" s="114">
        <v>0.64460805475538252</v>
      </c>
      <c r="J531" s="116">
        <v>12.13669950738916</v>
      </c>
      <c r="K531" s="26"/>
    </row>
    <row r="532" spans="1:11">
      <c r="A532" s="55">
        <v>6151</v>
      </c>
      <c r="B532" s="45">
        <v>0.64</v>
      </c>
      <c r="C532" s="123">
        <v>1</v>
      </c>
      <c r="D532" s="121">
        <v>54687500</v>
      </c>
      <c r="E532" s="241">
        <v>0.2</v>
      </c>
      <c r="F532" s="123">
        <v>1.2216666666666667E-2</v>
      </c>
      <c r="G532" s="46">
        <v>1249609375</v>
      </c>
      <c r="H532" s="46">
        <v>1937669000</v>
      </c>
      <c r="I532" s="56">
        <v>0.64490342519800858</v>
      </c>
      <c r="J532" s="125">
        <v>8.92578125</v>
      </c>
    </row>
    <row r="533" spans="1:11">
      <c r="A533" s="55">
        <v>6283</v>
      </c>
      <c r="B533" s="45">
        <v>-7.0000000000000007E-2</v>
      </c>
      <c r="C533" s="123">
        <v>1</v>
      </c>
      <c r="D533" s="121">
        <v>142857142.85714284</v>
      </c>
      <c r="E533" s="241">
        <v>0.14000000000000001</v>
      </c>
      <c r="F533" s="123">
        <v>-7.2833333333333335E-3</v>
      </c>
      <c r="G533" s="46">
        <v>594285714.28571427</v>
      </c>
      <c r="H533" s="46">
        <v>921373000</v>
      </c>
      <c r="I533" s="56">
        <v>0.64500014031854014</v>
      </c>
      <c r="J533" s="125">
        <v>0</v>
      </c>
    </row>
    <row r="534" spans="1:11">
      <c r="A534" s="55">
        <v>9907</v>
      </c>
      <c r="B534" s="45">
        <v>0.09</v>
      </c>
      <c r="C534" s="123">
        <v>1</v>
      </c>
      <c r="D534" s="121">
        <v>1600000000</v>
      </c>
      <c r="E534" s="241">
        <v>0.12</v>
      </c>
      <c r="F534" s="123">
        <v>1.466666666666667E-2</v>
      </c>
      <c r="G534" s="46">
        <v>23360000000</v>
      </c>
      <c r="H534" s="46">
        <v>36178627000</v>
      </c>
      <c r="I534" s="56">
        <v>0.64568508915498646</v>
      </c>
      <c r="J534" s="125">
        <v>40.555555555555557</v>
      </c>
    </row>
    <row r="535" spans="1:11" ht="16.5" customHeight="1">
      <c r="A535" s="55">
        <v>8047</v>
      </c>
      <c r="B535" s="45">
        <v>0.06</v>
      </c>
      <c r="C535" s="123">
        <v>1</v>
      </c>
      <c r="D535" s="121">
        <v>50000000</v>
      </c>
      <c r="E535" s="241">
        <v>0.36</v>
      </c>
      <c r="F535" s="123">
        <v>3.1283333333333337E-2</v>
      </c>
      <c r="G535" s="46">
        <v>532500000</v>
      </c>
      <c r="H535" s="46">
        <v>822933000</v>
      </c>
      <c r="I535" s="56">
        <v>0.64707576436963887</v>
      </c>
      <c r="J535" s="125">
        <v>44.375</v>
      </c>
    </row>
    <row r="536" spans="1:11">
      <c r="A536" s="55">
        <v>5304</v>
      </c>
      <c r="B536" s="45">
        <v>0.27</v>
      </c>
      <c r="C536" s="123">
        <v>1</v>
      </c>
      <c r="D536" s="121">
        <v>181481481.48148146</v>
      </c>
      <c r="E536" s="241">
        <v>0.24</v>
      </c>
      <c r="F536" s="123">
        <v>5.7833333333333341E-2</v>
      </c>
      <c r="G536" s="46">
        <v>526296296.29629624</v>
      </c>
      <c r="H536" s="46">
        <v>811102000</v>
      </c>
      <c r="I536" s="56">
        <v>0.64886573611740106</v>
      </c>
      <c r="J536" s="125">
        <v>2.6851851851851851</v>
      </c>
    </row>
    <row r="537" spans="1:11">
      <c r="A537" s="55">
        <v>5443</v>
      </c>
      <c r="B537" s="45">
        <v>0.73</v>
      </c>
      <c r="C537" s="123">
        <v>0.86956521739130432</v>
      </c>
      <c r="D537" s="121">
        <v>164383561.64383563</v>
      </c>
      <c r="E537" s="241">
        <v>0.27</v>
      </c>
      <c r="F537" s="123">
        <v>4.3724999999999993E-2</v>
      </c>
      <c r="G537" s="46">
        <v>2367123287.6712332</v>
      </c>
      <c r="H537" s="46">
        <v>3647013000</v>
      </c>
      <c r="I537" s="56">
        <v>0.64905808881713145</v>
      </c>
      <c r="J537" s="125">
        <v>5.6712328767123292</v>
      </c>
    </row>
    <row r="538" spans="1:11">
      <c r="A538" s="55">
        <v>5340</v>
      </c>
      <c r="B538" s="45">
        <v>-0.1</v>
      </c>
      <c r="C538" s="123">
        <v>1</v>
      </c>
      <c r="D538" s="121">
        <v>190000000</v>
      </c>
      <c r="E538" s="241">
        <v>-0.04</v>
      </c>
      <c r="F538" s="123">
        <v>3.4633333333333328E-2</v>
      </c>
      <c r="G538" s="46">
        <v>617500000</v>
      </c>
      <c r="H538" s="46">
        <v>947923000</v>
      </c>
      <c r="I538" s="56">
        <v>0.6514242190557672</v>
      </c>
      <c r="J538" s="125">
        <v>0</v>
      </c>
    </row>
    <row r="539" spans="1:11">
      <c r="A539" s="55">
        <v>6160</v>
      </c>
      <c r="B539" s="45">
        <v>0.02</v>
      </c>
      <c r="C539" s="123">
        <v>1</v>
      </c>
      <c r="D539" s="121">
        <v>50000000</v>
      </c>
      <c r="E539" s="241">
        <v>0.39</v>
      </c>
      <c r="F539" s="123">
        <v>5.0825000000000009E-2</v>
      </c>
      <c r="G539" s="46">
        <v>740000000</v>
      </c>
      <c r="H539" s="46">
        <v>1133386000</v>
      </c>
      <c r="I539" s="56">
        <v>0.65291083532000571</v>
      </c>
      <c r="J539" s="125">
        <v>50</v>
      </c>
    </row>
    <row r="540" spans="1:11">
      <c r="A540" s="55">
        <v>5907</v>
      </c>
      <c r="B540" s="45">
        <v>-2.48</v>
      </c>
      <c r="C540" s="123">
        <v>0</v>
      </c>
      <c r="D540" s="121">
        <v>197580645.16129032</v>
      </c>
      <c r="E540" s="241">
        <v>0.84</v>
      </c>
      <c r="F540" s="123">
        <v>-7.3000000000000009E-3</v>
      </c>
      <c r="G540" s="46">
        <v>4820967741.9354839</v>
      </c>
      <c r="H540" s="46">
        <v>7372977000</v>
      </c>
      <c r="I540" s="56">
        <v>0.65386990111802656</v>
      </c>
      <c r="J540" s="125">
        <v>0</v>
      </c>
    </row>
    <row r="541" spans="1:11">
      <c r="A541" s="55">
        <v>1721</v>
      </c>
      <c r="B541" s="114">
        <v>0.3</v>
      </c>
      <c r="C541" s="122">
        <v>0.70270270270270274</v>
      </c>
      <c r="D541" s="116">
        <v>83333333.333333343</v>
      </c>
      <c r="E541" s="241">
        <v>0.15</v>
      </c>
      <c r="F541" s="122">
        <v>3.0566666666666662E-2</v>
      </c>
      <c r="G541" s="116">
        <v>941666666.66666687</v>
      </c>
      <c r="H541" s="116">
        <v>1432396000</v>
      </c>
      <c r="I541" s="114">
        <v>0.65740665756303907</v>
      </c>
      <c r="J541" s="116">
        <v>13.400641025641026</v>
      </c>
    </row>
    <row r="542" spans="1:11">
      <c r="A542" s="55">
        <v>4903</v>
      </c>
      <c r="B542" s="45">
        <v>0.32</v>
      </c>
      <c r="C542" s="123">
        <v>0.66666666666666663</v>
      </c>
      <c r="D542" s="121">
        <v>87500000</v>
      </c>
      <c r="E542" s="241">
        <v>0.21</v>
      </c>
      <c r="F542" s="123">
        <v>5.124999999999999E-2</v>
      </c>
      <c r="G542" s="46">
        <v>1028125000</v>
      </c>
      <c r="H542" s="46">
        <v>1563204000</v>
      </c>
      <c r="I542" s="56">
        <v>0.6577036650366811</v>
      </c>
      <c r="J542" s="125">
        <v>13.769531250000002</v>
      </c>
    </row>
    <row r="543" spans="1:11">
      <c r="A543" s="55">
        <v>3276</v>
      </c>
      <c r="B543" s="114">
        <v>0.16</v>
      </c>
      <c r="C543" s="122">
        <v>0.23076923076923078</v>
      </c>
      <c r="D543" s="116">
        <v>68750000</v>
      </c>
      <c r="E543" s="241">
        <v>0.06</v>
      </c>
      <c r="F543" s="122">
        <v>4.5749999999999966E-3</v>
      </c>
      <c r="G543" s="116">
        <v>547250000</v>
      </c>
      <c r="H543" s="116">
        <v>830189000</v>
      </c>
      <c r="I543" s="114">
        <v>0.65918724531401884</v>
      </c>
      <c r="J543" s="116">
        <v>50</v>
      </c>
    </row>
    <row r="544" spans="1:11">
      <c r="A544" s="55">
        <v>4534</v>
      </c>
      <c r="B544" s="45">
        <v>0.43</v>
      </c>
      <c r="C544" s="123">
        <v>0.38461538461538464</v>
      </c>
      <c r="D544" s="121">
        <v>76744186.046511635</v>
      </c>
      <c r="E544" s="241">
        <v>0.18</v>
      </c>
      <c r="F544" s="123">
        <v>2.6833333333333338E-2</v>
      </c>
      <c r="G544" s="46">
        <v>767441860.46511638</v>
      </c>
      <c r="H544" s="46">
        <v>1164183000</v>
      </c>
      <c r="I544" s="56">
        <v>0.65921067432277947</v>
      </c>
      <c r="J544" s="125">
        <v>15.116279069767442</v>
      </c>
    </row>
    <row r="545" spans="1:10">
      <c r="A545" s="55">
        <v>6138</v>
      </c>
      <c r="B545" s="45">
        <v>0.38</v>
      </c>
      <c r="C545" s="123">
        <v>0.47916666666666669</v>
      </c>
      <c r="D545" s="121">
        <v>102631578.94736841</v>
      </c>
      <c r="E545" s="241">
        <v>0.28000000000000003</v>
      </c>
      <c r="F545" s="123">
        <v>3.0016666666666674E-2</v>
      </c>
      <c r="G545" s="46">
        <v>2042368421.0526314</v>
      </c>
      <c r="H545" s="46">
        <v>3093486000</v>
      </c>
      <c r="I545" s="56">
        <v>0.66021582805050072</v>
      </c>
      <c r="J545" s="125">
        <v>27.322654462242561</v>
      </c>
    </row>
    <row r="546" spans="1:10">
      <c r="A546" s="55">
        <v>3444</v>
      </c>
      <c r="B546" s="114">
        <v>0.32</v>
      </c>
      <c r="C546" s="122">
        <v>0.5</v>
      </c>
      <c r="D546" s="116">
        <v>40625000</v>
      </c>
      <c r="E546" s="241">
        <v>0.16</v>
      </c>
      <c r="F546" s="122">
        <v>7.3250000000000051E-3</v>
      </c>
      <c r="G546" s="116">
        <v>658125000</v>
      </c>
      <c r="H546" s="116">
        <v>995720000</v>
      </c>
      <c r="I546" s="114">
        <v>0.66095388261760335</v>
      </c>
      <c r="J546" s="116">
        <v>25.3125</v>
      </c>
    </row>
    <row r="547" spans="1:10">
      <c r="A547" s="55">
        <v>1445</v>
      </c>
      <c r="B547" s="119">
        <v>0.22</v>
      </c>
      <c r="C547" s="122">
        <v>0.66666666666666663</v>
      </c>
      <c r="D547" s="120">
        <v>136363636.36363637</v>
      </c>
      <c r="E547" s="241">
        <v>0.12</v>
      </c>
      <c r="F547" s="122">
        <v>5.5666666666666651E-3</v>
      </c>
      <c r="G547" s="120">
        <v>1219090909.090909</v>
      </c>
      <c r="H547" s="120">
        <v>1841748000</v>
      </c>
      <c r="I547" s="119">
        <v>0.66192058256119135</v>
      </c>
      <c r="J547" s="120">
        <v>15.238636363636363</v>
      </c>
    </row>
    <row r="548" spans="1:10">
      <c r="A548" s="55">
        <v>1231</v>
      </c>
      <c r="B548" s="114">
        <v>0.79</v>
      </c>
      <c r="C548" s="122">
        <v>0.51677852348993292</v>
      </c>
      <c r="D548" s="116">
        <v>149367088.60759494</v>
      </c>
      <c r="E548" s="241">
        <v>0.21</v>
      </c>
      <c r="F548" s="122">
        <v>1.5141666666666673E-2</v>
      </c>
      <c r="G548" s="116">
        <v>4271898734.1772156</v>
      </c>
      <c r="H548" s="116">
        <v>6450806000</v>
      </c>
      <c r="I548" s="114">
        <v>0.66222712854443544</v>
      </c>
      <c r="J548" s="116">
        <v>17.513562386980109</v>
      </c>
    </row>
    <row r="549" spans="1:10">
      <c r="A549" s="55">
        <v>1232</v>
      </c>
      <c r="B549" s="114">
        <v>1.72</v>
      </c>
      <c r="C549" s="122">
        <v>0.85365853658536583</v>
      </c>
      <c r="D549" s="116">
        <v>159302325.58139536</v>
      </c>
      <c r="E549" s="241">
        <v>0.09</v>
      </c>
      <c r="F549" s="122">
        <v>-8.0999999999999978E-3</v>
      </c>
      <c r="G549" s="116">
        <v>11788372093.023256</v>
      </c>
      <c r="H549" s="116">
        <v>17773023000</v>
      </c>
      <c r="I549" s="114">
        <v>0.66327332682927698</v>
      </c>
      <c r="J549" s="116">
        <v>12.599667774086379</v>
      </c>
    </row>
    <row r="550" spans="1:10">
      <c r="A550" s="55">
        <v>3115</v>
      </c>
      <c r="B550" s="114">
        <v>-0.09</v>
      </c>
      <c r="C550" s="122">
        <v>0</v>
      </c>
      <c r="D550" s="116">
        <v>44444444.444444448</v>
      </c>
      <c r="E550" s="241">
        <v>7.0000000000000007E-2</v>
      </c>
      <c r="F550" s="122">
        <v>2.8074999999999999E-2</v>
      </c>
      <c r="G550" s="116">
        <v>591111111.11111116</v>
      </c>
      <c r="H550" s="116">
        <v>889319000</v>
      </c>
      <c r="I550" s="114">
        <v>0.66467837874948266</v>
      </c>
      <c r="J550" s="116">
        <v>0</v>
      </c>
    </row>
    <row r="551" spans="1:10">
      <c r="A551" s="55">
        <v>3044</v>
      </c>
      <c r="B551" s="114">
        <v>1.81</v>
      </c>
      <c r="C551" s="122">
        <v>0.72535690006798093</v>
      </c>
      <c r="D551" s="116">
        <v>524309392.26519334</v>
      </c>
      <c r="E551" s="241">
        <v>0.17</v>
      </c>
      <c r="F551" s="122">
        <v>3.708333333333333E-3</v>
      </c>
      <c r="G551" s="116">
        <v>28837016574.585632</v>
      </c>
      <c r="H551" s="116">
        <v>43382817000</v>
      </c>
      <c r="I551" s="114">
        <v>0.6647105598187788</v>
      </c>
      <c r="J551" s="116">
        <v>10.473030700005696</v>
      </c>
    </row>
    <row r="552" spans="1:10">
      <c r="A552" s="55">
        <v>4523</v>
      </c>
      <c r="B552" s="45">
        <v>-0.25</v>
      </c>
      <c r="C552" s="123">
        <v>0</v>
      </c>
      <c r="D552" s="121">
        <v>64000000</v>
      </c>
      <c r="E552" s="241">
        <v>0.16</v>
      </c>
      <c r="F552" s="123">
        <v>5.4116666666666667E-2</v>
      </c>
      <c r="G552" s="46">
        <v>1056000000</v>
      </c>
      <c r="H552" s="46">
        <v>1588488000</v>
      </c>
      <c r="I552" s="56">
        <v>0.66478311450889149</v>
      </c>
      <c r="J552" s="125">
        <v>0</v>
      </c>
    </row>
    <row r="553" spans="1:10">
      <c r="A553" s="55">
        <v>8027</v>
      </c>
      <c r="B553" s="45">
        <v>0.18</v>
      </c>
      <c r="C553" s="123">
        <v>0</v>
      </c>
      <c r="D553" s="121">
        <v>55555555.55555556</v>
      </c>
      <c r="E553" s="241">
        <v>0.28000000000000003</v>
      </c>
      <c r="F553" s="123">
        <v>4.7799999999999988E-2</v>
      </c>
      <c r="G553" s="46">
        <v>1027777777.7777779</v>
      </c>
      <c r="H553" s="46">
        <v>1543310000</v>
      </c>
      <c r="I553" s="56">
        <v>0.66595679272328823</v>
      </c>
      <c r="J553" s="125">
        <v>0</v>
      </c>
    </row>
    <row r="554" spans="1:10">
      <c r="A554" s="55">
        <v>1709</v>
      </c>
      <c r="B554" s="114">
        <v>0.59</v>
      </c>
      <c r="C554" s="122">
        <v>0.87763713080168781</v>
      </c>
      <c r="D554" s="116">
        <v>428813559.32203394</v>
      </c>
      <c r="E554" s="241">
        <v>0.23</v>
      </c>
      <c r="F554" s="122">
        <v>4.8974999999999998E-2</v>
      </c>
      <c r="G554" s="116">
        <v>6303559322.0338984</v>
      </c>
      <c r="H554" s="116">
        <v>9462061000</v>
      </c>
      <c r="I554" s="114">
        <v>0.66619305477251711</v>
      </c>
      <c r="J554" s="116">
        <v>7.0972539113428939</v>
      </c>
    </row>
    <row r="555" spans="1:10">
      <c r="A555" s="55">
        <v>6609</v>
      </c>
      <c r="B555" s="45">
        <v>1.27</v>
      </c>
      <c r="C555" s="123">
        <v>0.35294117647058826</v>
      </c>
      <c r="D555" s="121">
        <v>70866141.732283458</v>
      </c>
      <c r="E555" s="241">
        <v>0.2</v>
      </c>
      <c r="F555" s="123">
        <v>5.3208333333333337E-2</v>
      </c>
      <c r="G555" s="46">
        <v>1870866141.7322831</v>
      </c>
      <c r="H555" s="46">
        <v>2804492000</v>
      </c>
      <c r="I555" s="56">
        <v>0.66709626618021489</v>
      </c>
      <c r="J555" s="125">
        <v>14.724409448818895</v>
      </c>
    </row>
    <row r="556" spans="1:10">
      <c r="A556" s="55">
        <v>2477</v>
      </c>
      <c r="B556" s="114">
        <v>0.63</v>
      </c>
      <c r="C556" s="122">
        <v>0.47530864197530864</v>
      </c>
      <c r="D556" s="116">
        <v>238095238.09523809</v>
      </c>
      <c r="E556" s="241">
        <v>0.19</v>
      </c>
      <c r="F556" s="122">
        <v>3.5666666666666687E-2</v>
      </c>
      <c r="G556" s="116">
        <v>2809523809.5238094</v>
      </c>
      <c r="H556" s="116">
        <v>4199834000</v>
      </c>
      <c r="I556" s="114">
        <v>0.66896068023731636</v>
      </c>
      <c r="J556" s="116">
        <v>9.8515769944341383</v>
      </c>
    </row>
    <row r="557" spans="1:10">
      <c r="A557" s="55">
        <v>3338</v>
      </c>
      <c r="B557" s="114">
        <v>0.7</v>
      </c>
      <c r="C557" s="122">
        <v>0.69491525423728817</v>
      </c>
      <c r="D557" s="116">
        <v>70000000</v>
      </c>
      <c r="E557" s="241">
        <v>0.23</v>
      </c>
      <c r="F557" s="122">
        <v>2.4566666666666664E-2</v>
      </c>
      <c r="G557" s="116">
        <v>1715000000</v>
      </c>
      <c r="H557" s="116">
        <v>2555829000</v>
      </c>
      <c r="I557" s="114">
        <v>0.67101515789984389</v>
      </c>
      <c r="J557" s="116">
        <v>12.591463414634147</v>
      </c>
    </row>
    <row r="558" spans="1:10">
      <c r="A558" s="55">
        <v>5468</v>
      </c>
      <c r="B558" s="45">
        <v>-0.04</v>
      </c>
      <c r="C558" s="123">
        <v>0.33333333333333331</v>
      </c>
      <c r="D558" s="121">
        <v>50000000</v>
      </c>
      <c r="E558" s="241">
        <v>0.22</v>
      </c>
      <c r="F558" s="123">
        <v>-5.2491666666666652E-2</v>
      </c>
      <c r="G558" s="46">
        <v>283500000</v>
      </c>
      <c r="H558" s="46">
        <v>421291000</v>
      </c>
      <c r="I558" s="56">
        <v>0.67293153663382321</v>
      </c>
      <c r="J558" s="125">
        <v>0</v>
      </c>
    </row>
    <row r="559" spans="1:10">
      <c r="A559" s="55">
        <v>1727</v>
      </c>
      <c r="B559" s="114">
        <v>0.25</v>
      </c>
      <c r="C559" s="122">
        <v>1</v>
      </c>
      <c r="D559" s="116">
        <v>108000000</v>
      </c>
      <c r="E559" s="241">
        <v>0.15</v>
      </c>
      <c r="F559" s="122">
        <v>-4.8916666666666648E-3</v>
      </c>
      <c r="G559" s="116">
        <v>1485000000</v>
      </c>
      <c r="H559" s="116">
        <v>2199701000</v>
      </c>
      <c r="I559" s="114">
        <v>0.67509175110617303</v>
      </c>
      <c r="J559" s="116">
        <v>13.75</v>
      </c>
    </row>
    <row r="560" spans="1:10">
      <c r="A560" s="55">
        <v>3625</v>
      </c>
      <c r="B560" s="114">
        <v>7.0000000000000007E-2</v>
      </c>
      <c r="C560" s="122">
        <v>0</v>
      </c>
      <c r="D560" s="116">
        <v>57142857.142857134</v>
      </c>
      <c r="E560" s="241">
        <v>0.13</v>
      </c>
      <c r="F560" s="122">
        <v>3.8583333333333338E-2</v>
      </c>
      <c r="G560" s="116">
        <v>522857142.85714281</v>
      </c>
      <c r="H560" s="116">
        <v>774339000</v>
      </c>
      <c r="I560" s="114">
        <v>0.67523028396754237</v>
      </c>
      <c r="J560" s="116">
        <v>0</v>
      </c>
    </row>
    <row r="561" spans="1:11">
      <c r="A561" s="55">
        <v>1902</v>
      </c>
      <c r="B561" s="114">
        <v>0.18</v>
      </c>
      <c r="C561" s="122">
        <v>0.4041095890410959</v>
      </c>
      <c r="D561" s="116">
        <v>400000000</v>
      </c>
      <c r="E561" s="241">
        <v>0.11</v>
      </c>
      <c r="F561" s="122">
        <v>1.1200000000000002E-2</v>
      </c>
      <c r="G561" s="116">
        <v>4220000000.0000005</v>
      </c>
      <c r="H561" s="116">
        <v>6248293000</v>
      </c>
      <c r="I561" s="114">
        <v>0.67538446100398952</v>
      </c>
      <c r="J561" s="116">
        <v>36.259416195856879</v>
      </c>
    </row>
    <row r="562" spans="1:11">
      <c r="A562" s="55">
        <v>3527</v>
      </c>
      <c r="B562" s="114">
        <v>1.59</v>
      </c>
      <c r="C562" s="122">
        <v>0.86363636363636365</v>
      </c>
      <c r="D562" s="116">
        <v>32704402.515723269</v>
      </c>
      <c r="E562" s="241">
        <v>0.33</v>
      </c>
      <c r="F562" s="122">
        <v>1.1150000000000002E-2</v>
      </c>
      <c r="G562" s="116">
        <v>1373584905.6603773</v>
      </c>
      <c r="H562" s="116">
        <v>2032992000</v>
      </c>
      <c r="I562" s="114">
        <v>0.67564698024408221</v>
      </c>
      <c r="J562" s="116">
        <v>7.6464746772591852</v>
      </c>
    </row>
    <row r="563" spans="1:11">
      <c r="A563" s="55">
        <v>1513</v>
      </c>
      <c r="B563" s="114">
        <v>0.77</v>
      </c>
      <c r="C563" s="122">
        <v>0.72405660377358494</v>
      </c>
      <c r="D563" s="116">
        <v>412987012.98701298</v>
      </c>
      <c r="E563" s="241">
        <v>0.3</v>
      </c>
      <c r="F563" s="122">
        <v>5.5933333333333335E-2</v>
      </c>
      <c r="G563" s="116">
        <v>7000129870.1298695</v>
      </c>
      <c r="H563" s="116">
        <v>10352010000</v>
      </c>
      <c r="I563" s="114">
        <v>0.67620972836481708</v>
      </c>
      <c r="J563" s="116">
        <v>7.6005753204450262</v>
      </c>
    </row>
    <row r="564" spans="1:11">
      <c r="A564" s="55">
        <v>1802</v>
      </c>
      <c r="B564" s="114">
        <v>-0.61</v>
      </c>
      <c r="C564" s="122">
        <v>0.56712962962962965</v>
      </c>
      <c r="D564" s="116">
        <v>2359016393.4426231</v>
      </c>
      <c r="E564" s="241">
        <v>0.06</v>
      </c>
      <c r="F564" s="122">
        <v>3.5075000000000002E-2</v>
      </c>
      <c r="G564" s="116">
        <v>28072295081.967216</v>
      </c>
      <c r="H564" s="116">
        <v>41449364000</v>
      </c>
      <c r="I564" s="114">
        <v>0.67726720926205808</v>
      </c>
      <c r="J564" s="116">
        <v>0</v>
      </c>
    </row>
    <row r="565" spans="1:11">
      <c r="A565" s="55">
        <v>3021</v>
      </c>
      <c r="B565" s="114">
        <v>0.28999999999999998</v>
      </c>
      <c r="C565" s="122">
        <v>0.660377358490566</v>
      </c>
      <c r="D565" s="116">
        <v>103448275.86206897</v>
      </c>
      <c r="E565" s="241">
        <v>0.23</v>
      </c>
      <c r="F565" s="122">
        <v>1.9675000000000002E-2</v>
      </c>
      <c r="G565" s="116">
        <v>1189655172.4137931</v>
      </c>
      <c r="H565" s="116">
        <v>1754308000</v>
      </c>
      <c r="I565" s="114">
        <v>0.67813358453235872</v>
      </c>
      <c r="J565" s="116">
        <v>15.012315270935963</v>
      </c>
    </row>
    <row r="566" spans="1:11">
      <c r="A566" s="55">
        <v>5009</v>
      </c>
      <c r="B566" s="45">
        <v>0.61</v>
      </c>
      <c r="C566" s="123">
        <v>0.9040178571428571</v>
      </c>
      <c r="D566" s="121">
        <v>442622950.81967217</v>
      </c>
      <c r="E566" s="241">
        <v>0.18</v>
      </c>
      <c r="F566" s="123">
        <v>-2.3008333333333329E-2</v>
      </c>
      <c r="G566" s="46">
        <v>7391803278.6885252</v>
      </c>
      <c r="H566" s="46">
        <v>10862070000</v>
      </c>
      <c r="I566" s="56">
        <v>0.68051515767146831</v>
      </c>
      <c r="J566" s="125">
        <v>7.5709370572758559</v>
      </c>
    </row>
    <row r="567" spans="1:11">
      <c r="A567" s="55">
        <v>5538</v>
      </c>
      <c r="B567" s="45">
        <v>0.31</v>
      </c>
      <c r="C567" s="123">
        <v>1</v>
      </c>
      <c r="D567" s="121">
        <v>164516129.03225806</v>
      </c>
      <c r="E567" s="241">
        <v>0.12</v>
      </c>
      <c r="F567" s="123">
        <v>2.016666666666667E-2</v>
      </c>
      <c r="G567" s="46">
        <v>4137580645.1612902</v>
      </c>
      <c r="H567" s="46">
        <v>6048044000</v>
      </c>
      <c r="I567" s="56">
        <v>0.68411880686735915</v>
      </c>
      <c r="J567" s="125">
        <v>20.282258064516128</v>
      </c>
    </row>
    <row r="568" spans="1:11">
      <c r="A568" s="55">
        <v>8234</v>
      </c>
      <c r="B568" s="45">
        <v>0.51</v>
      </c>
      <c r="C568" s="123">
        <v>0.58260869565217388</v>
      </c>
      <c r="D568" s="121">
        <v>141176470.58823529</v>
      </c>
      <c r="E568" s="241">
        <v>0.25</v>
      </c>
      <c r="F568" s="123">
        <v>4.4666666666666648E-3</v>
      </c>
      <c r="G568" s="46">
        <v>3769411764.7058821</v>
      </c>
      <c r="H568" s="46">
        <v>5508431000</v>
      </c>
      <c r="I568" s="56">
        <v>0.68429862599819846</v>
      </c>
      <c r="J568" s="125">
        <v>22.46488147497805</v>
      </c>
      <c r="K568" s="26"/>
    </row>
    <row r="569" spans="1:11">
      <c r="A569" s="55">
        <v>3046</v>
      </c>
      <c r="B569" s="114">
        <v>-0.11</v>
      </c>
      <c r="C569" s="122">
        <v>1</v>
      </c>
      <c r="D569" s="116">
        <v>118181818.18181819</v>
      </c>
      <c r="E569" s="241">
        <v>0.25</v>
      </c>
      <c r="F569" s="122">
        <v>5.7316666666666682E-2</v>
      </c>
      <c r="G569" s="116">
        <v>1070727272.7272729</v>
      </c>
      <c r="H569" s="116">
        <v>1562895000</v>
      </c>
      <c r="I569" s="114">
        <v>0.68509226322131234</v>
      </c>
      <c r="J569" s="116">
        <v>0</v>
      </c>
    </row>
    <row r="570" spans="1:11">
      <c r="A570" s="55">
        <v>8291</v>
      </c>
      <c r="B570" s="45">
        <v>-0.26</v>
      </c>
      <c r="C570" s="123">
        <v>1</v>
      </c>
      <c r="D570" s="121">
        <v>76923076.923076928</v>
      </c>
      <c r="E570" s="241">
        <v>-0.04</v>
      </c>
      <c r="F570" s="123">
        <v>1.9491666666666661E-2</v>
      </c>
      <c r="G570" s="46">
        <v>376923076.92307699</v>
      </c>
      <c r="H570" s="46">
        <v>549945000</v>
      </c>
      <c r="I570" s="56">
        <v>0.68538322363704918</v>
      </c>
      <c r="J570" s="125">
        <v>0</v>
      </c>
    </row>
    <row r="571" spans="1:11">
      <c r="A571" s="55">
        <v>1314</v>
      </c>
      <c r="B571" s="114">
        <v>-0.17</v>
      </c>
      <c r="C571" s="122">
        <v>1</v>
      </c>
      <c r="D571" s="116">
        <v>2276470588.2352939</v>
      </c>
      <c r="E571" s="241">
        <v>-0.04</v>
      </c>
      <c r="F571" s="122">
        <v>-1.8366666666666667E-2</v>
      </c>
      <c r="G571" s="116">
        <v>17961352941.176468</v>
      </c>
      <c r="H571" s="116">
        <v>26156213000</v>
      </c>
      <c r="I571" s="114">
        <v>0.68669546853653729</v>
      </c>
      <c r="J571" s="116">
        <v>0</v>
      </c>
    </row>
    <row r="572" spans="1:11">
      <c r="A572" s="55">
        <v>8092</v>
      </c>
      <c r="B572" s="45">
        <v>-0.16</v>
      </c>
      <c r="C572" s="123">
        <v>0.6875</v>
      </c>
      <c r="D572" s="121">
        <v>37500000</v>
      </c>
      <c r="E572" s="241">
        <v>0.12</v>
      </c>
      <c r="F572" s="123">
        <v>9.903333333333332E-2</v>
      </c>
      <c r="G572" s="46">
        <v>281625000</v>
      </c>
      <c r="H572" s="46">
        <v>409487000</v>
      </c>
      <c r="I572" s="56">
        <v>0.68775077108674998</v>
      </c>
      <c r="J572" s="125">
        <v>0</v>
      </c>
    </row>
    <row r="573" spans="1:11">
      <c r="A573" s="55">
        <v>8046</v>
      </c>
      <c r="B573" s="45">
        <v>0.67</v>
      </c>
      <c r="C573" s="123">
        <v>0</v>
      </c>
      <c r="D573" s="121">
        <v>646268656.71641791</v>
      </c>
      <c r="E573" s="241">
        <v>0</v>
      </c>
      <c r="F573" s="123">
        <v>-1.1666666666667001E-4</v>
      </c>
      <c r="G573" s="46">
        <v>20583656716.417912</v>
      </c>
      <c r="H573" s="46">
        <v>29902839000</v>
      </c>
      <c r="I573" s="56">
        <v>0.68835125375279294</v>
      </c>
      <c r="J573" s="125">
        <v>0</v>
      </c>
    </row>
    <row r="574" spans="1:11">
      <c r="A574" s="55">
        <v>1451</v>
      </c>
      <c r="B574" s="114">
        <v>0.81</v>
      </c>
      <c r="C574" s="122">
        <v>0.67385444743935308</v>
      </c>
      <c r="D574" s="116">
        <v>401234567.90123457</v>
      </c>
      <c r="E574" s="241">
        <v>0.14000000000000001</v>
      </c>
      <c r="F574" s="122">
        <v>1.9858333333333329E-2</v>
      </c>
      <c r="G574" s="116">
        <v>8847222222.2222233</v>
      </c>
      <c r="H574" s="116">
        <v>12804649000</v>
      </c>
      <c r="I574" s="114">
        <v>0.69093828516675648</v>
      </c>
      <c r="J574" s="116">
        <v>10.099444444444444</v>
      </c>
    </row>
    <row r="575" spans="1:11">
      <c r="A575" s="55">
        <v>1539</v>
      </c>
      <c r="B575" s="114">
        <v>1.88</v>
      </c>
      <c r="C575" s="122">
        <v>0.65384615384615385</v>
      </c>
      <c r="D575" s="116">
        <v>65425531.91489362</v>
      </c>
      <c r="E575" s="241">
        <v>0.15</v>
      </c>
      <c r="F575" s="122">
        <v>3.3841666666666666E-2</v>
      </c>
      <c r="G575" s="116">
        <v>1907154255.319149</v>
      </c>
      <c r="H575" s="116">
        <v>2756393000</v>
      </c>
      <c r="I575" s="114">
        <v>0.69190215448927239</v>
      </c>
      <c r="J575" s="116">
        <v>5.9285043804755944</v>
      </c>
    </row>
    <row r="576" spans="1:11">
      <c r="A576" s="55">
        <v>6209</v>
      </c>
      <c r="B576" s="45">
        <v>-0.25</v>
      </c>
      <c r="C576" s="123">
        <v>0.43243243243243246</v>
      </c>
      <c r="D576" s="121">
        <v>164000000</v>
      </c>
      <c r="E576" s="241">
        <v>0.1</v>
      </c>
      <c r="F576" s="123">
        <v>1.9450000000000002E-2</v>
      </c>
      <c r="G576" s="46">
        <v>2902800000</v>
      </c>
      <c r="H576" s="46">
        <v>4183092000</v>
      </c>
      <c r="I576" s="56">
        <v>0.69393644701096702</v>
      </c>
      <c r="J576" s="125">
        <v>0</v>
      </c>
    </row>
    <row r="577" spans="1:10">
      <c r="A577" s="55">
        <v>3555</v>
      </c>
      <c r="B577" s="114">
        <v>-3.62</v>
      </c>
      <c r="C577" s="122">
        <v>0.96899224806201545</v>
      </c>
      <c r="D577" s="116">
        <v>20165745.856353592</v>
      </c>
      <c r="E577" s="241">
        <v>0.09</v>
      </c>
      <c r="F577" s="122">
        <v>0.54039999999999999</v>
      </c>
      <c r="G577" s="116">
        <v>234930939.22651935</v>
      </c>
      <c r="H577" s="116">
        <v>338417000</v>
      </c>
      <c r="I577" s="114">
        <v>0.69420548975529994</v>
      </c>
      <c r="J577" s="116">
        <v>0</v>
      </c>
    </row>
    <row r="578" spans="1:10">
      <c r="A578" s="55">
        <v>1457</v>
      </c>
      <c r="B578" s="114">
        <v>0.13</v>
      </c>
      <c r="C578" s="122">
        <v>0</v>
      </c>
      <c r="D578" s="116">
        <v>269230769.23076922</v>
      </c>
      <c r="E578" s="241">
        <v>0.05</v>
      </c>
      <c r="F578" s="122">
        <v>5.4091666666666656E-2</v>
      </c>
      <c r="G578" s="116">
        <v>3096153846.1538458</v>
      </c>
      <c r="H578" s="116">
        <v>4459851000</v>
      </c>
      <c r="I578" s="114">
        <v>0.69422809106264893</v>
      </c>
      <c r="J578" s="116">
        <v>0</v>
      </c>
    </row>
    <row r="579" spans="1:10">
      <c r="A579" s="55">
        <v>6245</v>
      </c>
      <c r="B579" s="45">
        <v>1.24</v>
      </c>
      <c r="C579" s="123">
        <v>0.75657894736842102</v>
      </c>
      <c r="D579" s="121">
        <v>98387096.774193555</v>
      </c>
      <c r="E579" s="241">
        <v>0.31</v>
      </c>
      <c r="F579" s="123">
        <v>5.811666666666665E-2</v>
      </c>
      <c r="G579" s="46">
        <v>3778064516.1290326</v>
      </c>
      <c r="H579" s="46">
        <v>5439556000</v>
      </c>
      <c r="I579" s="56">
        <v>0.69455384155049282</v>
      </c>
      <c r="J579" s="125">
        <v>10.232819074333801</v>
      </c>
    </row>
    <row r="580" spans="1:10">
      <c r="A580" s="55">
        <v>1519</v>
      </c>
      <c r="B580" s="114">
        <v>0.16</v>
      </c>
      <c r="C580" s="122">
        <v>0.96078431372549022</v>
      </c>
      <c r="D580" s="116">
        <v>256250000</v>
      </c>
      <c r="E580" s="241">
        <v>0.16</v>
      </c>
      <c r="F580" s="122">
        <v>0.1981583333333333</v>
      </c>
      <c r="G580" s="116">
        <v>3984687500</v>
      </c>
      <c r="H580" s="116">
        <v>5715358000</v>
      </c>
      <c r="I580" s="114">
        <v>0.69718948489315979</v>
      </c>
      <c r="J580" s="116">
        <v>25.288584183673468</v>
      </c>
    </row>
    <row r="581" spans="1:10">
      <c r="A581" s="55">
        <v>1809</v>
      </c>
      <c r="B581" s="114">
        <v>0.12</v>
      </c>
      <c r="C581" s="122">
        <v>0.37142857142857144</v>
      </c>
      <c r="D581" s="116">
        <v>191666666.66666669</v>
      </c>
      <c r="E581" s="241">
        <v>0.2</v>
      </c>
      <c r="F581" s="122">
        <v>1.0199999999999999E-2</v>
      </c>
      <c r="G581" s="116">
        <v>1974166666.666667</v>
      </c>
      <c r="H581" s="116">
        <v>2830513000</v>
      </c>
      <c r="I581" s="114">
        <v>0.69745896474125613</v>
      </c>
      <c r="J581" s="116">
        <v>50</v>
      </c>
    </row>
    <row r="582" spans="1:10">
      <c r="A582" s="55">
        <v>6103</v>
      </c>
      <c r="B582" s="45">
        <v>0.05</v>
      </c>
      <c r="C582" s="123">
        <v>1</v>
      </c>
      <c r="D582" s="121">
        <v>60000000</v>
      </c>
      <c r="E582" s="241">
        <v>0.04</v>
      </c>
      <c r="F582" s="123">
        <v>0.150675</v>
      </c>
      <c r="G582" s="46">
        <v>381000000</v>
      </c>
      <c r="H582" s="46">
        <v>545868000</v>
      </c>
      <c r="I582" s="56">
        <v>0.69797093802897403</v>
      </c>
      <c r="J582" s="125">
        <v>31.749999999999996</v>
      </c>
    </row>
    <row r="583" spans="1:10">
      <c r="A583" s="55">
        <v>8093</v>
      </c>
      <c r="B583" s="45">
        <v>0.39</v>
      </c>
      <c r="C583" s="123">
        <v>1</v>
      </c>
      <c r="D583" s="121">
        <v>64102564.102564104</v>
      </c>
      <c r="E583" s="241">
        <v>0.27</v>
      </c>
      <c r="F583" s="123">
        <v>2.2841666666666677E-2</v>
      </c>
      <c r="G583" s="46">
        <v>386538461.53846157</v>
      </c>
      <c r="H583" s="46">
        <v>553459000</v>
      </c>
      <c r="I583" s="56">
        <v>0.69840487107168114</v>
      </c>
      <c r="J583" s="125">
        <v>3.8653846153846154</v>
      </c>
    </row>
    <row r="584" spans="1:10">
      <c r="A584" s="55">
        <v>2009</v>
      </c>
      <c r="B584" s="114">
        <v>-0.37</v>
      </c>
      <c r="C584" s="122">
        <v>0.59428571428571431</v>
      </c>
      <c r="D584" s="116">
        <v>356756756.75675678</v>
      </c>
      <c r="E584" s="241">
        <v>-0.13</v>
      </c>
      <c r="F584" s="122">
        <v>9.883333333333329E-3</v>
      </c>
      <c r="G584" s="116">
        <v>2247567567.5675678</v>
      </c>
      <c r="H584" s="116">
        <v>3200272000</v>
      </c>
      <c r="I584" s="114">
        <v>0.70230516892550632</v>
      </c>
      <c r="J584" s="116">
        <v>0</v>
      </c>
    </row>
    <row r="585" spans="1:10">
      <c r="A585" s="55">
        <v>3303</v>
      </c>
      <c r="B585" s="114">
        <v>0.76</v>
      </c>
      <c r="C585" s="122">
        <v>0.81132075471698117</v>
      </c>
      <c r="D585" s="116">
        <v>97368421.052631572</v>
      </c>
      <c r="E585" s="241">
        <v>0.25</v>
      </c>
      <c r="F585" s="122">
        <v>2.6283333333333336E-2</v>
      </c>
      <c r="G585" s="116">
        <v>1703947368.4210525</v>
      </c>
      <c r="H585" s="116">
        <v>2425831000</v>
      </c>
      <c r="I585" s="114">
        <v>0.70241800373606089</v>
      </c>
      <c r="J585" s="116">
        <v>7.0953182374540997</v>
      </c>
    </row>
    <row r="586" spans="1:10">
      <c r="A586" s="55">
        <v>1312</v>
      </c>
      <c r="B586" s="114">
        <v>0.16</v>
      </c>
      <c r="C586" s="122">
        <v>0.93392504930966469</v>
      </c>
      <c r="D586" s="116">
        <v>900000000</v>
      </c>
      <c r="E586" s="241">
        <v>0.14000000000000001</v>
      </c>
      <c r="F586" s="122">
        <v>2.7500000000000003E-3</v>
      </c>
      <c r="G586" s="116">
        <v>14085000000</v>
      </c>
      <c r="H586" s="116">
        <v>20045092000</v>
      </c>
      <c r="I586" s="114">
        <v>0.70266576975550921</v>
      </c>
      <c r="J586" s="116">
        <v>26.183177138331573</v>
      </c>
    </row>
    <row r="587" spans="1:10">
      <c r="A587" s="55">
        <v>3032</v>
      </c>
      <c r="B587" s="114">
        <v>0.84</v>
      </c>
      <c r="C587" s="122">
        <v>0.54782608695652169</v>
      </c>
      <c r="D587" s="116">
        <v>103571428.57142858</v>
      </c>
      <c r="E587" s="241">
        <v>0.18</v>
      </c>
      <c r="F587" s="122">
        <v>5.4450000000000005E-2</v>
      </c>
      <c r="G587" s="116">
        <v>2604821428.5714288</v>
      </c>
      <c r="H587" s="116">
        <v>3688224000</v>
      </c>
      <c r="I587" s="114">
        <v>0.70625358670499105</v>
      </c>
      <c r="J587" s="116">
        <v>13.663312547241119</v>
      </c>
    </row>
    <row r="588" spans="1:10">
      <c r="A588" s="55">
        <v>3622</v>
      </c>
      <c r="B588" s="114">
        <v>-1.32</v>
      </c>
      <c r="C588" s="122">
        <v>0.98102466793168885</v>
      </c>
      <c r="D588" s="116">
        <v>151515151.5151515</v>
      </c>
      <c r="E588" s="241">
        <v>-0.16</v>
      </c>
      <c r="F588" s="122">
        <v>-3.5166666666666652E-2</v>
      </c>
      <c r="G588" s="116">
        <v>1583333333.333333</v>
      </c>
      <c r="H588" s="116">
        <v>2238491000</v>
      </c>
      <c r="I588" s="114">
        <v>0.70732173295909295</v>
      </c>
      <c r="J588" s="116">
        <v>0</v>
      </c>
    </row>
    <row r="589" spans="1:10">
      <c r="A589" s="55">
        <v>1323</v>
      </c>
      <c r="B589" s="114">
        <v>0.69</v>
      </c>
      <c r="C589" s="122">
        <v>0.79611650485436891</v>
      </c>
      <c r="D589" s="116">
        <v>91304347.826086968</v>
      </c>
      <c r="E589" s="241">
        <v>0.25</v>
      </c>
      <c r="F589" s="122">
        <v>-2.5416666666666643E-3</v>
      </c>
      <c r="G589" s="116">
        <v>2209565217.3913045</v>
      </c>
      <c r="H589" s="116">
        <v>3122116000</v>
      </c>
      <c r="I589" s="114">
        <v>0.70771400466584344</v>
      </c>
      <c r="J589" s="116">
        <v>11.01360904913397</v>
      </c>
    </row>
    <row r="590" spans="1:10">
      <c r="A590" s="55">
        <v>8941</v>
      </c>
      <c r="B590" s="45">
        <v>2.82</v>
      </c>
      <c r="C590" s="123">
        <v>0.21008403361344538</v>
      </c>
      <c r="D590" s="121">
        <v>21276595.744680852</v>
      </c>
      <c r="E590" s="241">
        <v>0.3</v>
      </c>
      <c r="F590" s="123">
        <v>2.6249999999999996E-2</v>
      </c>
      <c r="G590" s="46">
        <v>1791489361.7021277</v>
      </c>
      <c r="H590" s="46">
        <v>2525254000</v>
      </c>
      <c r="I590" s="56">
        <v>0.7094293729272888</v>
      </c>
      <c r="J590" s="125">
        <v>35.531205673758869</v>
      </c>
    </row>
    <row r="591" spans="1:10">
      <c r="A591" s="55">
        <v>3144</v>
      </c>
      <c r="B591" s="114">
        <v>0.5</v>
      </c>
      <c r="C591" s="122">
        <v>1</v>
      </c>
      <c r="D591" s="116">
        <v>100000000</v>
      </c>
      <c r="E591" s="241">
        <v>0.21</v>
      </c>
      <c r="F591" s="122">
        <v>1.2874999999999996E-2</v>
      </c>
      <c r="G591" s="116">
        <v>1425000000</v>
      </c>
      <c r="H591" s="116">
        <v>2007690000</v>
      </c>
      <c r="I591" s="114">
        <v>0.7097709307711848</v>
      </c>
      <c r="J591" s="116">
        <v>7.125</v>
      </c>
    </row>
    <row r="592" spans="1:10">
      <c r="A592" s="55">
        <v>2402</v>
      </c>
      <c r="B592" s="114">
        <v>0.23</v>
      </c>
      <c r="C592" s="122">
        <v>7.6923076923076927E-3</v>
      </c>
      <c r="D592" s="116">
        <v>330434782.60869563</v>
      </c>
      <c r="E592" s="241">
        <v>0.05</v>
      </c>
      <c r="F592" s="122">
        <v>-3.0991666666666667E-2</v>
      </c>
      <c r="G592" s="116">
        <v>5006086956.521739</v>
      </c>
      <c r="H592" s="116">
        <v>7050746000</v>
      </c>
      <c r="I592" s="114">
        <v>0.71000812630631416</v>
      </c>
      <c r="J592" s="116">
        <v>50</v>
      </c>
    </row>
    <row r="593" spans="1:10">
      <c r="A593" s="55">
        <v>2499</v>
      </c>
      <c r="B593" s="114">
        <v>0.2</v>
      </c>
      <c r="C593" s="122">
        <v>0.11023622047244094</v>
      </c>
      <c r="D593" s="116">
        <v>315000000</v>
      </c>
      <c r="E593" s="241">
        <v>0.16</v>
      </c>
      <c r="F593" s="122">
        <v>2.7716666666666657E-2</v>
      </c>
      <c r="G593" s="116">
        <v>5748750000</v>
      </c>
      <c r="H593" s="116">
        <v>8093171000</v>
      </c>
      <c r="I593" s="114">
        <v>0.71032108428204466</v>
      </c>
      <c r="J593" s="116">
        <v>50</v>
      </c>
    </row>
    <row r="594" spans="1:10">
      <c r="A594" s="55">
        <v>6442</v>
      </c>
      <c r="B594" s="45">
        <v>1.81</v>
      </c>
      <c r="C594" s="123">
        <v>0.59235668789808915</v>
      </c>
      <c r="D594" s="121">
        <v>65193370.165745854</v>
      </c>
      <c r="E594" s="241">
        <v>0.19</v>
      </c>
      <c r="F594" s="123">
        <v>1.2541666666666665E-2</v>
      </c>
      <c r="G594" s="46">
        <v>3064088397.7900553</v>
      </c>
      <c r="H594" s="46">
        <v>4308749000</v>
      </c>
      <c r="I594" s="56">
        <v>0.71113179203292076</v>
      </c>
      <c r="J594" s="125">
        <v>10.959127903522841</v>
      </c>
    </row>
    <row r="595" spans="1:10">
      <c r="A595" s="55">
        <v>1535</v>
      </c>
      <c r="B595" s="114">
        <v>1.01</v>
      </c>
      <c r="C595" s="122">
        <v>0.46558704453441296</v>
      </c>
      <c r="D595" s="116">
        <v>123762376.23762377</v>
      </c>
      <c r="E595" s="241">
        <v>0.09</v>
      </c>
      <c r="F595" s="122">
        <v>-6.916666666666691E-4</v>
      </c>
      <c r="G595" s="116">
        <v>6806930693.0693073</v>
      </c>
      <c r="H595" s="116">
        <v>9571216000</v>
      </c>
      <c r="I595" s="114">
        <v>0.71118765818985874</v>
      </c>
      <c r="J595" s="116">
        <v>29.240206629358585</v>
      </c>
    </row>
    <row r="596" spans="1:10">
      <c r="A596" s="55">
        <v>8039</v>
      </c>
      <c r="B596" s="45">
        <v>1.49</v>
      </c>
      <c r="C596" s="123">
        <v>0.95905172413793105</v>
      </c>
      <c r="D596" s="121">
        <v>202013422.81879196</v>
      </c>
      <c r="E596" s="241">
        <v>0.21</v>
      </c>
      <c r="F596" s="123">
        <v>2.0491666666666662E-2</v>
      </c>
      <c r="G596" s="46">
        <v>7312885906.0402689</v>
      </c>
      <c r="H596" s="46">
        <v>10267868000</v>
      </c>
      <c r="I596" s="56">
        <v>0.71221074385064831</v>
      </c>
      <c r="J596" s="125">
        <v>6.3331573787798812</v>
      </c>
    </row>
    <row r="597" spans="1:10">
      <c r="A597" s="55">
        <v>3438</v>
      </c>
      <c r="B597" s="114">
        <v>-0.3</v>
      </c>
      <c r="C597" s="122">
        <v>1</v>
      </c>
      <c r="D597" s="116">
        <v>40000000</v>
      </c>
      <c r="E597" s="241">
        <v>0.11</v>
      </c>
      <c r="F597" s="122">
        <v>3.7091666666666662E-2</v>
      </c>
      <c r="G597" s="116">
        <v>644000000</v>
      </c>
      <c r="H597" s="116">
        <v>903954000</v>
      </c>
      <c r="I597" s="114">
        <v>0.71242563227774869</v>
      </c>
      <c r="J597" s="116">
        <v>0</v>
      </c>
    </row>
    <row r="598" spans="1:10">
      <c r="A598" s="55">
        <v>3535</v>
      </c>
      <c r="B598" s="114">
        <v>0.08</v>
      </c>
      <c r="C598" s="122">
        <v>0</v>
      </c>
      <c r="D598" s="116">
        <v>87500000</v>
      </c>
      <c r="E598" s="241">
        <v>0.28999999999999998</v>
      </c>
      <c r="F598" s="122">
        <v>0.61610833333333348</v>
      </c>
      <c r="G598" s="116">
        <v>729750000</v>
      </c>
      <c r="H598" s="116">
        <v>1023569000</v>
      </c>
      <c r="I598" s="114">
        <v>0.71294656246916421</v>
      </c>
      <c r="J598" s="116">
        <v>0</v>
      </c>
    </row>
    <row r="599" spans="1:10">
      <c r="A599" s="55">
        <v>8059</v>
      </c>
      <c r="B599" s="45">
        <v>0.19</v>
      </c>
      <c r="C599" s="123">
        <v>0.5636363636363636</v>
      </c>
      <c r="D599" s="121">
        <v>94736842.105263159</v>
      </c>
      <c r="E599" s="241">
        <v>0.18</v>
      </c>
      <c r="F599" s="123">
        <v>0.11866666666666668</v>
      </c>
      <c r="G599" s="46">
        <v>1312105263.1578946</v>
      </c>
      <c r="H599" s="46">
        <v>1838544000</v>
      </c>
      <c r="I599" s="56">
        <v>0.71366541304308984</v>
      </c>
      <c r="J599" s="125">
        <v>32.332342954159593</v>
      </c>
    </row>
    <row r="600" spans="1:10">
      <c r="A600" s="55">
        <v>1704</v>
      </c>
      <c r="B600" s="114">
        <v>9.08</v>
      </c>
      <c r="C600" s="122">
        <v>0.17786039817702087</v>
      </c>
      <c r="D600" s="116">
        <v>852863436.123348</v>
      </c>
      <c r="E600" s="241">
        <v>0.15</v>
      </c>
      <c r="F600" s="122">
        <v>2.5258333333333337E-2</v>
      </c>
      <c r="G600" s="116">
        <v>25671189427.312775</v>
      </c>
      <c r="H600" s="116">
        <v>35963551000</v>
      </c>
      <c r="I600" s="114">
        <v>0.713811309325733</v>
      </c>
      <c r="J600" s="116">
        <v>4.6595223101167118</v>
      </c>
    </row>
    <row r="601" spans="1:10">
      <c r="A601" s="55">
        <v>8103</v>
      </c>
      <c r="B601" s="45">
        <v>-0.7</v>
      </c>
      <c r="C601" s="123">
        <v>1</v>
      </c>
      <c r="D601" s="121">
        <v>77142857.142857149</v>
      </c>
      <c r="E601" s="241">
        <v>0.26</v>
      </c>
      <c r="F601" s="123">
        <v>9.1500000000000036E-3</v>
      </c>
      <c r="G601" s="46">
        <v>1824428571.4285715</v>
      </c>
      <c r="H601" s="46">
        <v>2542406000</v>
      </c>
      <c r="I601" s="56">
        <v>0.71759922350268657</v>
      </c>
      <c r="J601" s="125">
        <v>0</v>
      </c>
    </row>
    <row r="602" spans="1:10">
      <c r="A602" s="55">
        <v>1599</v>
      </c>
      <c r="B602" s="114">
        <v>2.7</v>
      </c>
      <c r="C602" s="122">
        <v>0.90374331550802134</v>
      </c>
      <c r="D602" s="116">
        <v>44814814.814814813</v>
      </c>
      <c r="E602" s="241">
        <v>0.3</v>
      </c>
      <c r="F602" s="122">
        <v>0.13251666666666664</v>
      </c>
      <c r="G602" s="116">
        <v>1985296296.2962961</v>
      </c>
      <c r="H602" s="116">
        <v>2764611000</v>
      </c>
      <c r="I602" s="114">
        <v>0.71811053934759583</v>
      </c>
      <c r="J602" s="116">
        <v>4.5387354810431733</v>
      </c>
    </row>
    <row r="603" spans="1:10">
      <c r="A603" s="55">
        <v>2345</v>
      </c>
      <c r="B603" s="114">
        <v>0.71</v>
      </c>
      <c r="C603" s="122">
        <v>0.9173553719008265</v>
      </c>
      <c r="D603" s="116">
        <v>535211267.60563385</v>
      </c>
      <c r="E603" s="241">
        <v>0.2</v>
      </c>
      <c r="F603" s="122">
        <v>3.7475000000000008E-2</v>
      </c>
      <c r="G603" s="116">
        <v>17795774647.887325</v>
      </c>
      <c r="H603" s="116">
        <v>24738760000</v>
      </c>
      <c r="I603" s="114">
        <v>0.71934788355953672</v>
      </c>
      <c r="J603" s="116">
        <v>12.762498413906865</v>
      </c>
    </row>
    <row r="604" spans="1:10">
      <c r="A604" s="55">
        <v>6173</v>
      </c>
      <c r="B604" s="45">
        <v>0.26</v>
      </c>
      <c r="C604" s="123">
        <v>0.61538461538461542</v>
      </c>
      <c r="D604" s="121">
        <v>184615384.61538461</v>
      </c>
      <c r="E604" s="241">
        <v>0.18</v>
      </c>
      <c r="F604" s="123">
        <v>-3.3333333333336025E-5</v>
      </c>
      <c r="G604" s="46">
        <v>1724307692.3076923</v>
      </c>
      <c r="H604" s="46">
        <v>2389447000</v>
      </c>
      <c r="I604" s="56">
        <v>0.72163462604849249</v>
      </c>
      <c r="J604" s="125">
        <v>14.59375</v>
      </c>
    </row>
    <row r="605" spans="1:10">
      <c r="A605" s="55">
        <v>1310</v>
      </c>
      <c r="B605" s="114">
        <v>0.15</v>
      </c>
      <c r="C605" s="122">
        <v>1</v>
      </c>
      <c r="D605" s="116">
        <v>526666666.66666669</v>
      </c>
      <c r="E605" s="241">
        <v>0.06</v>
      </c>
      <c r="F605" s="122">
        <v>6.3441666666666688E-2</v>
      </c>
      <c r="G605" s="116">
        <v>9532666666.6666679</v>
      </c>
      <c r="H605" s="116">
        <v>13125514000</v>
      </c>
      <c r="I605" s="114">
        <v>0.72626997058299336</v>
      </c>
      <c r="J605" s="116">
        <v>30.166666666666671</v>
      </c>
    </row>
    <row r="606" spans="1:10">
      <c r="A606" s="55">
        <v>5351</v>
      </c>
      <c r="B606" s="45">
        <v>-0.16</v>
      </c>
      <c r="C606" s="123">
        <v>1</v>
      </c>
      <c r="D606" s="121">
        <v>431250000</v>
      </c>
      <c r="E606" s="241">
        <v>0.1</v>
      </c>
      <c r="F606" s="123">
        <v>-1.4158333333333335E-2</v>
      </c>
      <c r="G606" s="46">
        <v>5390625000</v>
      </c>
      <c r="H606" s="46">
        <v>7416680000</v>
      </c>
      <c r="I606" s="56">
        <v>0.7268245360457779</v>
      </c>
      <c r="J606" s="125">
        <v>0</v>
      </c>
    </row>
    <row r="607" spans="1:10">
      <c r="A607" s="55">
        <v>1258</v>
      </c>
      <c r="B607" s="114">
        <v>1.32</v>
      </c>
      <c r="C607" s="122">
        <v>1</v>
      </c>
      <c r="D607" s="116">
        <v>34090909.090909086</v>
      </c>
      <c r="E607" s="241">
        <v>0.25</v>
      </c>
      <c r="F607" s="122">
        <v>5.4883333333333333E-2</v>
      </c>
      <c r="G607" s="116">
        <v>1326136363.6363635</v>
      </c>
      <c r="H607" s="116">
        <v>1821101000</v>
      </c>
      <c r="I607" s="114">
        <v>0.7282058291310386</v>
      </c>
      <c r="J607" s="116">
        <v>7.3674242424242422</v>
      </c>
    </row>
    <row r="608" spans="1:10">
      <c r="A608" s="55">
        <v>2916</v>
      </c>
      <c r="B608" s="114">
        <v>-0.12</v>
      </c>
      <c r="C608" s="122">
        <v>0</v>
      </c>
      <c r="D608" s="116">
        <v>58333333.333333336</v>
      </c>
      <c r="E608" s="241">
        <v>0.5</v>
      </c>
      <c r="F608" s="122">
        <v>3.0024999999999996E-2</v>
      </c>
      <c r="G608" s="116">
        <v>1003333333.3333334</v>
      </c>
      <c r="H608" s="116">
        <v>1375557000</v>
      </c>
      <c r="I608" s="114">
        <v>0.72940149578195113</v>
      </c>
      <c r="J608" s="116">
        <v>0</v>
      </c>
    </row>
    <row r="609" spans="1:10">
      <c r="A609" s="55">
        <v>2020</v>
      </c>
      <c r="B609" s="114">
        <v>-1.84</v>
      </c>
      <c r="C609" s="122">
        <v>0</v>
      </c>
      <c r="D609" s="116">
        <v>257065217.39130434</v>
      </c>
      <c r="E609" s="241">
        <v>0.09</v>
      </c>
      <c r="F609" s="122">
        <v>6.5166666666666715E-3</v>
      </c>
      <c r="G609" s="116">
        <v>3239021739.1304345</v>
      </c>
      <c r="H609" s="116">
        <v>4436433000</v>
      </c>
      <c r="I609" s="114">
        <v>0.73009594400060462</v>
      </c>
      <c r="J609" s="116">
        <v>0</v>
      </c>
    </row>
    <row r="610" spans="1:10">
      <c r="A610" s="55">
        <v>6144</v>
      </c>
      <c r="B610" s="45">
        <v>-0.06</v>
      </c>
      <c r="C610" s="123">
        <v>0.8571428571428571</v>
      </c>
      <c r="D610" s="121">
        <v>66666666.666666672</v>
      </c>
      <c r="E610" s="241">
        <v>0.28000000000000003</v>
      </c>
      <c r="F610" s="123">
        <v>6.5875000000000003E-2</v>
      </c>
      <c r="G610" s="46">
        <v>584666666.66666663</v>
      </c>
      <c r="H610" s="46">
        <v>800338000</v>
      </c>
      <c r="I610" s="56">
        <v>0.73052468665322234</v>
      </c>
      <c r="J610" s="125">
        <v>0</v>
      </c>
    </row>
    <row r="611" spans="1:10">
      <c r="A611" s="55">
        <v>3679</v>
      </c>
      <c r="B611" s="114">
        <v>1.75</v>
      </c>
      <c r="C611" s="122">
        <v>0.60427807486631013</v>
      </c>
      <c r="D611" s="116">
        <v>79428571.428571433</v>
      </c>
      <c r="E611" s="241">
        <v>0.23</v>
      </c>
      <c r="F611" s="122">
        <v>8.5416666666666679E-3</v>
      </c>
      <c r="G611" s="116">
        <v>3216857142.8571429</v>
      </c>
      <c r="H611" s="116">
        <v>4398359000</v>
      </c>
      <c r="I611" s="114">
        <v>0.73137666635605303</v>
      </c>
      <c r="J611" s="116">
        <v>9.5745891276864743</v>
      </c>
    </row>
    <row r="612" spans="1:10">
      <c r="A612" s="55">
        <v>2480</v>
      </c>
      <c r="B612" s="114">
        <v>0.55000000000000004</v>
      </c>
      <c r="C612" s="122">
        <v>0.86259541984732824</v>
      </c>
      <c r="D612" s="116">
        <v>132727272.72727272</v>
      </c>
      <c r="E612" s="241">
        <v>0.25</v>
      </c>
      <c r="F612" s="122">
        <v>3.7500000000000033E-4</v>
      </c>
      <c r="G612" s="116">
        <v>3225272727.272727</v>
      </c>
      <c r="H612" s="116">
        <v>4402929000</v>
      </c>
      <c r="I612" s="114">
        <v>0.73252889775709007</v>
      </c>
      <c r="J612" s="116">
        <v>12.804907481898633</v>
      </c>
    </row>
    <row r="613" spans="1:10">
      <c r="A613" s="55">
        <v>6177</v>
      </c>
      <c r="B613" s="45">
        <v>-0.04</v>
      </c>
      <c r="C613" s="123">
        <v>1</v>
      </c>
      <c r="D613" s="121">
        <v>175000000</v>
      </c>
      <c r="E613" s="241">
        <v>0.33</v>
      </c>
      <c r="F613" s="123">
        <v>1.5569166666666667</v>
      </c>
      <c r="G613" s="46">
        <v>3394999999.9999995</v>
      </c>
      <c r="H613" s="46">
        <v>4633035000</v>
      </c>
      <c r="I613" s="56">
        <v>0.7327809956108684</v>
      </c>
      <c r="J613" s="125">
        <v>0</v>
      </c>
    </row>
    <row r="614" spans="1:10">
      <c r="A614" s="55">
        <v>2472</v>
      </c>
      <c r="B614" s="114">
        <v>1.2</v>
      </c>
      <c r="C614" s="122">
        <v>0.65975103734439833</v>
      </c>
      <c r="D614" s="116">
        <v>140833333.33333334</v>
      </c>
      <c r="E614" s="241">
        <v>0.24</v>
      </c>
      <c r="F614" s="122">
        <v>6.091666666666668E-3</v>
      </c>
      <c r="G614" s="116">
        <v>4253166666.666667</v>
      </c>
      <c r="H614" s="116">
        <v>5801853000</v>
      </c>
      <c r="I614" s="114">
        <v>0.73307039434929966</v>
      </c>
      <c r="J614" s="116">
        <v>9.5364255765199157</v>
      </c>
    </row>
    <row r="615" spans="1:10">
      <c r="A615" s="55">
        <v>1526</v>
      </c>
      <c r="B615" s="114">
        <v>0.97</v>
      </c>
      <c r="C615" s="122">
        <v>0.52238805970149249</v>
      </c>
      <c r="D615" s="116">
        <v>49484536.082474232</v>
      </c>
      <c r="E615" s="241">
        <v>0.22</v>
      </c>
      <c r="F615" s="122">
        <v>2.5216666666666675E-2</v>
      </c>
      <c r="G615" s="116">
        <v>663092783.50515473</v>
      </c>
      <c r="H615" s="116">
        <v>902935000</v>
      </c>
      <c r="I615" s="114">
        <v>0.7343748813648322</v>
      </c>
      <c r="J615" s="116">
        <v>6.6111929307805601</v>
      </c>
    </row>
    <row r="616" spans="1:10">
      <c r="A616" s="55">
        <v>3441</v>
      </c>
      <c r="B616" s="114">
        <v>0.23</v>
      </c>
      <c r="C616" s="122">
        <v>1</v>
      </c>
      <c r="D616" s="116">
        <v>39130434.782608695</v>
      </c>
      <c r="E616" s="241">
        <v>0.11</v>
      </c>
      <c r="F616" s="122">
        <v>6.1516666666666657E-2</v>
      </c>
      <c r="G616" s="116">
        <v>471521739.13043481</v>
      </c>
      <c r="H616" s="116">
        <v>641511000</v>
      </c>
      <c r="I616" s="114">
        <v>0.7350173872785265</v>
      </c>
      <c r="J616" s="116">
        <v>13.097826086956522</v>
      </c>
    </row>
    <row r="617" spans="1:10">
      <c r="A617" s="55">
        <v>6201</v>
      </c>
      <c r="B617" s="45">
        <v>0.89</v>
      </c>
      <c r="C617" s="123">
        <v>0.55813953488372092</v>
      </c>
      <c r="D617" s="121">
        <v>88764044.943820223</v>
      </c>
      <c r="E617" s="241">
        <v>0.2</v>
      </c>
      <c r="F617" s="123">
        <v>-2.4083333333333331E-3</v>
      </c>
      <c r="G617" s="46">
        <v>2307865168.5393257</v>
      </c>
      <c r="H617" s="46">
        <v>3135818000</v>
      </c>
      <c r="I617" s="56">
        <v>0.73596910552185291</v>
      </c>
      <c r="J617" s="125">
        <v>13.085205992509364</v>
      </c>
    </row>
    <row r="618" spans="1:10">
      <c r="A618" s="55">
        <v>1530</v>
      </c>
      <c r="B618" s="114">
        <v>1.75</v>
      </c>
      <c r="C618" s="122">
        <v>0.56804733727810652</v>
      </c>
      <c r="D618" s="116">
        <v>92000000</v>
      </c>
      <c r="E618" s="241">
        <v>0.23</v>
      </c>
      <c r="F618" s="122">
        <v>2.1941666666666668E-2</v>
      </c>
      <c r="G618" s="116">
        <v>2806000000</v>
      </c>
      <c r="H618" s="116">
        <v>3806785000</v>
      </c>
      <c r="I618" s="114">
        <v>0.737104932377321</v>
      </c>
      <c r="J618" s="116">
        <v>7.6703869047619051</v>
      </c>
    </row>
    <row r="619" spans="1:10">
      <c r="A619" s="55">
        <v>3693</v>
      </c>
      <c r="B619" s="114">
        <v>3.35</v>
      </c>
      <c r="C619" s="122">
        <v>0.69273743016759781</v>
      </c>
      <c r="D619" s="116">
        <v>38208955.223880596</v>
      </c>
      <c r="E619" s="241">
        <v>0.22</v>
      </c>
      <c r="F619" s="122">
        <v>9.8716666666666675E-2</v>
      </c>
      <c r="G619" s="116">
        <v>3706268656.7164178</v>
      </c>
      <c r="H619" s="116">
        <v>5018296000</v>
      </c>
      <c r="I619" s="114">
        <v>0.73855122470185453</v>
      </c>
      <c r="J619" s="116">
        <v>10.449566682715453</v>
      </c>
    </row>
    <row r="620" spans="1:10">
      <c r="A620" s="55">
        <v>6248</v>
      </c>
      <c r="B620" s="45">
        <v>0.54</v>
      </c>
      <c r="C620" s="123">
        <v>1</v>
      </c>
      <c r="D620" s="121">
        <v>35185185.185185187</v>
      </c>
      <c r="E620" s="241">
        <v>0.09</v>
      </c>
      <c r="F620" s="123">
        <v>6.1099999999999995E-2</v>
      </c>
      <c r="G620" s="46">
        <v>988703703.70370376</v>
      </c>
      <c r="H620" s="46">
        <v>1336182000</v>
      </c>
      <c r="I620" s="56">
        <v>0.73994688126595309</v>
      </c>
      <c r="J620" s="125">
        <v>13.00925925925926</v>
      </c>
    </row>
    <row r="621" spans="1:10">
      <c r="A621" s="55">
        <v>1517</v>
      </c>
      <c r="B621" s="114">
        <v>0.28000000000000003</v>
      </c>
      <c r="C621" s="122">
        <v>6.7226890756302518E-2</v>
      </c>
      <c r="D621" s="116">
        <v>228571428.57142854</v>
      </c>
      <c r="E621" s="241">
        <v>0.13</v>
      </c>
      <c r="F621" s="122">
        <v>2.6350000000000002E-2</v>
      </c>
      <c r="G621" s="116">
        <v>2582857142.8571424</v>
      </c>
      <c r="H621" s="116">
        <v>3489646000</v>
      </c>
      <c r="I621" s="114">
        <v>0.74014875516231227</v>
      </c>
      <c r="J621" s="116">
        <v>50</v>
      </c>
    </row>
    <row r="622" spans="1:10">
      <c r="A622" s="55">
        <v>9802</v>
      </c>
      <c r="B622" s="45">
        <v>0.43</v>
      </c>
      <c r="C622" s="123">
        <v>1</v>
      </c>
      <c r="D622" s="121">
        <v>130232558.13953489</v>
      </c>
      <c r="E622" s="241">
        <v>0.13</v>
      </c>
      <c r="F622" s="123">
        <v>4.6183333333333347E-2</v>
      </c>
      <c r="G622" s="46">
        <v>6720000000.000001</v>
      </c>
      <c r="H622" s="46">
        <v>9045044000</v>
      </c>
      <c r="I622" s="56">
        <v>0.74294829300996224</v>
      </c>
      <c r="J622" s="125">
        <v>30</v>
      </c>
    </row>
    <row r="623" spans="1:10">
      <c r="A623" s="55">
        <v>2314</v>
      </c>
      <c r="B623" s="114">
        <v>0.36</v>
      </c>
      <c r="C623" s="122">
        <v>0</v>
      </c>
      <c r="D623" s="116">
        <v>402777777.77777779</v>
      </c>
      <c r="E623" s="241">
        <v>0.13</v>
      </c>
      <c r="F623" s="122">
        <v>1.3000000000000005E-2</v>
      </c>
      <c r="G623" s="116">
        <v>4732638888.8888893</v>
      </c>
      <c r="H623" s="116">
        <v>6356219000</v>
      </c>
      <c r="I623" s="114">
        <v>0.74456825494667334</v>
      </c>
      <c r="J623" s="116">
        <v>0</v>
      </c>
    </row>
    <row r="624" spans="1:10">
      <c r="A624" s="55">
        <v>1216</v>
      </c>
      <c r="B624" s="114">
        <v>0.68</v>
      </c>
      <c r="C624" s="122">
        <v>0.57225642883013406</v>
      </c>
      <c r="D624" s="116">
        <v>5669117647.0588236</v>
      </c>
      <c r="E624" s="241">
        <v>0.34</v>
      </c>
      <c r="F624" s="122">
        <v>7.6666666666666715E-3</v>
      </c>
      <c r="G624" s="116">
        <v>310667647058.82349</v>
      </c>
      <c r="H624" s="116">
        <v>416449013000</v>
      </c>
      <c r="I624" s="114">
        <v>0.745992035905782</v>
      </c>
      <c r="J624" s="116">
        <v>35.206347728964992</v>
      </c>
    </row>
    <row r="625" spans="1:10">
      <c r="A625" s="55">
        <v>4527</v>
      </c>
      <c r="B625" s="45">
        <v>0.56999999999999995</v>
      </c>
      <c r="C625" s="123">
        <v>0.93670886075949367</v>
      </c>
      <c r="D625" s="121">
        <v>77192982.456140354</v>
      </c>
      <c r="E625" s="241">
        <v>0.24</v>
      </c>
      <c r="F625" s="123">
        <v>6.0333333333333329E-2</v>
      </c>
      <c r="G625" s="46">
        <v>1852631578.9473686</v>
      </c>
      <c r="H625" s="46">
        <v>2480893000</v>
      </c>
      <c r="I625" s="56">
        <v>0.74675996866747929</v>
      </c>
      <c r="J625" s="125">
        <v>11.237553342816501</v>
      </c>
    </row>
    <row r="626" spans="1:10">
      <c r="A626" s="55">
        <v>2342</v>
      </c>
      <c r="B626" s="119">
        <v>-0.12</v>
      </c>
      <c r="C626" s="122">
        <v>0.75743707093821511</v>
      </c>
      <c r="D626" s="120">
        <v>375000000</v>
      </c>
      <c r="E626" s="241">
        <v>-0.16</v>
      </c>
      <c r="F626" s="122">
        <v>6.7474999999999993E-2</v>
      </c>
      <c r="G626" s="120">
        <v>1080000000</v>
      </c>
      <c r="H626" s="120">
        <v>1431567000</v>
      </c>
      <c r="I626" s="119">
        <v>0.75441806076837481</v>
      </c>
      <c r="J626" s="120">
        <v>0</v>
      </c>
    </row>
    <row r="627" spans="1:10">
      <c r="A627" s="55">
        <v>1582</v>
      </c>
      <c r="B627" s="114">
        <v>1.84</v>
      </c>
      <c r="C627" s="122">
        <v>0.80888888888888888</v>
      </c>
      <c r="D627" s="116">
        <v>150000000</v>
      </c>
      <c r="E627" s="241">
        <v>0.23</v>
      </c>
      <c r="F627" s="122">
        <v>-7.0583333333333323E-3</v>
      </c>
      <c r="G627" s="116">
        <v>7155000000</v>
      </c>
      <c r="H627" s="116">
        <v>9463813000</v>
      </c>
      <c r="I627" s="114">
        <v>0.75603776194647976</v>
      </c>
      <c r="J627" s="116">
        <v>8.0121983994266603</v>
      </c>
    </row>
    <row r="628" spans="1:10">
      <c r="A628" s="55">
        <v>6116</v>
      </c>
      <c r="B628" s="45">
        <v>-0.22</v>
      </c>
      <c r="C628" s="123">
        <v>1</v>
      </c>
      <c r="D628" s="121">
        <v>3213636363.6363635</v>
      </c>
      <c r="E628" s="241">
        <v>-7.0000000000000007E-2</v>
      </c>
      <c r="F628" s="123">
        <v>-2.8725000000000001E-2</v>
      </c>
      <c r="G628" s="46">
        <v>13015227272.727272</v>
      </c>
      <c r="H628" s="46">
        <v>17179483000</v>
      </c>
      <c r="I628" s="56">
        <v>0.75760296585917475</v>
      </c>
      <c r="J628" s="125">
        <v>0</v>
      </c>
    </row>
    <row r="629" spans="1:10">
      <c r="A629" s="55">
        <v>1507</v>
      </c>
      <c r="B629" s="114">
        <v>1.31</v>
      </c>
      <c r="C629" s="122">
        <v>0.89756592292089254</v>
      </c>
      <c r="D629" s="116">
        <v>409160305.34351146</v>
      </c>
      <c r="E629" s="241">
        <v>0.27</v>
      </c>
      <c r="F629" s="122">
        <v>-1.7391666666666666E-2</v>
      </c>
      <c r="G629" s="116">
        <v>17512061068.70229</v>
      </c>
      <c r="H629" s="116">
        <v>23104233000</v>
      </c>
      <c r="I629" s="114">
        <v>0.75795898823831498</v>
      </c>
      <c r="J629" s="116">
        <v>9.1000991935136053</v>
      </c>
    </row>
    <row r="630" spans="1:10">
      <c r="A630" s="55">
        <v>4510</v>
      </c>
      <c r="B630" s="45">
        <v>0.61</v>
      </c>
      <c r="C630" s="123">
        <v>0.6333333333333333</v>
      </c>
      <c r="D630" s="121">
        <v>106557377.04918033</v>
      </c>
      <c r="E630" s="241">
        <v>0.25</v>
      </c>
      <c r="F630" s="123">
        <v>-1.6491666666666668E-2</v>
      </c>
      <c r="G630" s="46">
        <v>1539754098.3606558</v>
      </c>
      <c r="H630" s="46">
        <v>2029867000</v>
      </c>
      <c r="I630" s="56">
        <v>0.75854925389725325</v>
      </c>
      <c r="J630" s="125">
        <v>9.3507333908541845</v>
      </c>
    </row>
    <row r="631" spans="1:10">
      <c r="A631" s="55">
        <v>8201</v>
      </c>
      <c r="B631" s="45">
        <v>-0.31</v>
      </c>
      <c r="C631" s="123">
        <v>1</v>
      </c>
      <c r="D631" s="121">
        <v>87096774.193548381</v>
      </c>
      <c r="E631" s="241">
        <v>0.06</v>
      </c>
      <c r="F631" s="123">
        <v>0.176125</v>
      </c>
      <c r="G631" s="46">
        <v>728999999.99999988</v>
      </c>
      <c r="H631" s="46">
        <v>960940000</v>
      </c>
      <c r="I631" s="56">
        <v>0.75863217266426608</v>
      </c>
      <c r="J631" s="125">
        <v>0</v>
      </c>
    </row>
    <row r="632" spans="1:10">
      <c r="A632" s="55">
        <v>2464</v>
      </c>
      <c r="B632" s="114">
        <v>0.93</v>
      </c>
      <c r="C632" s="122">
        <v>0.93602693602693599</v>
      </c>
      <c r="D632" s="116">
        <v>191397849.46236557</v>
      </c>
      <c r="E632" s="241">
        <v>0.19</v>
      </c>
      <c r="F632" s="122">
        <v>3.0475000000000006E-2</v>
      </c>
      <c r="G632" s="116">
        <v>6335268817.2043009</v>
      </c>
      <c r="H632" s="116">
        <v>8331740000</v>
      </c>
      <c r="I632" s="114">
        <v>0.76037764226971805</v>
      </c>
      <c r="J632" s="116">
        <v>9.5059758644697148</v>
      </c>
    </row>
    <row r="633" spans="1:10">
      <c r="A633" s="55">
        <v>2492</v>
      </c>
      <c r="B633" s="114">
        <v>0.62</v>
      </c>
      <c r="C633" s="122">
        <v>0.54024556616643926</v>
      </c>
      <c r="D633" s="116">
        <v>680645161.29032254</v>
      </c>
      <c r="E633" s="241">
        <v>0.2</v>
      </c>
      <c r="F633" s="122">
        <v>1.4274999999999996E-2</v>
      </c>
      <c r="G633" s="116">
        <v>12149516129.032259</v>
      </c>
      <c r="H633" s="116">
        <v>15961731000</v>
      </c>
      <c r="I633" s="114">
        <v>0.7611653227981513</v>
      </c>
      <c r="J633" s="116">
        <v>13.322794477028351</v>
      </c>
    </row>
    <row r="634" spans="1:10">
      <c r="A634" s="55">
        <v>1612</v>
      </c>
      <c r="B634" s="114">
        <v>-0.03</v>
      </c>
      <c r="C634" s="122">
        <v>0</v>
      </c>
      <c r="D634" s="116">
        <v>300000000</v>
      </c>
      <c r="E634" s="241">
        <v>0.02</v>
      </c>
      <c r="F634" s="122">
        <v>1.0441666666666663E-2</v>
      </c>
      <c r="G634" s="116">
        <v>2406000000</v>
      </c>
      <c r="H634" s="116">
        <v>3157814000</v>
      </c>
      <c r="I634" s="114">
        <v>0.76191947974136542</v>
      </c>
      <c r="J634" s="116">
        <v>0</v>
      </c>
    </row>
    <row r="635" spans="1:10">
      <c r="A635" s="55">
        <v>3285</v>
      </c>
      <c r="B635" s="114">
        <v>0.99</v>
      </c>
      <c r="C635" s="122">
        <v>0.57999999999999996</v>
      </c>
      <c r="D635" s="116">
        <v>44444444.444444448</v>
      </c>
      <c r="E635" s="241">
        <v>0.22</v>
      </c>
      <c r="F635" s="122">
        <v>3.9641666666666665E-2</v>
      </c>
      <c r="G635" s="116">
        <v>1142222222.2222223</v>
      </c>
      <c r="H635" s="116">
        <v>1494615000</v>
      </c>
      <c r="I635" s="114">
        <v>0.76422504940885938</v>
      </c>
      <c r="J635" s="116">
        <v>11.189481017067225</v>
      </c>
    </row>
    <row r="636" spans="1:10">
      <c r="A636" s="55">
        <v>5392</v>
      </c>
      <c r="B636" s="45">
        <v>-0.35</v>
      </c>
      <c r="C636" s="123">
        <v>1</v>
      </c>
      <c r="D636" s="121">
        <v>97142857.142857149</v>
      </c>
      <c r="E636" s="241">
        <v>0.11</v>
      </c>
      <c r="F636" s="123">
        <v>0.10888333333333333</v>
      </c>
      <c r="G636" s="46">
        <v>4556000000</v>
      </c>
      <c r="H636" s="46">
        <v>5959950000</v>
      </c>
      <c r="I636" s="56">
        <v>0.76443594325455755</v>
      </c>
      <c r="J636" s="125">
        <v>0</v>
      </c>
    </row>
    <row r="637" spans="1:10">
      <c r="A637" s="55">
        <v>3052</v>
      </c>
      <c r="B637" s="114">
        <v>0.16</v>
      </c>
      <c r="C637" s="122">
        <v>1</v>
      </c>
      <c r="D637" s="116">
        <v>206250000</v>
      </c>
      <c r="E637" s="241">
        <v>0.09</v>
      </c>
      <c r="F637" s="122">
        <v>1.5400000000000016E-2</v>
      </c>
      <c r="G637" s="116">
        <v>1926375000</v>
      </c>
      <c r="H637" s="116">
        <v>2517310000</v>
      </c>
      <c r="I637" s="114">
        <v>0.76525139931116948</v>
      </c>
      <c r="J637" s="116">
        <v>14.59375</v>
      </c>
    </row>
    <row r="638" spans="1:10">
      <c r="A638" s="55">
        <v>5608</v>
      </c>
      <c r="B638" s="45">
        <v>0.01</v>
      </c>
      <c r="C638" s="123">
        <v>0</v>
      </c>
      <c r="D638" s="121">
        <v>300000000</v>
      </c>
      <c r="E638" s="241">
        <v>0.1</v>
      </c>
      <c r="F638" s="123">
        <v>-5.6416666666666655E-3</v>
      </c>
      <c r="G638" s="46">
        <v>3420000000</v>
      </c>
      <c r="H638" s="46">
        <v>4463263000</v>
      </c>
      <c r="I638" s="56">
        <v>0.76625553994913587</v>
      </c>
      <c r="J638" s="125">
        <v>0</v>
      </c>
    </row>
    <row r="639" spans="1:10">
      <c r="A639" s="55">
        <v>4173</v>
      </c>
      <c r="B639" s="45">
        <v>7.0000000000000007E-2</v>
      </c>
      <c r="C639" s="123">
        <v>1</v>
      </c>
      <c r="D639" s="121">
        <v>42857142.857142851</v>
      </c>
      <c r="E639" s="241">
        <v>0.16</v>
      </c>
      <c r="F639" s="123">
        <v>-3.2250000000000039E-3</v>
      </c>
      <c r="G639" s="46">
        <v>1026428571.4285712</v>
      </c>
      <c r="H639" s="46">
        <v>1339167000</v>
      </c>
      <c r="I639" s="56">
        <v>0.76646793971817651</v>
      </c>
      <c r="J639" s="125">
        <v>50</v>
      </c>
    </row>
    <row r="640" spans="1:10">
      <c r="A640" s="55">
        <v>5439</v>
      </c>
      <c r="B640" s="45">
        <v>0.6</v>
      </c>
      <c r="C640" s="123">
        <v>0.86111111111111116</v>
      </c>
      <c r="D640" s="121">
        <v>78333333.333333343</v>
      </c>
      <c r="E640" s="241">
        <v>0.15</v>
      </c>
      <c r="F640" s="123">
        <v>2.4999999999999561E-5</v>
      </c>
      <c r="G640" s="46">
        <v>1417833333.3333337</v>
      </c>
      <c r="H640" s="46">
        <v>1847375000</v>
      </c>
      <c r="I640" s="56">
        <v>0.76748539594469656</v>
      </c>
      <c r="J640" s="125">
        <v>8.758064516129032</v>
      </c>
    </row>
    <row r="641" spans="1:10">
      <c r="A641" s="55">
        <v>3564</v>
      </c>
      <c r="B641" s="114">
        <v>1.91</v>
      </c>
      <c r="C641" s="122">
        <v>0.82222222222222219</v>
      </c>
      <c r="D641" s="116">
        <v>20418848.167539269</v>
      </c>
      <c r="E641" s="241">
        <v>0.28000000000000003</v>
      </c>
      <c r="F641" s="122">
        <v>2.9183333333333339E-2</v>
      </c>
      <c r="G641" s="116">
        <v>1043403141.3612567</v>
      </c>
      <c r="H641" s="116">
        <v>1355601000</v>
      </c>
      <c r="I641" s="114">
        <v>0.7696978250689227</v>
      </c>
      <c r="J641" s="116">
        <v>8.1346398754775731</v>
      </c>
    </row>
    <row r="642" spans="1:10">
      <c r="A642" s="55">
        <v>4532</v>
      </c>
      <c r="B642" s="45">
        <v>0.5</v>
      </c>
      <c r="C642" s="123">
        <v>0.89312977099236646</v>
      </c>
      <c r="D642" s="121">
        <v>472000000</v>
      </c>
      <c r="E642" s="241">
        <v>0.17</v>
      </c>
      <c r="F642" s="123">
        <v>3.6033333333333334E-2</v>
      </c>
      <c r="G642" s="46">
        <v>12036000000</v>
      </c>
      <c r="H642" s="46">
        <v>15621438000</v>
      </c>
      <c r="I642" s="56">
        <v>0.77047964470364383</v>
      </c>
      <c r="J642" s="125">
        <v>14.275641025641026</v>
      </c>
    </row>
    <row r="643" spans="1:10">
      <c r="A643" s="55">
        <v>8905</v>
      </c>
      <c r="B643" s="45">
        <v>0.38</v>
      </c>
      <c r="C643" s="123">
        <v>0</v>
      </c>
      <c r="D643" s="121">
        <v>110526315.78947368</v>
      </c>
      <c r="E643" s="241">
        <v>0.1</v>
      </c>
      <c r="F643" s="123">
        <v>-5.8458333333333334E-2</v>
      </c>
      <c r="G643" s="46">
        <v>1503157894.7368422</v>
      </c>
      <c r="H643" s="46">
        <v>1948399000</v>
      </c>
      <c r="I643" s="56">
        <v>0.77148361025480006</v>
      </c>
      <c r="J643" s="125">
        <v>0</v>
      </c>
    </row>
    <row r="644" spans="1:10">
      <c r="A644" s="55">
        <v>2103</v>
      </c>
      <c r="B644" s="114">
        <v>-0.09</v>
      </c>
      <c r="C644" s="122">
        <v>1</v>
      </c>
      <c r="D644" s="116">
        <v>866666666.66666675</v>
      </c>
      <c r="E644" s="241">
        <v>0.13</v>
      </c>
      <c r="F644" s="122">
        <v>-1.67E-2</v>
      </c>
      <c r="G644" s="116">
        <v>20063333333.333332</v>
      </c>
      <c r="H644" s="116">
        <v>25981759000</v>
      </c>
      <c r="I644" s="114">
        <v>0.77220843028115738</v>
      </c>
      <c r="J644" s="116">
        <v>0</v>
      </c>
    </row>
    <row r="645" spans="1:10">
      <c r="A645" s="55">
        <v>3324</v>
      </c>
      <c r="B645" s="114">
        <v>1.99</v>
      </c>
      <c r="C645" s="122">
        <v>0.52898550724637683</v>
      </c>
      <c r="D645" s="116">
        <v>70854271.356783926</v>
      </c>
      <c r="E645" s="241">
        <v>0.19</v>
      </c>
      <c r="F645" s="122">
        <v>2.0000000000000007E-2</v>
      </c>
      <c r="G645" s="116">
        <v>3620653266.3316588</v>
      </c>
      <c r="H645" s="116">
        <v>4687777000</v>
      </c>
      <c r="I645" s="114">
        <v>0.77236038880084501</v>
      </c>
      <c r="J645" s="116">
        <v>12.1356783919598</v>
      </c>
    </row>
    <row r="646" spans="1:10">
      <c r="A646" s="55">
        <v>6235</v>
      </c>
      <c r="B646" s="45">
        <v>-0.09</v>
      </c>
      <c r="C646" s="123">
        <v>0</v>
      </c>
      <c r="D646" s="121">
        <v>155555555.55555555</v>
      </c>
      <c r="E646" s="241">
        <v>0.13</v>
      </c>
      <c r="F646" s="123">
        <v>4.6425000000000001E-2</v>
      </c>
      <c r="G646" s="46">
        <v>1365777777.7777777</v>
      </c>
      <c r="H646" s="46">
        <v>1767225000</v>
      </c>
      <c r="I646" s="56">
        <v>0.77283751518781008</v>
      </c>
      <c r="J646" s="125">
        <v>0</v>
      </c>
    </row>
    <row r="647" spans="1:10">
      <c r="A647" s="55">
        <v>1108</v>
      </c>
      <c r="B647" s="114">
        <v>0.23</v>
      </c>
      <c r="C647" s="122">
        <v>1</v>
      </c>
      <c r="D647" s="116">
        <v>400000000</v>
      </c>
      <c r="E647" s="241">
        <v>0.16</v>
      </c>
      <c r="F647" s="122">
        <v>1.1575000000000002E-2</v>
      </c>
      <c r="G647" s="116">
        <v>3892000000</v>
      </c>
      <c r="H647" s="116">
        <v>5021371000</v>
      </c>
      <c r="I647" s="114">
        <v>0.77508712262049551</v>
      </c>
      <c r="J647" s="116">
        <v>10.576086956521738</v>
      </c>
    </row>
    <row r="648" spans="1:10">
      <c r="A648" s="55">
        <v>1203</v>
      </c>
      <c r="B648" s="114">
        <v>0.47</v>
      </c>
      <c r="C648" s="122">
        <v>0.93908629441624369</v>
      </c>
      <c r="D648" s="116">
        <v>238297872.34042555</v>
      </c>
      <c r="E648" s="241">
        <v>0.24</v>
      </c>
      <c r="F648" s="122">
        <v>1.0366666666666663E-2</v>
      </c>
      <c r="G648" s="116">
        <v>5385531914.8936176</v>
      </c>
      <c r="H648" s="116">
        <v>6946913000</v>
      </c>
      <c r="I648" s="114">
        <v>0.77524101926907929</v>
      </c>
      <c r="J648" s="116">
        <v>12.801035077630823</v>
      </c>
    </row>
    <row r="649" spans="1:10">
      <c r="A649" s="55">
        <v>6214</v>
      </c>
      <c r="B649" s="45">
        <v>-0.25</v>
      </c>
      <c r="C649" s="123">
        <v>0.99152542372881358</v>
      </c>
      <c r="D649" s="121">
        <v>248000000</v>
      </c>
      <c r="E649" s="241">
        <v>0.26</v>
      </c>
      <c r="F649" s="123">
        <v>9.7650000000000001E-2</v>
      </c>
      <c r="G649" s="46">
        <v>12648000000</v>
      </c>
      <c r="H649" s="46">
        <v>16312363000</v>
      </c>
      <c r="I649" s="56">
        <v>0.77536283369858805</v>
      </c>
      <c r="J649" s="125">
        <v>0</v>
      </c>
    </row>
    <row r="650" spans="1:10">
      <c r="A650" s="55">
        <v>5903</v>
      </c>
      <c r="B650" s="45">
        <v>2.09</v>
      </c>
      <c r="C650" s="123">
        <v>0.81152460984393759</v>
      </c>
      <c r="D650" s="121">
        <v>222966507.17703351</v>
      </c>
      <c r="E650" s="241">
        <v>0.37</v>
      </c>
      <c r="F650" s="123">
        <v>5.1916666666666665E-3</v>
      </c>
      <c r="G650" s="46">
        <v>44816267942.583733</v>
      </c>
      <c r="H650" s="46">
        <v>57791269000</v>
      </c>
      <c r="I650" s="56">
        <v>0.7754850986674775</v>
      </c>
      <c r="J650" s="125">
        <v>29.627027830469128</v>
      </c>
    </row>
    <row r="651" spans="1:10">
      <c r="A651" s="55">
        <v>8105</v>
      </c>
      <c r="B651" s="45">
        <v>0.79</v>
      </c>
      <c r="C651" s="123">
        <v>0.37309644670050762</v>
      </c>
      <c r="D651" s="121">
        <v>439240506.3291139</v>
      </c>
      <c r="E651" s="241">
        <v>0.14000000000000001</v>
      </c>
      <c r="F651" s="123">
        <v>2.1283333333333331E-2</v>
      </c>
      <c r="G651" s="46">
        <v>8411455696.2025309</v>
      </c>
      <c r="H651" s="46">
        <v>10839466000</v>
      </c>
      <c r="I651" s="56">
        <v>0.77600277506313786</v>
      </c>
      <c r="J651" s="125">
        <v>16.242788254542322</v>
      </c>
    </row>
    <row r="652" spans="1:10">
      <c r="A652" s="55">
        <v>6105</v>
      </c>
      <c r="B652" s="45">
        <v>1.4</v>
      </c>
      <c r="C652" s="123">
        <v>0.23809523809523808</v>
      </c>
      <c r="D652" s="121">
        <v>103571428.57142858</v>
      </c>
      <c r="E652" s="241">
        <v>0.28999999999999998</v>
      </c>
      <c r="F652" s="123">
        <v>1.1249999999999964E-3</v>
      </c>
      <c r="G652" s="46">
        <v>4412142857.1428576</v>
      </c>
      <c r="H652" s="46">
        <v>5671534000</v>
      </c>
      <c r="I652" s="56">
        <v>0.77794523618175571</v>
      </c>
      <c r="J652" s="125">
        <v>31.950000000000003</v>
      </c>
    </row>
    <row r="653" spans="1:10">
      <c r="A653" s="55">
        <v>5353</v>
      </c>
      <c r="B653" s="45">
        <v>0.25</v>
      </c>
      <c r="C653" s="123">
        <v>0</v>
      </c>
      <c r="D653" s="121">
        <v>88000000</v>
      </c>
      <c r="E653" s="241">
        <v>0.21</v>
      </c>
      <c r="F653" s="123">
        <v>2.2891666666666671E-2</v>
      </c>
      <c r="G653" s="46">
        <v>836880000</v>
      </c>
      <c r="H653" s="46">
        <v>1074036000</v>
      </c>
      <c r="I653" s="56">
        <v>0.77919175893545467</v>
      </c>
      <c r="J653" s="125">
        <v>0</v>
      </c>
    </row>
    <row r="654" spans="1:10">
      <c r="A654" s="55">
        <v>5706</v>
      </c>
      <c r="B654" s="45">
        <v>1.33</v>
      </c>
      <c r="C654" s="123">
        <v>0.59375</v>
      </c>
      <c r="D654" s="121">
        <v>62406015.037593983</v>
      </c>
      <c r="E654" s="241">
        <v>0.13</v>
      </c>
      <c r="F654" s="123">
        <v>0.14858333333333332</v>
      </c>
      <c r="G654" s="46">
        <v>2315263157.8947368</v>
      </c>
      <c r="H654" s="46">
        <v>2970414000</v>
      </c>
      <c r="I654" s="56">
        <v>0.77944123542871024</v>
      </c>
      <c r="J654" s="125">
        <v>11.745152354570637</v>
      </c>
    </row>
    <row r="655" spans="1:10">
      <c r="A655" s="55">
        <v>4960</v>
      </c>
      <c r="B655" s="45">
        <v>0.61</v>
      </c>
      <c r="C655" s="123">
        <v>0.47940074906367042</v>
      </c>
      <c r="D655" s="121">
        <v>519672131.14754099</v>
      </c>
      <c r="E655" s="241">
        <v>0.1</v>
      </c>
      <c r="F655" s="123">
        <v>-7.308333333333329E-3</v>
      </c>
      <c r="G655" s="46">
        <v>9951721311.4754086</v>
      </c>
      <c r="H655" s="46">
        <v>12747295000</v>
      </c>
      <c r="I655" s="56">
        <v>0.78069279101765576</v>
      </c>
      <c r="J655" s="125">
        <v>16.371189805327866</v>
      </c>
    </row>
    <row r="656" spans="1:10">
      <c r="A656" s="55">
        <v>8908</v>
      </c>
      <c r="B656" s="45">
        <v>0.26</v>
      </c>
      <c r="C656" s="123">
        <v>1</v>
      </c>
      <c r="D656" s="121">
        <v>134615384.61538461</v>
      </c>
      <c r="E656" s="241">
        <v>0.05</v>
      </c>
      <c r="F656" s="123">
        <v>-7.0333333333333333E-3</v>
      </c>
      <c r="G656" s="46">
        <v>4193269230.7692304</v>
      </c>
      <c r="H656" s="46">
        <v>5366333000</v>
      </c>
      <c r="I656" s="56">
        <v>0.78140309793843032</v>
      </c>
      <c r="J656" s="125">
        <v>29.951923076923073</v>
      </c>
    </row>
    <row r="657" spans="1:11">
      <c r="A657" s="55">
        <v>5349</v>
      </c>
      <c r="B657" s="45">
        <v>0.45</v>
      </c>
      <c r="C657" s="123">
        <v>0.89686098654708524</v>
      </c>
      <c r="D657" s="121">
        <v>215555555.55555555</v>
      </c>
      <c r="E657" s="241">
        <v>0.14000000000000001</v>
      </c>
      <c r="F657" s="123">
        <v>-1.7583333333333329E-2</v>
      </c>
      <c r="G657" s="46">
        <v>6067888888.8888884</v>
      </c>
      <c r="H657" s="46">
        <v>7753065000</v>
      </c>
      <c r="I657" s="56">
        <v>0.78264388198588408</v>
      </c>
      <c r="J657" s="125">
        <v>17.437361111111109</v>
      </c>
    </row>
    <row r="658" spans="1:11">
      <c r="A658" s="55">
        <v>2401</v>
      </c>
      <c r="B658" s="114">
        <v>-0.51</v>
      </c>
      <c r="C658" s="122">
        <v>0</v>
      </c>
      <c r="D658" s="116">
        <v>584313725.49019611</v>
      </c>
      <c r="E658" s="241">
        <v>0.4</v>
      </c>
      <c r="F658" s="122">
        <v>3.9549999999999995E-2</v>
      </c>
      <c r="G658" s="116">
        <v>6631960784.3137255</v>
      </c>
      <c r="H658" s="116">
        <v>8465833000</v>
      </c>
      <c r="I658" s="114">
        <v>0.78337958997227153</v>
      </c>
      <c r="J658" s="116">
        <v>0</v>
      </c>
    </row>
    <row r="659" spans="1:11">
      <c r="A659" s="55">
        <v>6244</v>
      </c>
      <c r="B659" s="45">
        <v>0.09</v>
      </c>
      <c r="C659" s="123">
        <v>0.96626984126984128</v>
      </c>
      <c r="D659" s="121">
        <v>500000000</v>
      </c>
      <c r="E659" s="241">
        <v>7.0000000000000007E-2</v>
      </c>
      <c r="F659" s="123">
        <v>6.8075000000000011E-2</v>
      </c>
      <c r="G659" s="46">
        <v>19400000000</v>
      </c>
      <c r="H659" s="46">
        <v>24754154000</v>
      </c>
      <c r="I659" s="56">
        <v>0.78370684774765476</v>
      </c>
      <c r="J659" s="125">
        <v>50</v>
      </c>
    </row>
    <row r="660" spans="1:11">
      <c r="A660" s="55">
        <v>3484</v>
      </c>
      <c r="B660" s="119">
        <v>0.78</v>
      </c>
      <c r="C660" s="122">
        <v>0.81481481481481477</v>
      </c>
      <c r="D660" s="120">
        <v>64102564.102564104</v>
      </c>
      <c r="E660" s="241">
        <v>0.23</v>
      </c>
      <c r="F660" s="122">
        <v>1.9458333333333338E-2</v>
      </c>
      <c r="G660" s="120">
        <v>2570512820.5128207</v>
      </c>
      <c r="H660" s="120">
        <v>3273653000</v>
      </c>
      <c r="I660" s="119">
        <v>0.78521236689191576</v>
      </c>
      <c r="J660" s="120">
        <v>15.7736013986014</v>
      </c>
    </row>
    <row r="661" spans="1:11">
      <c r="A661" s="55">
        <v>3628</v>
      </c>
      <c r="B661" s="114">
        <v>0.65</v>
      </c>
      <c r="C661" s="122">
        <v>0.66249999999999998</v>
      </c>
      <c r="D661" s="116">
        <v>44615384.615384616</v>
      </c>
      <c r="E661" s="241">
        <v>0.2</v>
      </c>
      <c r="F661" s="122">
        <v>2.429166666666667E-2</v>
      </c>
      <c r="G661" s="116">
        <v>2163846153.8461537</v>
      </c>
      <c r="H661" s="116">
        <v>2749988000</v>
      </c>
      <c r="I661" s="114">
        <v>0.78685658040913409</v>
      </c>
      <c r="J661" s="116">
        <v>28.156748911465893</v>
      </c>
      <c r="K661" s="26"/>
    </row>
    <row r="662" spans="1:11">
      <c r="A662" s="55">
        <v>2204</v>
      </c>
      <c r="B662" s="114">
        <v>0.51</v>
      </c>
      <c r="C662" s="122">
        <v>0.48193508879363134</v>
      </c>
      <c r="D662" s="116">
        <v>1372549019.6078432</v>
      </c>
      <c r="E662" s="241">
        <v>0.19</v>
      </c>
      <c r="F662" s="122">
        <v>6.4808333333333343E-2</v>
      </c>
      <c r="G662" s="116">
        <v>29029411764.705879</v>
      </c>
      <c r="H662" s="116">
        <v>36884916000</v>
      </c>
      <c r="I662" s="114">
        <v>0.78702664700946801</v>
      </c>
      <c r="J662" s="116">
        <v>21.512538306300918</v>
      </c>
    </row>
    <row r="663" spans="1:11">
      <c r="A663" s="55">
        <v>2104</v>
      </c>
      <c r="B663" s="114">
        <v>0.57999999999999996</v>
      </c>
      <c r="C663" s="122">
        <v>0.9452054794520548</v>
      </c>
      <c r="D663" s="116">
        <v>582758620.68965518</v>
      </c>
      <c r="E663" s="241">
        <v>0.22</v>
      </c>
      <c r="F663" s="122">
        <v>-1.5575E-2</v>
      </c>
      <c r="G663" s="116">
        <v>13316034482.758621</v>
      </c>
      <c r="H663" s="116">
        <v>16845164000</v>
      </c>
      <c r="I663" s="114">
        <v>0.79049598346199668</v>
      </c>
      <c r="J663" s="116">
        <v>10.420102448775612</v>
      </c>
    </row>
    <row r="664" spans="1:11">
      <c r="A664" s="55">
        <v>1618</v>
      </c>
      <c r="B664" s="114">
        <v>0.14000000000000001</v>
      </c>
      <c r="C664" s="122">
        <v>0</v>
      </c>
      <c r="D664" s="116">
        <v>242857142.85714284</v>
      </c>
      <c r="E664" s="241">
        <v>0.09</v>
      </c>
      <c r="F664" s="122">
        <v>0.36253333333333337</v>
      </c>
      <c r="G664" s="116">
        <v>1831142857.1428571</v>
      </c>
      <c r="H664" s="116">
        <v>2314420000</v>
      </c>
      <c r="I664" s="114">
        <v>0.7911886594234655</v>
      </c>
      <c r="J664" s="116">
        <v>0</v>
      </c>
    </row>
    <row r="665" spans="1:11">
      <c r="A665" s="55">
        <v>4430</v>
      </c>
      <c r="B665" s="45">
        <v>0.51</v>
      </c>
      <c r="C665" s="123">
        <v>0.31944444444444442</v>
      </c>
      <c r="D665" s="121">
        <v>56862745.098039217</v>
      </c>
      <c r="E665" s="241">
        <v>0.23</v>
      </c>
      <c r="F665" s="123">
        <v>4.5166666666666662E-3</v>
      </c>
      <c r="G665" s="46">
        <v>1518235294.1176472</v>
      </c>
      <c r="H665" s="46">
        <v>1918421000</v>
      </c>
      <c r="I665" s="56">
        <v>0.79139839175949767</v>
      </c>
      <c r="J665" s="125">
        <v>40.971867007672635</v>
      </c>
    </row>
    <row r="666" spans="1:11">
      <c r="A666" s="55">
        <v>8349</v>
      </c>
      <c r="B666" s="45">
        <v>1.39</v>
      </c>
      <c r="C666" s="123">
        <v>0.81949458483754511</v>
      </c>
      <c r="D666" s="121">
        <v>91366906.474820152</v>
      </c>
      <c r="E666" s="241">
        <v>0.22</v>
      </c>
      <c r="F666" s="123">
        <v>1.9991666666666658E-2</v>
      </c>
      <c r="G666" s="46">
        <v>7674820143.8848925</v>
      </c>
      <c r="H666" s="46">
        <v>9676288000</v>
      </c>
      <c r="I666" s="56">
        <v>0.79315747359781896</v>
      </c>
      <c r="J666" s="125">
        <v>18.435647957405003</v>
      </c>
    </row>
    <row r="667" spans="1:11">
      <c r="A667" s="55">
        <v>3006</v>
      </c>
      <c r="B667" s="114">
        <v>0.59</v>
      </c>
      <c r="C667" s="122">
        <v>0.27411167512690354</v>
      </c>
      <c r="D667" s="116">
        <v>266101694.91525427</v>
      </c>
      <c r="E667" s="241">
        <v>0.12</v>
      </c>
      <c r="F667" s="122">
        <v>1.1833333333333359E-3</v>
      </c>
      <c r="G667" s="116">
        <v>7357711864.4067802</v>
      </c>
      <c r="H667" s="116">
        <v>9266151000</v>
      </c>
      <c r="I667" s="114">
        <v>0.79404186964002421</v>
      </c>
      <c r="J667" s="116">
        <v>42.742074701820464</v>
      </c>
    </row>
    <row r="668" spans="1:11">
      <c r="A668" s="55">
        <v>4706</v>
      </c>
      <c r="B668" s="45">
        <v>0.44</v>
      </c>
      <c r="C668" s="123">
        <v>0.98</v>
      </c>
      <c r="D668" s="121">
        <v>77272727.272727266</v>
      </c>
      <c r="E668" s="241">
        <v>0.23</v>
      </c>
      <c r="F668" s="123">
        <v>4.3083333333333342E-2</v>
      </c>
      <c r="G668" s="46">
        <v>1197727272.7272725</v>
      </c>
      <c r="H668" s="46">
        <v>1505780000</v>
      </c>
      <c r="I668" s="56">
        <v>0.79541983073707478</v>
      </c>
      <c r="J668" s="125">
        <v>8.9865491651205947</v>
      </c>
    </row>
    <row r="669" spans="1:11">
      <c r="A669" s="55">
        <v>5355</v>
      </c>
      <c r="B669" s="45">
        <v>0.12</v>
      </c>
      <c r="C669" s="123">
        <v>0</v>
      </c>
      <c r="D669" s="121">
        <v>175000000</v>
      </c>
      <c r="E669" s="241">
        <v>0.13</v>
      </c>
      <c r="F669" s="123">
        <v>-2.5858333333333327E-2</v>
      </c>
      <c r="G669" s="46">
        <v>1085000000</v>
      </c>
      <c r="H669" s="46">
        <v>1362792000</v>
      </c>
      <c r="I669" s="56">
        <v>0.79615964872115486</v>
      </c>
      <c r="J669" s="125">
        <v>0</v>
      </c>
    </row>
    <row r="670" spans="1:11">
      <c r="A670" s="55">
        <v>8420</v>
      </c>
      <c r="B670" s="45">
        <v>0.62</v>
      </c>
      <c r="C670" s="123">
        <v>0.84848484848484851</v>
      </c>
      <c r="D670" s="121">
        <v>50000000</v>
      </c>
      <c r="E670" s="241">
        <v>0.16</v>
      </c>
      <c r="F670" s="123">
        <v>2.2299999999999997E-2</v>
      </c>
      <c r="G670" s="46">
        <v>1015000000</v>
      </c>
      <c r="H670" s="46">
        <v>1273742000</v>
      </c>
      <c r="I670" s="56">
        <v>0.7968646711814481</v>
      </c>
      <c r="J670" s="125">
        <v>9.6471774193548381</v>
      </c>
    </row>
    <row r="671" spans="1:11">
      <c r="A671" s="55">
        <v>3511</v>
      </c>
      <c r="B671" s="114">
        <v>1.01</v>
      </c>
      <c r="C671" s="122">
        <v>0.73170731707317072</v>
      </c>
      <c r="D671" s="116">
        <v>39603960.396039605</v>
      </c>
      <c r="E671" s="241">
        <v>0.32</v>
      </c>
      <c r="F671" s="122">
        <v>3.1074999999999992E-2</v>
      </c>
      <c r="G671" s="116">
        <v>918811881.18811882</v>
      </c>
      <c r="H671" s="116">
        <v>1152922000</v>
      </c>
      <c r="I671" s="114">
        <v>0.79694192771767636</v>
      </c>
      <c r="J671" s="116">
        <v>7.8481848184818483</v>
      </c>
    </row>
    <row r="672" spans="1:11">
      <c r="A672" s="55">
        <v>8266</v>
      </c>
      <c r="B672" s="45">
        <v>-0.53</v>
      </c>
      <c r="C672" s="123">
        <v>0.51639344262295084</v>
      </c>
      <c r="D672" s="121">
        <v>100000000</v>
      </c>
      <c r="E672" s="241">
        <v>0.15</v>
      </c>
      <c r="F672" s="123">
        <v>0.53749166666666659</v>
      </c>
      <c r="G672" s="46">
        <v>2455000000</v>
      </c>
      <c r="H672" s="46">
        <v>3079247000</v>
      </c>
      <c r="I672" s="56">
        <v>0.79727283975595331</v>
      </c>
      <c r="J672" s="125">
        <v>0</v>
      </c>
    </row>
    <row r="673" spans="1:10">
      <c r="A673" s="55">
        <v>4714</v>
      </c>
      <c r="B673" s="45">
        <v>7.0000000000000007E-2</v>
      </c>
      <c r="C673" s="123">
        <v>1</v>
      </c>
      <c r="D673" s="121">
        <v>71428571.428571418</v>
      </c>
      <c r="E673" s="241">
        <v>0.18</v>
      </c>
      <c r="F673" s="123">
        <v>1.1433333333333342E-2</v>
      </c>
      <c r="G673" s="46">
        <v>580714285.71428573</v>
      </c>
      <c r="H673" s="46">
        <v>724727000</v>
      </c>
      <c r="I673" s="56">
        <v>0.80128694765654618</v>
      </c>
      <c r="J673" s="125">
        <v>29.035714285714285</v>
      </c>
    </row>
    <row r="674" spans="1:10">
      <c r="A674" s="55">
        <v>3516</v>
      </c>
      <c r="B674" s="114">
        <v>0.97</v>
      </c>
      <c r="C674" s="122">
        <v>0</v>
      </c>
      <c r="D674" s="116">
        <v>71134020.618556708</v>
      </c>
      <c r="E674" s="241">
        <v>0.06</v>
      </c>
      <c r="F674" s="122">
        <v>4.3083333333333307E-3</v>
      </c>
      <c r="G674" s="116">
        <v>574762886.59793818</v>
      </c>
      <c r="H674" s="116">
        <v>716227000</v>
      </c>
      <c r="I674" s="114">
        <v>0.8024870419544895</v>
      </c>
      <c r="J674" s="116">
        <v>0</v>
      </c>
    </row>
    <row r="675" spans="1:10">
      <c r="A675" s="55">
        <v>5520</v>
      </c>
      <c r="B675" s="45">
        <v>0.49</v>
      </c>
      <c r="C675" s="123">
        <v>0.58536585365853655</v>
      </c>
      <c r="D675" s="121">
        <v>71428571.428571433</v>
      </c>
      <c r="E675" s="241">
        <v>0.09</v>
      </c>
      <c r="F675" s="123">
        <v>2.2916666666666665E-2</v>
      </c>
      <c r="G675" s="46">
        <v>1857142857.1428573</v>
      </c>
      <c r="H675" s="46">
        <v>2309454000</v>
      </c>
      <c r="I675" s="56">
        <v>0.80414801816483783</v>
      </c>
      <c r="J675" s="125">
        <v>22.661564625850342</v>
      </c>
    </row>
    <row r="676" spans="1:10">
      <c r="A676" s="55">
        <v>4721</v>
      </c>
      <c r="B676" s="45">
        <v>0.85</v>
      </c>
      <c r="C676" s="123">
        <v>0.36363636363636365</v>
      </c>
      <c r="D676" s="121">
        <v>75294117.64705883</v>
      </c>
      <c r="E676" s="241">
        <v>0.15</v>
      </c>
      <c r="F676" s="123">
        <v>1.3133333333333335E-2</v>
      </c>
      <c r="G676" s="46">
        <v>1641411764.7058825</v>
      </c>
      <c r="H676" s="46">
        <v>2034881000</v>
      </c>
      <c r="I676" s="56">
        <v>0.80663771724532418</v>
      </c>
      <c r="J676" s="125">
        <v>17.632352941176471</v>
      </c>
    </row>
    <row r="677" spans="1:10">
      <c r="A677" s="55">
        <v>2437</v>
      </c>
      <c r="B677" s="114">
        <v>1.64</v>
      </c>
      <c r="C677" s="122">
        <v>0.95260663507109</v>
      </c>
      <c r="D677" s="116">
        <v>66463414.634146348</v>
      </c>
      <c r="E677" s="241">
        <v>0.25</v>
      </c>
      <c r="F677" s="122">
        <v>4.6250000000000006E-3</v>
      </c>
      <c r="G677" s="116">
        <v>3283292682.9268293</v>
      </c>
      <c r="H677" s="116">
        <v>4066274000</v>
      </c>
      <c r="I677" s="114">
        <v>0.80744501795177337</v>
      </c>
      <c r="J677" s="116">
        <v>7.9051389394490972</v>
      </c>
    </row>
    <row r="678" spans="1:10">
      <c r="A678" s="55">
        <v>5234</v>
      </c>
      <c r="B678" s="45">
        <v>0.71</v>
      </c>
      <c r="C678" s="123">
        <v>0.97674418604651159</v>
      </c>
      <c r="D678" s="121">
        <v>92957746.478873238</v>
      </c>
      <c r="E678" s="241">
        <v>0.25</v>
      </c>
      <c r="F678" s="123">
        <v>-3.7416666666666661E-3</v>
      </c>
      <c r="G678" s="46">
        <v>2728309859.1549296</v>
      </c>
      <c r="H678" s="46">
        <v>3378109000</v>
      </c>
      <c r="I678" s="56">
        <v>0.80764411662114211</v>
      </c>
      <c r="J678" s="125">
        <v>10.580566733735751</v>
      </c>
    </row>
    <row r="679" spans="1:10">
      <c r="A679" s="55">
        <v>5383</v>
      </c>
      <c r="B679" s="45">
        <v>-0.35</v>
      </c>
      <c r="C679" s="123">
        <v>1</v>
      </c>
      <c r="D679" s="121">
        <v>71428571.428571433</v>
      </c>
      <c r="E679" s="241">
        <v>0.01</v>
      </c>
      <c r="F679" s="123">
        <v>-1.0916666666666644E-3</v>
      </c>
      <c r="G679" s="46">
        <v>687857142.85714293</v>
      </c>
      <c r="H679" s="46">
        <v>851427000</v>
      </c>
      <c r="I679" s="56">
        <v>0.80788739710761215</v>
      </c>
      <c r="J679" s="125">
        <v>0</v>
      </c>
    </row>
    <row r="680" spans="1:10">
      <c r="A680" s="55">
        <v>5328</v>
      </c>
      <c r="B680" s="45">
        <v>0.27</v>
      </c>
      <c r="C680" s="123">
        <v>0</v>
      </c>
      <c r="D680" s="121">
        <v>181481481.48148146</v>
      </c>
      <c r="E680" s="241">
        <v>0.16</v>
      </c>
      <c r="F680" s="123">
        <v>1.9616666666666661E-2</v>
      </c>
      <c r="G680" s="46">
        <v>856592592.59259248</v>
      </c>
      <c r="H680" s="46">
        <v>1060083000</v>
      </c>
      <c r="I680" s="56">
        <v>0.80804294813952537</v>
      </c>
      <c r="J680" s="125">
        <v>0</v>
      </c>
    </row>
    <row r="681" spans="1:10">
      <c r="A681" s="55">
        <v>4429</v>
      </c>
      <c r="B681" s="45">
        <v>0.53</v>
      </c>
      <c r="C681" s="123">
        <v>0.92592592592592593</v>
      </c>
      <c r="D681" s="121">
        <v>33962264.150943391</v>
      </c>
      <c r="E681" s="241">
        <v>0.24</v>
      </c>
      <c r="F681" s="123">
        <v>3.0424999999999994E-2</v>
      </c>
      <c r="G681" s="46">
        <v>774339622.64150929</v>
      </c>
      <c r="H681" s="46">
        <v>957437000</v>
      </c>
      <c r="I681" s="56">
        <v>0.80876300230877785</v>
      </c>
      <c r="J681" s="125">
        <v>11.615094339622642</v>
      </c>
    </row>
    <row r="682" spans="1:10">
      <c r="A682" s="55">
        <v>3646</v>
      </c>
      <c r="B682" s="114">
        <v>0.56999999999999995</v>
      </c>
      <c r="C682" s="122">
        <v>0</v>
      </c>
      <c r="D682" s="116">
        <v>38596491.228070177</v>
      </c>
      <c r="E682" s="241">
        <v>0.26</v>
      </c>
      <c r="F682" s="122">
        <v>-1.3999999999999985E-3</v>
      </c>
      <c r="G682" s="116">
        <v>467017543.85964912</v>
      </c>
      <c r="H682" s="116">
        <v>577213000</v>
      </c>
      <c r="I682" s="114">
        <v>0.80909048108696291</v>
      </c>
      <c r="J682" s="116">
        <v>0</v>
      </c>
    </row>
    <row r="683" spans="1:10">
      <c r="A683" s="55">
        <v>1460</v>
      </c>
      <c r="B683" s="114">
        <v>0.21</v>
      </c>
      <c r="C683" s="122">
        <v>0.97468354430379744</v>
      </c>
      <c r="D683" s="116">
        <v>433333333.33333337</v>
      </c>
      <c r="E683" s="241">
        <v>0.18</v>
      </c>
      <c r="F683" s="122">
        <v>6.1666666666666738E-4</v>
      </c>
      <c r="G683" s="116">
        <v>6630000000.000001</v>
      </c>
      <c r="H683" s="116">
        <v>8191075000</v>
      </c>
      <c r="I683" s="114">
        <v>0.80941756729122871</v>
      </c>
      <c r="J683" s="116">
        <v>18.687384044526905</v>
      </c>
    </row>
    <row r="684" spans="1:10">
      <c r="A684" s="55">
        <v>8040</v>
      </c>
      <c r="B684" s="45">
        <v>-0.26</v>
      </c>
      <c r="C684" s="123">
        <v>1</v>
      </c>
      <c r="D684" s="121">
        <v>80769230.769230768</v>
      </c>
      <c r="E684" s="241">
        <v>0.32</v>
      </c>
      <c r="F684" s="123">
        <v>5.7608333333333345E-2</v>
      </c>
      <c r="G684" s="46">
        <v>599307692.30769229</v>
      </c>
      <c r="H684" s="46">
        <v>734950000</v>
      </c>
      <c r="I684" s="56">
        <v>0.81544008749941121</v>
      </c>
      <c r="J684" s="125">
        <v>0</v>
      </c>
    </row>
    <row r="685" spans="1:10">
      <c r="A685" s="55">
        <v>4154</v>
      </c>
      <c r="B685" s="45">
        <v>-0.5</v>
      </c>
      <c r="C685" s="123">
        <v>0</v>
      </c>
      <c r="D685" s="121">
        <v>20000000</v>
      </c>
      <c r="E685" s="241">
        <v>0.71</v>
      </c>
      <c r="F685" s="123">
        <v>-6.7666666666666665E-3</v>
      </c>
      <c r="G685" s="46">
        <v>404000000</v>
      </c>
      <c r="H685" s="46">
        <v>493989000</v>
      </c>
      <c r="I685" s="56">
        <v>0.81783197601566027</v>
      </c>
      <c r="J685" s="125">
        <v>0</v>
      </c>
    </row>
    <row r="686" spans="1:10">
      <c r="A686" s="55">
        <v>3576</v>
      </c>
      <c r="B686" s="114">
        <v>-0.42</v>
      </c>
      <c r="C686" s="122">
        <v>0.88475177304964536</v>
      </c>
      <c r="D686" s="116">
        <v>859523809.52380955</v>
      </c>
      <c r="E686" s="241">
        <v>0.05</v>
      </c>
      <c r="F686" s="122">
        <v>1.7858333333333337E-2</v>
      </c>
      <c r="G686" s="116">
        <v>18178928571.42857</v>
      </c>
      <c r="H686" s="116">
        <v>22215079000</v>
      </c>
      <c r="I686" s="114">
        <v>0.81831482892446927</v>
      </c>
      <c r="J686" s="116">
        <v>0</v>
      </c>
    </row>
    <row r="687" spans="1:10">
      <c r="A687" s="55">
        <v>6127</v>
      </c>
      <c r="B687" s="45">
        <v>0.03</v>
      </c>
      <c r="C687" s="123">
        <v>1</v>
      </c>
      <c r="D687" s="121">
        <v>100000000</v>
      </c>
      <c r="E687" s="241">
        <v>0.24</v>
      </c>
      <c r="F687" s="123">
        <v>1.855833333333334E-2</v>
      </c>
      <c r="G687" s="46">
        <v>877999999.99999988</v>
      </c>
      <c r="H687" s="46">
        <v>1072591000</v>
      </c>
      <c r="I687" s="56">
        <v>0.81857856349717639</v>
      </c>
      <c r="J687" s="125">
        <v>50</v>
      </c>
    </row>
    <row r="688" spans="1:10">
      <c r="A688" s="55">
        <v>4934</v>
      </c>
      <c r="B688" s="45">
        <v>0.41</v>
      </c>
      <c r="C688" s="123">
        <v>0.69072164948453607</v>
      </c>
      <c r="D688" s="121">
        <v>317073170.73170733</v>
      </c>
      <c r="E688" s="241">
        <v>0.08</v>
      </c>
      <c r="F688" s="123">
        <v>5.7833333333333327E-2</v>
      </c>
      <c r="G688" s="46">
        <v>6436585365.8536587</v>
      </c>
      <c r="H688" s="46">
        <v>7825337000</v>
      </c>
      <c r="I688" s="56">
        <v>0.8225313958815651</v>
      </c>
      <c r="J688" s="125">
        <v>17.920458682198763</v>
      </c>
    </row>
    <row r="689" spans="1:10">
      <c r="A689" s="55">
        <v>3325</v>
      </c>
      <c r="B689" s="114">
        <v>0.04</v>
      </c>
      <c r="C689" s="122">
        <v>0</v>
      </c>
      <c r="D689" s="116">
        <v>75000000</v>
      </c>
      <c r="E689" s="241">
        <v>0.12</v>
      </c>
      <c r="F689" s="122">
        <v>5.7450000000000001E-2</v>
      </c>
      <c r="G689" s="116">
        <v>1132500000</v>
      </c>
      <c r="H689" s="116">
        <v>1375864000</v>
      </c>
      <c r="I689" s="114">
        <v>0.82311914549693865</v>
      </c>
      <c r="J689" s="116">
        <v>0</v>
      </c>
    </row>
    <row r="690" spans="1:10">
      <c r="A690" s="55">
        <v>4712</v>
      </c>
      <c r="B690" s="45">
        <v>-7.0000000000000007E-2</v>
      </c>
      <c r="C690" s="123">
        <v>1</v>
      </c>
      <c r="D690" s="121">
        <v>99999999.999999985</v>
      </c>
      <c r="E690" s="241">
        <v>0</v>
      </c>
      <c r="F690" s="123">
        <v>-5.1524999999999994E-2</v>
      </c>
      <c r="G690" s="46">
        <v>869999999.99999976</v>
      </c>
      <c r="H690" s="46">
        <v>1050570000</v>
      </c>
      <c r="I690" s="56">
        <v>0.82812187669550796</v>
      </c>
      <c r="J690" s="125">
        <v>0</v>
      </c>
    </row>
    <row r="691" spans="1:10">
      <c r="A691" s="55">
        <v>3669</v>
      </c>
      <c r="B691" s="114">
        <v>0.21</v>
      </c>
      <c r="C691" s="122">
        <v>0.05</v>
      </c>
      <c r="D691" s="116">
        <v>90476190.476190478</v>
      </c>
      <c r="E691" s="241">
        <v>0.44</v>
      </c>
      <c r="F691" s="122">
        <v>3.2158333333333324E-2</v>
      </c>
      <c r="G691" s="116">
        <v>1343571428.5714285</v>
      </c>
      <c r="H691" s="116">
        <v>1619606000</v>
      </c>
      <c r="I691" s="114">
        <v>0.82956683821338562</v>
      </c>
      <c r="J691" s="116">
        <v>50</v>
      </c>
    </row>
    <row r="692" spans="1:10">
      <c r="A692" s="55">
        <v>2439</v>
      </c>
      <c r="B692" s="114">
        <v>1.38</v>
      </c>
      <c r="C692" s="122">
        <v>0.85512367491166075</v>
      </c>
      <c r="D692" s="116">
        <v>184782608.69565219</v>
      </c>
      <c r="E692" s="241">
        <v>0.2</v>
      </c>
      <c r="F692" s="122">
        <v>2.0641666666666666E-2</v>
      </c>
      <c r="G692" s="116">
        <v>10181521739.130436</v>
      </c>
      <c r="H692" s="116">
        <v>12238271000</v>
      </c>
      <c r="I692" s="114">
        <v>0.83194118998757549</v>
      </c>
      <c r="J692" s="116">
        <v>11.673029704156187</v>
      </c>
    </row>
    <row r="693" spans="1:10">
      <c r="A693" s="55">
        <v>2393</v>
      </c>
      <c r="B693" s="114">
        <v>0.96</v>
      </c>
      <c r="C693" s="122">
        <v>0.8559670781893004</v>
      </c>
      <c r="D693" s="116">
        <v>431250000</v>
      </c>
      <c r="E693" s="241">
        <v>0.23</v>
      </c>
      <c r="F693" s="122">
        <v>1.9333333333333362E-3</v>
      </c>
      <c r="G693" s="116">
        <v>23977500000</v>
      </c>
      <c r="H693" s="116">
        <v>28819103000</v>
      </c>
      <c r="I693" s="114">
        <v>0.83200021874379648</v>
      </c>
      <c r="J693" s="116">
        <v>16.915564903846157</v>
      </c>
    </row>
    <row r="694" spans="1:10">
      <c r="A694" s="55">
        <v>3466</v>
      </c>
      <c r="B694" s="114">
        <v>0.42</v>
      </c>
      <c r="C694" s="122">
        <v>0</v>
      </c>
      <c r="D694" s="116">
        <v>61904761.90476191</v>
      </c>
      <c r="E694" s="241">
        <v>0.18</v>
      </c>
      <c r="F694" s="122">
        <v>1.9591666666666663E-2</v>
      </c>
      <c r="G694" s="116">
        <v>1272142857.1428573</v>
      </c>
      <c r="H694" s="116">
        <v>1528070000</v>
      </c>
      <c r="I694" s="114">
        <v>0.83251608705285574</v>
      </c>
      <c r="J694" s="116">
        <v>0</v>
      </c>
    </row>
    <row r="695" spans="1:10">
      <c r="A695" s="55">
        <v>3306</v>
      </c>
      <c r="B695" s="114">
        <v>0.3</v>
      </c>
      <c r="C695" s="122">
        <v>0.1111111111111111</v>
      </c>
      <c r="D695" s="116">
        <v>50000000</v>
      </c>
      <c r="E695" s="241">
        <v>0.24</v>
      </c>
      <c r="F695" s="122">
        <v>-6.9749999999999994E-3</v>
      </c>
      <c r="G695" s="116">
        <v>1087500000</v>
      </c>
      <c r="H695" s="116">
        <v>1304711000</v>
      </c>
      <c r="I695" s="114">
        <v>0.83351792082691112</v>
      </c>
      <c r="J695" s="116">
        <v>50</v>
      </c>
    </row>
    <row r="696" spans="1:10">
      <c r="A696" s="55">
        <v>3078</v>
      </c>
      <c r="B696" s="114">
        <v>0.83</v>
      </c>
      <c r="C696" s="122">
        <v>0.61851851851851847</v>
      </c>
      <c r="D696" s="116">
        <v>227710843.373494</v>
      </c>
      <c r="E696" s="241">
        <v>0.2</v>
      </c>
      <c r="F696" s="122">
        <v>5.8316666666666676E-2</v>
      </c>
      <c r="G696" s="116">
        <v>4861626506.0240974</v>
      </c>
      <c r="H696" s="116">
        <v>5831901000</v>
      </c>
      <c r="I696" s="114">
        <v>0.83362637774957038</v>
      </c>
      <c r="J696" s="116">
        <v>10.396977130077198</v>
      </c>
    </row>
    <row r="697" spans="1:10">
      <c r="A697" s="55">
        <v>3514</v>
      </c>
      <c r="B697" s="114">
        <v>0.32</v>
      </c>
      <c r="C697" s="122">
        <v>0.26424870466321243</v>
      </c>
      <c r="D697" s="116">
        <v>434375000</v>
      </c>
      <c r="E697" s="241">
        <v>0.1</v>
      </c>
      <c r="F697" s="122">
        <v>2.3000000000000003E-2</v>
      </c>
      <c r="G697" s="116">
        <v>13139843750</v>
      </c>
      <c r="H697" s="116">
        <v>15747635000</v>
      </c>
      <c r="I697" s="114">
        <v>0.8344010862583493</v>
      </c>
      <c r="J697" s="116">
        <v>50</v>
      </c>
    </row>
    <row r="698" spans="1:10">
      <c r="A698" s="55">
        <v>3027</v>
      </c>
      <c r="B698" s="114">
        <v>0.13</v>
      </c>
      <c r="C698" s="122">
        <v>0</v>
      </c>
      <c r="D698" s="116">
        <v>92307692.307692304</v>
      </c>
      <c r="E698" s="241">
        <v>0.25</v>
      </c>
      <c r="F698" s="122">
        <v>4.929999999999999E-2</v>
      </c>
      <c r="G698" s="116">
        <v>1130769230.7692308</v>
      </c>
      <c r="H698" s="116">
        <v>1354717000</v>
      </c>
      <c r="I698" s="114">
        <v>0.83469036763341042</v>
      </c>
      <c r="J698" s="116">
        <v>0</v>
      </c>
    </row>
    <row r="699" spans="1:10">
      <c r="A699" s="55">
        <v>2476</v>
      </c>
      <c r="B699" s="114">
        <v>0.77</v>
      </c>
      <c r="C699" s="122">
        <v>0.56561085972850678</v>
      </c>
      <c r="D699" s="116">
        <v>180519480.51948053</v>
      </c>
      <c r="E699" s="241">
        <v>0.28999999999999998</v>
      </c>
      <c r="F699" s="122">
        <v>7.5166666666666637E-3</v>
      </c>
      <c r="G699" s="116">
        <v>3971428571.4285717</v>
      </c>
      <c r="H699" s="116">
        <v>4745828000</v>
      </c>
      <c r="I699" s="114">
        <v>0.83682522236974699</v>
      </c>
      <c r="J699" s="116">
        <v>12.628571428571428</v>
      </c>
    </row>
    <row r="700" spans="1:10">
      <c r="A700" s="55">
        <v>5483</v>
      </c>
      <c r="B700" s="45">
        <v>0.5</v>
      </c>
      <c r="C700" s="123">
        <v>0.97241379310344822</v>
      </c>
      <c r="D700" s="121">
        <v>584000000</v>
      </c>
      <c r="E700" s="241">
        <v>0.17</v>
      </c>
      <c r="F700" s="123">
        <v>-3.3499999999999992E-3</v>
      </c>
      <c r="G700" s="46">
        <v>23710400000</v>
      </c>
      <c r="H700" s="46">
        <v>28282606000</v>
      </c>
      <c r="I700" s="56">
        <v>0.83833858874249423</v>
      </c>
      <c r="J700" s="125">
        <v>20.875886524822697</v>
      </c>
    </row>
    <row r="701" spans="1:10">
      <c r="A701" s="55">
        <v>2404</v>
      </c>
      <c r="B701" s="114">
        <v>1.82</v>
      </c>
      <c r="C701" s="122">
        <v>0.44009216589861749</v>
      </c>
      <c r="D701" s="116">
        <v>237362637.36263734</v>
      </c>
      <c r="E701" s="241">
        <v>0.15</v>
      </c>
      <c r="F701" s="122">
        <v>6.2600000000000003E-2</v>
      </c>
      <c r="G701" s="116">
        <v>10420219780.219778</v>
      </c>
      <c r="H701" s="116">
        <v>12417942000</v>
      </c>
      <c r="I701" s="114">
        <v>0.83912614346401182</v>
      </c>
      <c r="J701" s="116">
        <v>13.702174788562223</v>
      </c>
    </row>
    <row r="702" spans="1:10">
      <c r="A702" s="55">
        <v>1815</v>
      </c>
      <c r="B702" s="114">
        <v>0.35</v>
      </c>
      <c r="C702" s="122">
        <v>0.8990825688073395</v>
      </c>
      <c r="D702" s="116">
        <v>411428571.42857146</v>
      </c>
      <c r="E702" s="241">
        <v>0.23</v>
      </c>
      <c r="F702" s="122">
        <v>-2.01E-2</v>
      </c>
      <c r="G702" s="116">
        <v>4032000000.0000005</v>
      </c>
      <c r="H702" s="116">
        <v>4804064000</v>
      </c>
      <c r="I702" s="114">
        <v>0.83928940163994492</v>
      </c>
      <c r="J702" s="116">
        <v>7.7857142857142865</v>
      </c>
    </row>
    <row r="703" spans="1:10">
      <c r="A703" s="55">
        <v>1717</v>
      </c>
      <c r="B703" s="114">
        <v>0.77</v>
      </c>
      <c r="C703" s="122">
        <v>0.98334489937543368</v>
      </c>
      <c r="D703" s="116">
        <v>1019480519.4805194</v>
      </c>
      <c r="E703" s="241">
        <v>0.23</v>
      </c>
      <c r="F703" s="122">
        <v>1.150833333333333E-2</v>
      </c>
      <c r="G703" s="116">
        <v>32368506493.506493</v>
      </c>
      <c r="H703" s="116">
        <v>38486943000</v>
      </c>
      <c r="I703" s="114">
        <v>0.84102565624675596</v>
      </c>
      <c r="J703" s="116">
        <v>10.483037604597238</v>
      </c>
    </row>
    <row r="704" spans="1:10">
      <c r="A704" s="55">
        <v>2417</v>
      </c>
      <c r="B704" s="114">
        <v>-0.27</v>
      </c>
      <c r="C704" s="122">
        <v>1</v>
      </c>
      <c r="D704" s="116">
        <v>192592592.59259257</v>
      </c>
      <c r="E704" s="241">
        <v>0.43</v>
      </c>
      <c r="F704" s="122">
        <v>0.18461666666666665</v>
      </c>
      <c r="G704" s="116">
        <v>1897037037.0370367</v>
      </c>
      <c r="H704" s="116">
        <v>2250220000</v>
      </c>
      <c r="I704" s="114">
        <v>0.84304514093601368</v>
      </c>
      <c r="J704" s="116">
        <v>0</v>
      </c>
    </row>
    <row r="705" spans="1:10">
      <c r="A705" s="55">
        <v>2221</v>
      </c>
      <c r="B705" s="114">
        <v>0.37</v>
      </c>
      <c r="C705" s="122">
        <v>1</v>
      </c>
      <c r="D705" s="116">
        <v>43243243.243243247</v>
      </c>
      <c r="E705" s="241">
        <v>0.24</v>
      </c>
      <c r="F705" s="122">
        <v>5.4058333333333326E-2</v>
      </c>
      <c r="G705" s="116">
        <v>717837837.83783793</v>
      </c>
      <c r="H705" s="116">
        <v>850534000</v>
      </c>
      <c r="I705" s="114">
        <v>0.84398488224790302</v>
      </c>
      <c r="J705" s="116">
        <v>11.216216216216218</v>
      </c>
    </row>
    <row r="706" spans="1:10">
      <c r="A706" s="55">
        <v>3217</v>
      </c>
      <c r="B706" s="114">
        <v>0.6</v>
      </c>
      <c r="C706" s="122">
        <v>0.37096774193548387</v>
      </c>
      <c r="D706" s="116">
        <v>83333333.333333343</v>
      </c>
      <c r="E706" s="241">
        <v>0.3</v>
      </c>
      <c r="F706" s="122">
        <v>1.9166666666666669E-2</v>
      </c>
      <c r="G706" s="116">
        <v>1054166666.6666669</v>
      </c>
      <c r="H706" s="116">
        <v>1248758000</v>
      </c>
      <c r="I706" s="114">
        <v>0.84417210273461063</v>
      </c>
      <c r="J706" s="116">
        <v>14.208333333333334</v>
      </c>
    </row>
    <row r="707" spans="1:10">
      <c r="A707" s="55">
        <v>3489</v>
      </c>
      <c r="B707" s="114">
        <v>0.2</v>
      </c>
      <c r="C707" s="122">
        <v>1</v>
      </c>
      <c r="D707" s="116">
        <v>80000000</v>
      </c>
      <c r="E707" s="241">
        <v>0.1</v>
      </c>
      <c r="F707" s="122">
        <v>0.35560833333333336</v>
      </c>
      <c r="G707" s="116">
        <v>746400000</v>
      </c>
      <c r="H707" s="116">
        <v>883736000</v>
      </c>
      <c r="I707" s="114">
        <v>0.84459612372925852</v>
      </c>
      <c r="J707" s="116">
        <v>11.6625</v>
      </c>
    </row>
    <row r="708" spans="1:10">
      <c r="A708" s="55">
        <v>6422</v>
      </c>
      <c r="B708" s="45">
        <v>1.58</v>
      </c>
      <c r="C708" s="123">
        <v>0.9553571428571429</v>
      </c>
      <c r="D708" s="121">
        <v>36708860.759493671</v>
      </c>
      <c r="E708" s="241">
        <v>0.41</v>
      </c>
      <c r="F708" s="123">
        <v>5.9691666666666664E-2</v>
      </c>
      <c r="G708" s="46">
        <v>1807911392.4050634</v>
      </c>
      <c r="H708" s="46">
        <v>2125233000</v>
      </c>
      <c r="I708" s="56">
        <v>0.85068855622186523</v>
      </c>
      <c r="J708" s="125">
        <v>8.1568673843605808</v>
      </c>
    </row>
    <row r="709" spans="1:10">
      <c r="A709" s="55">
        <v>1444</v>
      </c>
      <c r="B709" s="114">
        <v>0.14000000000000001</v>
      </c>
      <c r="C709" s="122">
        <v>0.14979757085020243</v>
      </c>
      <c r="D709" s="116">
        <v>971428571.42857134</v>
      </c>
      <c r="E709" s="241">
        <v>0.04</v>
      </c>
      <c r="F709" s="122">
        <v>-6.391666666666667E-3</v>
      </c>
      <c r="G709" s="116">
        <v>8878857142.8571434</v>
      </c>
      <c r="H709" s="116">
        <v>10408731000</v>
      </c>
      <c r="I709" s="114">
        <v>0.85302013692708012</v>
      </c>
      <c r="J709" s="116">
        <v>50</v>
      </c>
    </row>
    <row r="710" spans="1:10">
      <c r="A710" s="55">
        <v>2344</v>
      </c>
      <c r="B710" s="114">
        <v>0.18</v>
      </c>
      <c r="C710" s="122">
        <v>0.90434192672998648</v>
      </c>
      <c r="D710" s="116">
        <v>3738888888.8888888</v>
      </c>
      <c r="E710" s="241">
        <v>0.28000000000000003</v>
      </c>
      <c r="F710" s="122">
        <v>1.6916666666666666E-3</v>
      </c>
      <c r="G710" s="116">
        <v>32752666666.666664</v>
      </c>
      <c r="H710" s="116">
        <v>38350315000</v>
      </c>
      <c r="I710" s="114">
        <v>0.85403905200430985</v>
      </c>
      <c r="J710" s="116">
        <v>13.453613403350838</v>
      </c>
    </row>
    <row r="711" spans="1:10">
      <c r="A711" s="55">
        <v>6115</v>
      </c>
      <c r="B711" s="45">
        <v>1.55</v>
      </c>
      <c r="C711" s="123">
        <v>0.3271276595744681</v>
      </c>
      <c r="D711" s="121">
        <v>179354838.70967743</v>
      </c>
      <c r="E711" s="241">
        <v>0.16</v>
      </c>
      <c r="F711" s="123">
        <v>1.1075000000000002E-2</v>
      </c>
      <c r="G711" s="46">
        <v>6071161290.3225813</v>
      </c>
      <c r="H711" s="46">
        <v>7107754000</v>
      </c>
      <c r="I711" s="56">
        <v>0.85416030019083122</v>
      </c>
      <c r="J711" s="125">
        <v>16.689745607133489</v>
      </c>
    </row>
    <row r="712" spans="1:10">
      <c r="A712" s="55">
        <v>1583</v>
      </c>
      <c r="B712" s="114">
        <v>2.84</v>
      </c>
      <c r="C712" s="122">
        <v>0.54495912806539515</v>
      </c>
      <c r="D712" s="116">
        <v>100000000</v>
      </c>
      <c r="E712" s="241">
        <v>0.28000000000000003</v>
      </c>
      <c r="F712" s="122">
        <v>1.1249999999999964E-3</v>
      </c>
      <c r="G712" s="116">
        <v>6130000000</v>
      </c>
      <c r="H712" s="116">
        <v>7157244000</v>
      </c>
      <c r="I712" s="114">
        <v>0.85647492247015755</v>
      </c>
      <c r="J712" s="116">
        <v>9.9018926056338028</v>
      </c>
    </row>
    <row r="713" spans="1:10">
      <c r="A713" s="55">
        <v>3504</v>
      </c>
      <c r="B713" s="114">
        <v>0.5</v>
      </c>
      <c r="C713" s="122">
        <v>0.54838709677419351</v>
      </c>
      <c r="D713" s="116">
        <v>116000000</v>
      </c>
      <c r="E713" s="241">
        <v>0.3</v>
      </c>
      <c r="F713" s="122">
        <v>-1.3725000000000001E-2</v>
      </c>
      <c r="G713" s="116">
        <v>3839600000</v>
      </c>
      <c r="H713" s="116">
        <v>4460489000</v>
      </c>
      <c r="I713" s="114">
        <v>0.86080248152164485</v>
      </c>
      <c r="J713" s="116">
        <v>30.179411764705886</v>
      </c>
    </row>
    <row r="714" spans="1:10">
      <c r="A714" s="55">
        <v>5460</v>
      </c>
      <c r="B714" s="45">
        <v>0.18</v>
      </c>
      <c r="C714" s="123">
        <v>0.91428571428571426</v>
      </c>
      <c r="D714" s="121">
        <v>72222222.222222224</v>
      </c>
      <c r="E714" s="241">
        <v>0.27</v>
      </c>
      <c r="F714" s="123">
        <v>-1.3800000000000002E-2</v>
      </c>
      <c r="G714" s="46">
        <v>812500000</v>
      </c>
      <c r="H714" s="46">
        <v>943509000</v>
      </c>
      <c r="I714" s="56">
        <v>0.86114705848062922</v>
      </c>
      <c r="J714" s="125">
        <v>17.08984375</v>
      </c>
    </row>
    <row r="715" spans="1:10">
      <c r="A715" s="55">
        <v>3055</v>
      </c>
      <c r="B715" s="114">
        <v>0.1</v>
      </c>
      <c r="C715" s="122">
        <v>0.60416666666666663</v>
      </c>
      <c r="D715" s="116">
        <v>130000000</v>
      </c>
      <c r="E715" s="241">
        <v>0.22</v>
      </c>
      <c r="F715" s="122">
        <v>9.9458333333333315E-2</v>
      </c>
      <c r="G715" s="116">
        <v>2528500000</v>
      </c>
      <c r="H715" s="116">
        <v>2936067000</v>
      </c>
      <c r="I715" s="114">
        <v>0.86118606966394162</v>
      </c>
      <c r="J715" s="116">
        <v>50</v>
      </c>
    </row>
    <row r="716" spans="1:10">
      <c r="A716" s="55">
        <v>4956</v>
      </c>
      <c r="B716" s="45">
        <v>0.25</v>
      </c>
      <c r="C716" s="123">
        <v>0.47222222222222221</v>
      </c>
      <c r="D716" s="121">
        <v>100000000</v>
      </c>
      <c r="E716" s="241">
        <v>0.17</v>
      </c>
      <c r="F716" s="123">
        <v>-7.4583333333333333E-3</v>
      </c>
      <c r="G716" s="46">
        <v>1200000000</v>
      </c>
      <c r="H716" s="46">
        <v>1392584000</v>
      </c>
      <c r="I716" s="56">
        <v>0.86170744457784954</v>
      </c>
      <c r="J716" s="125">
        <v>25.411764705882355</v>
      </c>
    </row>
    <row r="717" spans="1:10">
      <c r="A717" s="55">
        <v>6182</v>
      </c>
      <c r="B717" s="45">
        <v>0.05</v>
      </c>
      <c r="C717" s="123">
        <v>1</v>
      </c>
      <c r="D717" s="121">
        <v>400000000</v>
      </c>
      <c r="E717" s="241">
        <v>0.19</v>
      </c>
      <c r="F717" s="123">
        <v>2.9166666666666671E-2</v>
      </c>
      <c r="G717" s="46">
        <v>4600000000</v>
      </c>
      <c r="H717" s="46">
        <v>5327508000</v>
      </c>
      <c r="I717" s="56">
        <v>0.86344309572130162</v>
      </c>
      <c r="J717" s="125">
        <v>50</v>
      </c>
    </row>
    <row r="718" spans="1:10">
      <c r="A718" s="55">
        <v>5011</v>
      </c>
      <c r="B718" s="45">
        <v>0.28000000000000003</v>
      </c>
      <c r="C718" s="123">
        <v>0.63157894736842102</v>
      </c>
      <c r="D718" s="121">
        <v>35714285.714285709</v>
      </c>
      <c r="E718" s="241">
        <v>0.1</v>
      </c>
      <c r="F718" s="123">
        <v>3.2575E-2</v>
      </c>
      <c r="G718" s="46">
        <v>833928571.42857134</v>
      </c>
      <c r="H718" s="46">
        <v>965683000</v>
      </c>
      <c r="I718" s="56">
        <v>0.86356347934940492</v>
      </c>
      <c r="J718" s="125">
        <v>33.00967261904762</v>
      </c>
    </row>
    <row r="719" spans="1:10">
      <c r="A719" s="55">
        <v>5206</v>
      </c>
      <c r="B719" s="45">
        <v>1.05</v>
      </c>
      <c r="C719" s="123">
        <v>0.94117647058823528</v>
      </c>
      <c r="D719" s="121">
        <v>150476190.47619048</v>
      </c>
      <c r="E719" s="241">
        <v>0.36</v>
      </c>
      <c r="F719" s="123">
        <v>3.8414083333333333</v>
      </c>
      <c r="G719" s="46">
        <v>1474666666.6666667</v>
      </c>
      <c r="H719" s="46">
        <v>1703276000</v>
      </c>
      <c r="I719" s="56">
        <v>0.86578256645820573</v>
      </c>
      <c r="J719" s="125">
        <v>2.479166666666667</v>
      </c>
    </row>
    <row r="720" spans="1:10">
      <c r="A720" s="55">
        <v>1459</v>
      </c>
      <c r="B720" s="114">
        <v>0.12</v>
      </c>
      <c r="C720" s="122">
        <v>0.28205128205128205</v>
      </c>
      <c r="D720" s="116">
        <v>325000000</v>
      </c>
      <c r="E720" s="241">
        <v>7.0000000000000007E-2</v>
      </c>
      <c r="F720" s="122">
        <v>-9.1000000000000022E-3</v>
      </c>
      <c r="G720" s="116">
        <v>3315000000</v>
      </c>
      <c r="H720" s="116">
        <v>3823740000</v>
      </c>
      <c r="I720" s="114">
        <v>0.86695225093756378</v>
      </c>
      <c r="J720" s="116">
        <v>50</v>
      </c>
    </row>
    <row r="721" spans="1:10">
      <c r="A721" s="55">
        <v>1337</v>
      </c>
      <c r="B721" s="114">
        <v>0.43</v>
      </c>
      <c r="C721" s="122">
        <v>0.89726027397260277</v>
      </c>
      <c r="D721" s="116">
        <v>260465116.27906978</v>
      </c>
      <c r="E721" s="241">
        <v>0.2</v>
      </c>
      <c r="F721" s="122">
        <v>7.3150000000000007E-2</v>
      </c>
      <c r="G721" s="116">
        <v>4336744186.0465117</v>
      </c>
      <c r="H721" s="116">
        <v>5001409000</v>
      </c>
      <c r="I721" s="114">
        <v>0.86710448716481925</v>
      </c>
      <c r="J721" s="116">
        <v>10.788656133499023</v>
      </c>
    </row>
    <row r="722" spans="1:10">
      <c r="A722" s="55">
        <v>9939</v>
      </c>
      <c r="B722" s="45">
        <v>0.74</v>
      </c>
      <c r="C722" s="123">
        <v>1</v>
      </c>
      <c r="D722" s="121">
        <v>309459459.45945948</v>
      </c>
      <c r="E722" s="241">
        <v>0.18</v>
      </c>
      <c r="F722" s="123">
        <v>1.9875000000000004E-2</v>
      </c>
      <c r="G722" s="46">
        <v>14389864864.864866</v>
      </c>
      <c r="H722" s="46">
        <v>16578447000</v>
      </c>
      <c r="I722" s="56">
        <v>0.867986299613279</v>
      </c>
      <c r="J722" s="125">
        <v>15.70945945945946</v>
      </c>
    </row>
    <row r="723" spans="1:10">
      <c r="A723" s="55">
        <v>6129</v>
      </c>
      <c r="B723" s="45">
        <v>-0.09</v>
      </c>
      <c r="C723" s="123">
        <v>0.64893617021276595</v>
      </c>
      <c r="D723" s="121">
        <v>177777777.77777779</v>
      </c>
      <c r="E723" s="241">
        <v>0.35</v>
      </c>
      <c r="F723" s="123">
        <v>7.1416666666666712E-3</v>
      </c>
      <c r="G723" s="46">
        <v>1111111111.1111112</v>
      </c>
      <c r="H723" s="46">
        <v>1279419000</v>
      </c>
      <c r="I723" s="56">
        <v>0.86844975032503913</v>
      </c>
      <c r="J723" s="125">
        <v>0</v>
      </c>
    </row>
    <row r="724" spans="1:10">
      <c r="A724" s="55">
        <v>4919</v>
      </c>
      <c r="B724" s="45">
        <v>0.71</v>
      </c>
      <c r="C724" s="123">
        <v>0.76298701298701299</v>
      </c>
      <c r="D724" s="121">
        <v>208450704.22535211</v>
      </c>
      <c r="E724" s="241">
        <v>0.41</v>
      </c>
      <c r="F724" s="123">
        <v>2.5058333333333332E-2</v>
      </c>
      <c r="G724" s="46">
        <v>6357746478.8732395</v>
      </c>
      <c r="H724" s="46">
        <v>7313387000</v>
      </c>
      <c r="I724" s="56">
        <v>0.86932996693231734</v>
      </c>
      <c r="J724" s="125">
        <v>14.075516931375487</v>
      </c>
    </row>
    <row r="725" spans="1:10">
      <c r="A725" s="55">
        <v>2383</v>
      </c>
      <c r="B725" s="114">
        <v>2.4300000000000002</v>
      </c>
      <c r="C725" s="122">
        <v>0.97838270616493195</v>
      </c>
      <c r="D725" s="116">
        <v>316872427.98353904</v>
      </c>
      <c r="E725" s="241">
        <v>0.26</v>
      </c>
      <c r="F725" s="122">
        <v>-8.1666666666666606E-4</v>
      </c>
      <c r="G725" s="116">
        <v>18188477366.255142</v>
      </c>
      <c r="H725" s="116">
        <v>20869451000</v>
      </c>
      <c r="I725" s="114">
        <v>0.87153597697683294</v>
      </c>
      <c r="J725" s="116">
        <v>6.035828063014824</v>
      </c>
    </row>
    <row r="726" spans="1:10">
      <c r="A726" s="55">
        <v>1217</v>
      </c>
      <c r="B726" s="114">
        <v>0.44</v>
      </c>
      <c r="C726" s="122">
        <v>0</v>
      </c>
      <c r="D726" s="116">
        <v>481818181.81818181</v>
      </c>
      <c r="E726" s="241">
        <v>0.33</v>
      </c>
      <c r="F726" s="122">
        <v>2.0949999999999996E-2</v>
      </c>
      <c r="G726" s="116">
        <v>3984636363.6363635</v>
      </c>
      <c r="H726" s="116">
        <v>4565331000</v>
      </c>
      <c r="I726" s="114">
        <v>0.87280338788936962</v>
      </c>
      <c r="J726" s="116">
        <v>0</v>
      </c>
    </row>
    <row r="727" spans="1:10">
      <c r="A727" s="55">
        <v>6107</v>
      </c>
      <c r="B727" s="45">
        <v>1.32</v>
      </c>
      <c r="C727" s="123">
        <v>0.66666666666666663</v>
      </c>
      <c r="D727" s="121">
        <v>74242424.242424235</v>
      </c>
      <c r="E727" s="241">
        <v>7.0000000000000007E-2</v>
      </c>
      <c r="F727" s="123">
        <v>9.1241666666666665E-2</v>
      </c>
      <c r="G727" s="46">
        <v>6288333333.333333</v>
      </c>
      <c r="H727" s="46">
        <v>7190712000</v>
      </c>
      <c r="I727" s="56">
        <v>0.87450774462018965</v>
      </c>
      <c r="J727" s="125">
        <v>24.0625</v>
      </c>
    </row>
    <row r="728" spans="1:10">
      <c r="A728" s="55">
        <v>2482</v>
      </c>
      <c r="B728" s="114">
        <v>0.39</v>
      </c>
      <c r="C728" s="122">
        <v>0.58823529411764708</v>
      </c>
      <c r="D728" s="116">
        <v>61538461.538461536</v>
      </c>
      <c r="E728" s="241">
        <v>0.41</v>
      </c>
      <c r="F728" s="122">
        <v>0.13551666666666667</v>
      </c>
      <c r="G728" s="116">
        <v>738461538.46153843</v>
      </c>
      <c r="H728" s="116">
        <v>843322000</v>
      </c>
      <c r="I728" s="114">
        <v>0.87565786077149466</v>
      </c>
      <c r="J728" s="116">
        <v>13.076923076923077</v>
      </c>
    </row>
    <row r="729" spans="1:10">
      <c r="A729" s="55">
        <v>6143</v>
      </c>
      <c r="B729" s="45">
        <v>4.09</v>
      </c>
      <c r="C729" s="123">
        <v>0</v>
      </c>
      <c r="D729" s="121">
        <v>83374083.129584357</v>
      </c>
      <c r="E729" s="241">
        <v>0.16</v>
      </c>
      <c r="F729" s="123">
        <v>3.6650000000000002E-2</v>
      </c>
      <c r="G729" s="46">
        <v>4443838630.8068457</v>
      </c>
      <c r="H729" s="46">
        <v>5065638000</v>
      </c>
      <c r="I729" s="56">
        <v>0.8772515191189828</v>
      </c>
      <c r="J729" s="125">
        <v>0</v>
      </c>
    </row>
    <row r="730" spans="1:10">
      <c r="A730" s="55">
        <v>3031</v>
      </c>
      <c r="B730" s="114">
        <v>0.26</v>
      </c>
      <c r="C730" s="122">
        <v>0</v>
      </c>
      <c r="D730" s="116">
        <v>196153846.15384614</v>
      </c>
      <c r="E730" s="241">
        <v>0.11</v>
      </c>
      <c r="F730" s="122">
        <v>1.5949999999999995E-2</v>
      </c>
      <c r="G730" s="116">
        <v>1755576923.0769229</v>
      </c>
      <c r="H730" s="116">
        <v>2000331000</v>
      </c>
      <c r="I730" s="114">
        <v>0.87764321158694381</v>
      </c>
      <c r="J730" s="116">
        <v>0</v>
      </c>
    </row>
    <row r="731" spans="1:10">
      <c r="A731" s="55">
        <v>6508</v>
      </c>
      <c r="B731" s="45">
        <v>0.56000000000000005</v>
      </c>
      <c r="C731" s="123">
        <v>0.80952380952380953</v>
      </c>
      <c r="D731" s="121">
        <v>80357142.857142851</v>
      </c>
      <c r="E731" s="241">
        <v>0.2</v>
      </c>
      <c r="F731" s="123">
        <v>-2.1858333333333327E-2</v>
      </c>
      <c r="G731" s="46">
        <v>2041071428.5714283</v>
      </c>
      <c r="H731" s="46">
        <v>2323497000</v>
      </c>
      <c r="I731" s="56">
        <v>0.87844805849606356</v>
      </c>
      <c r="J731" s="125">
        <v>14.007352941176469</v>
      </c>
    </row>
    <row r="732" spans="1:10">
      <c r="A732" s="55">
        <v>3339</v>
      </c>
      <c r="B732" s="114">
        <v>-0.82</v>
      </c>
      <c r="C732" s="122">
        <v>1</v>
      </c>
      <c r="D732" s="116">
        <v>275609756.097561</v>
      </c>
      <c r="E732" s="241">
        <v>-0.78</v>
      </c>
      <c r="F732" s="122">
        <v>-2.9016666666666663E-2</v>
      </c>
      <c r="G732" s="116">
        <v>956365853.65853667</v>
      </c>
      <c r="H732" s="116">
        <v>1087991000</v>
      </c>
      <c r="I732" s="114">
        <v>0.87902000444722128</v>
      </c>
      <c r="J732" s="116">
        <v>0</v>
      </c>
    </row>
    <row r="733" spans="1:10">
      <c r="A733" s="55">
        <v>1586</v>
      </c>
      <c r="B733" s="114">
        <v>-0.34</v>
      </c>
      <c r="C733" s="122">
        <v>0.38709677419354838</v>
      </c>
      <c r="D733" s="116">
        <v>44117647.058823526</v>
      </c>
      <c r="E733" s="241">
        <v>0.11</v>
      </c>
      <c r="F733" s="122">
        <v>1.9816666666666666E-2</v>
      </c>
      <c r="G733" s="116">
        <v>1500000000</v>
      </c>
      <c r="H733" s="116">
        <v>1699881000</v>
      </c>
      <c r="I733" s="114">
        <v>0.882414710206185</v>
      </c>
      <c r="J733" s="116">
        <v>0</v>
      </c>
    </row>
    <row r="734" spans="1:10">
      <c r="A734" s="55">
        <v>6197</v>
      </c>
      <c r="B734" s="45">
        <v>0.79</v>
      </c>
      <c r="C734" s="123">
        <v>0.2857142857142857</v>
      </c>
      <c r="D734" s="121">
        <v>170886075.94936708</v>
      </c>
      <c r="E734" s="241">
        <v>0.16</v>
      </c>
      <c r="F734" s="123">
        <v>-1.0716666666666671E-2</v>
      </c>
      <c r="G734" s="46">
        <v>4537025316.4556961</v>
      </c>
      <c r="H734" s="46">
        <v>5126678000</v>
      </c>
      <c r="I734" s="56">
        <v>0.8849834759381604</v>
      </c>
      <c r="J734" s="125">
        <v>29.406645569620256</v>
      </c>
    </row>
    <row r="735" spans="1:10">
      <c r="A735" s="55">
        <v>5305</v>
      </c>
      <c r="B735" s="45">
        <v>0.03</v>
      </c>
      <c r="C735" s="123">
        <v>0</v>
      </c>
      <c r="D735" s="121">
        <v>366666666.66666669</v>
      </c>
      <c r="E735" s="241">
        <v>0.23</v>
      </c>
      <c r="F735" s="123">
        <v>1.453333333333333E-2</v>
      </c>
      <c r="G735" s="46">
        <v>8360000000.000001</v>
      </c>
      <c r="H735" s="46">
        <v>9435258000</v>
      </c>
      <c r="I735" s="56">
        <v>0.88603830441096587</v>
      </c>
      <c r="J735" s="125">
        <v>0</v>
      </c>
    </row>
    <row r="736" spans="1:10">
      <c r="A736" s="55">
        <v>3311</v>
      </c>
      <c r="B736" s="114">
        <v>0.37</v>
      </c>
      <c r="C736" s="122">
        <v>0</v>
      </c>
      <c r="D736" s="116">
        <v>178378378.37837839</v>
      </c>
      <c r="E736" s="241">
        <v>0.15</v>
      </c>
      <c r="F736" s="122">
        <v>5.5000000000000415E-4</v>
      </c>
      <c r="G736" s="116">
        <v>3130540540.5405407</v>
      </c>
      <c r="H736" s="116">
        <v>3530194000</v>
      </c>
      <c r="I736" s="114">
        <v>0.88678994427517033</v>
      </c>
      <c r="J736" s="116">
        <v>0</v>
      </c>
    </row>
    <row r="737" spans="1:10">
      <c r="A737" s="55">
        <v>3570</v>
      </c>
      <c r="B737" s="114">
        <v>1.1100000000000001</v>
      </c>
      <c r="C737" s="122">
        <v>1</v>
      </c>
      <c r="D737" s="116">
        <v>17117117.117117114</v>
      </c>
      <c r="E737" s="241">
        <v>0.32</v>
      </c>
      <c r="F737" s="122">
        <v>7.0791666666666683E-2</v>
      </c>
      <c r="G737" s="116">
        <v>881531531.53153133</v>
      </c>
      <c r="H737" s="116">
        <v>990179000</v>
      </c>
      <c r="I737" s="114">
        <v>0.89027492153593579</v>
      </c>
      <c r="J737" s="116">
        <v>11.599099099099098</v>
      </c>
    </row>
    <row r="738" spans="1:10">
      <c r="A738" s="55">
        <v>2354</v>
      </c>
      <c r="B738" s="114">
        <v>2.09</v>
      </c>
      <c r="C738" s="122">
        <v>0.80058550025830899</v>
      </c>
      <c r="D738" s="116">
        <v>1394736842.1052632</v>
      </c>
      <c r="E738" s="241">
        <v>0.16</v>
      </c>
      <c r="F738" s="122">
        <v>-2.2650000000000003E-2</v>
      </c>
      <c r="G738" s="116">
        <v>89123684210.526321</v>
      </c>
      <c r="H738" s="116">
        <v>100026687000</v>
      </c>
      <c r="I738" s="114">
        <v>0.89099906118580452</v>
      </c>
      <c r="J738" s="116">
        <v>9.5474383028299545</v>
      </c>
    </row>
    <row r="739" spans="1:10">
      <c r="A739" s="55">
        <v>5464</v>
      </c>
      <c r="B739" s="45">
        <v>2.14</v>
      </c>
      <c r="C739" s="123">
        <v>0</v>
      </c>
      <c r="D739" s="121">
        <v>71028037.383177564</v>
      </c>
      <c r="E739" s="241">
        <v>7.0000000000000007E-2</v>
      </c>
      <c r="F739" s="123">
        <v>-2.3074999999999998E-2</v>
      </c>
      <c r="G739" s="46">
        <v>1196822429.9065421</v>
      </c>
      <c r="H739" s="46">
        <v>1341638000</v>
      </c>
      <c r="I739" s="56">
        <v>0.89206062284054422</v>
      </c>
      <c r="J739" s="125">
        <v>0</v>
      </c>
    </row>
    <row r="740" spans="1:10">
      <c r="A740" s="55">
        <v>4417</v>
      </c>
      <c r="B740" s="45">
        <v>0.98</v>
      </c>
      <c r="C740" s="123">
        <v>0.97241379310344822</v>
      </c>
      <c r="D740" s="121">
        <v>81632653.06122449</v>
      </c>
      <c r="E740" s="241">
        <v>0.24</v>
      </c>
      <c r="F740" s="123">
        <v>5.8833333333333333E-3</v>
      </c>
      <c r="G740" s="46">
        <v>2530612244.8979592</v>
      </c>
      <c r="H740" s="46">
        <v>2831437000</v>
      </c>
      <c r="I740" s="56">
        <v>0.8937554481692368</v>
      </c>
      <c r="J740" s="125">
        <v>8.1325083224779284</v>
      </c>
    </row>
    <row r="741" spans="1:10">
      <c r="A741" s="55">
        <v>3013</v>
      </c>
      <c r="B741" s="114">
        <v>0.4</v>
      </c>
      <c r="C741" s="122">
        <v>0.44047619047619047</v>
      </c>
      <c r="D741" s="116">
        <v>177500000</v>
      </c>
      <c r="E741" s="241">
        <v>0.15</v>
      </c>
      <c r="F741" s="122">
        <v>4.3758333333333323E-2</v>
      </c>
      <c r="G741" s="116">
        <v>2902125000.0000005</v>
      </c>
      <c r="H741" s="116">
        <v>3241908000</v>
      </c>
      <c r="I741" s="114">
        <v>0.89519042489793066</v>
      </c>
      <c r="J741" s="116">
        <v>23.199324324324326</v>
      </c>
    </row>
    <row r="742" spans="1:10">
      <c r="A742" s="55">
        <v>3521</v>
      </c>
      <c r="B742" s="114">
        <v>0.36</v>
      </c>
      <c r="C742" s="122">
        <v>1</v>
      </c>
      <c r="D742" s="116">
        <v>47222222.222222224</v>
      </c>
      <c r="E742" s="241">
        <v>0.19</v>
      </c>
      <c r="F742" s="122">
        <v>0.18733333333333335</v>
      </c>
      <c r="G742" s="116">
        <v>540694444.44444442</v>
      </c>
      <c r="H742" s="116">
        <v>603660000</v>
      </c>
      <c r="I742" s="114">
        <v>0.89569367598390559</v>
      </c>
      <c r="J742" s="116">
        <v>7.9513888888888884</v>
      </c>
    </row>
    <row r="743" spans="1:10">
      <c r="A743" s="55">
        <v>3419</v>
      </c>
      <c r="B743" s="114">
        <v>0.05</v>
      </c>
      <c r="C743" s="122">
        <v>0.93023255813953487</v>
      </c>
      <c r="D743" s="116">
        <v>120000000</v>
      </c>
      <c r="E743" s="241">
        <v>0.19</v>
      </c>
      <c r="F743" s="122">
        <v>3.2124999999999994E-2</v>
      </c>
      <c r="G743" s="116">
        <v>1992000000.0000002</v>
      </c>
      <c r="H743" s="116">
        <v>2223423000</v>
      </c>
      <c r="I743" s="114">
        <v>0.89591589184784015</v>
      </c>
      <c r="J743" s="116">
        <v>50</v>
      </c>
    </row>
    <row r="744" spans="1:10">
      <c r="A744" s="55">
        <v>6175</v>
      </c>
      <c r="B744" s="45">
        <v>0.26</v>
      </c>
      <c r="C744" s="123">
        <v>1</v>
      </c>
      <c r="D744" s="121">
        <v>134615384.61538461</v>
      </c>
      <c r="E744" s="241">
        <v>0.14000000000000001</v>
      </c>
      <c r="F744" s="123">
        <v>9.8333333333333328E-3</v>
      </c>
      <c r="G744" s="46">
        <v>1743269230.7692306</v>
      </c>
      <c r="H744" s="46">
        <v>1939100000</v>
      </c>
      <c r="I744" s="56">
        <v>0.89900945323564052</v>
      </c>
      <c r="J744" s="125">
        <v>12.451923076923077</v>
      </c>
    </row>
    <row r="745" spans="1:10">
      <c r="A745" s="55">
        <v>3680</v>
      </c>
      <c r="B745" s="114">
        <v>0.35</v>
      </c>
      <c r="C745" s="122">
        <v>0</v>
      </c>
      <c r="D745" s="116">
        <v>62857142.857142858</v>
      </c>
      <c r="E745" s="241">
        <v>0.19</v>
      </c>
      <c r="F745" s="122">
        <v>2.2766666666666657E-2</v>
      </c>
      <c r="G745" s="116">
        <v>1741142857.1428571</v>
      </c>
      <c r="H745" s="116">
        <v>1933424000</v>
      </c>
      <c r="I745" s="114">
        <v>0.90054890036683988</v>
      </c>
      <c r="J745" s="116">
        <v>0</v>
      </c>
    </row>
    <row r="746" spans="1:10">
      <c r="A746" s="55">
        <v>2102</v>
      </c>
      <c r="B746" s="114">
        <v>0.47</v>
      </c>
      <c r="C746" s="122">
        <v>0.88130563798219586</v>
      </c>
      <c r="D746" s="116">
        <v>455319148.93617022</v>
      </c>
      <c r="E746" s="241">
        <v>0.27</v>
      </c>
      <c r="F746" s="122">
        <v>-9.508333333333327E-3</v>
      </c>
      <c r="G746" s="116">
        <v>6807021276.5957441</v>
      </c>
      <c r="H746" s="116">
        <v>7535941000</v>
      </c>
      <c r="I746" s="114">
        <v>0.90327422635019894</v>
      </c>
      <c r="J746" s="116">
        <v>9.0231212837595827</v>
      </c>
    </row>
    <row r="747" spans="1:10">
      <c r="A747" s="55">
        <v>2236</v>
      </c>
      <c r="B747" s="114">
        <v>0.9</v>
      </c>
      <c r="C747" s="122">
        <v>0.65625</v>
      </c>
      <c r="D747" s="116">
        <v>33333333.333333332</v>
      </c>
      <c r="E747" s="241">
        <v>0.3</v>
      </c>
      <c r="F747" s="122">
        <v>-6.59E-2</v>
      </c>
      <c r="G747" s="116">
        <v>1066666666.6666666</v>
      </c>
      <c r="H747" s="116">
        <v>1179061000</v>
      </c>
      <c r="I747" s="114">
        <v>0.90467470865940491</v>
      </c>
      <c r="J747" s="116">
        <v>13.544973544973544</v>
      </c>
    </row>
    <row r="748" spans="1:10">
      <c r="A748" s="55">
        <v>1773</v>
      </c>
      <c r="B748" s="114">
        <v>1.07</v>
      </c>
      <c r="C748" s="122">
        <v>0.7539936102236422</v>
      </c>
      <c r="D748" s="116">
        <v>149532710.28037381</v>
      </c>
      <c r="E748" s="241">
        <v>0.19</v>
      </c>
      <c r="F748" s="122">
        <v>9.9166666666666847E-4</v>
      </c>
      <c r="G748" s="116">
        <v>5884112149.5327101</v>
      </c>
      <c r="H748" s="116">
        <v>6498136000</v>
      </c>
      <c r="I748" s="114">
        <v>0.90550769475011139</v>
      </c>
      <c r="J748" s="116">
        <v>12.193638127673054</v>
      </c>
    </row>
    <row r="749" spans="1:10">
      <c r="A749" s="55">
        <v>3272</v>
      </c>
      <c r="B749" s="114">
        <v>1.77</v>
      </c>
      <c r="C749" s="122">
        <v>0.64</v>
      </c>
      <c r="D749" s="116">
        <v>51977401.129943505</v>
      </c>
      <c r="E749" s="241">
        <v>0.25</v>
      </c>
      <c r="F749" s="122">
        <v>5.2083333333333469E-3</v>
      </c>
      <c r="G749" s="116">
        <v>2635254237.288136</v>
      </c>
      <c r="H749" s="116">
        <v>2908378000</v>
      </c>
      <c r="I749" s="114">
        <v>0.90609069291823008</v>
      </c>
      <c r="J749" s="116">
        <v>11.189088983050848</v>
      </c>
    </row>
    <row r="750" spans="1:10">
      <c r="A750" s="55">
        <v>6158</v>
      </c>
      <c r="B750" s="45">
        <v>0.41</v>
      </c>
      <c r="C750" s="123">
        <v>1</v>
      </c>
      <c r="D750" s="121">
        <v>109756097.56097561</v>
      </c>
      <c r="E750" s="241">
        <v>0.23</v>
      </c>
      <c r="F750" s="123">
        <v>3.9666666666666617E-3</v>
      </c>
      <c r="G750" s="46">
        <v>2030487804.8780489</v>
      </c>
      <c r="H750" s="46">
        <v>2230984000</v>
      </c>
      <c r="I750" s="56">
        <v>0.91013104750103491</v>
      </c>
      <c r="J750" s="125">
        <v>11.280487804878049</v>
      </c>
    </row>
    <row r="751" spans="1:10">
      <c r="A751" s="55">
        <v>1109</v>
      </c>
      <c r="B751" s="114">
        <v>-0.08</v>
      </c>
      <c r="C751" s="122">
        <v>0.2391304347826087</v>
      </c>
      <c r="D751" s="116">
        <v>400000000</v>
      </c>
      <c r="E751" s="241">
        <v>7.0000000000000007E-2</v>
      </c>
      <c r="F751" s="122">
        <v>1.9108333333333335E-2</v>
      </c>
      <c r="G751" s="116">
        <v>3960000000</v>
      </c>
      <c r="H751" s="116">
        <v>4350939000</v>
      </c>
      <c r="I751" s="114">
        <v>0.91014836107791908</v>
      </c>
      <c r="J751" s="116">
        <v>0</v>
      </c>
    </row>
    <row r="752" spans="1:10">
      <c r="A752" s="55">
        <v>1736</v>
      </c>
      <c r="B752" s="114">
        <v>0.73</v>
      </c>
      <c r="C752" s="122">
        <v>0</v>
      </c>
      <c r="D752" s="116">
        <v>302739726.02739727</v>
      </c>
      <c r="E752" s="241">
        <v>0.44</v>
      </c>
      <c r="F752" s="122">
        <v>3.8675000000000001E-2</v>
      </c>
      <c r="G752" s="116">
        <v>15500273972.602741</v>
      </c>
      <c r="H752" s="116">
        <v>17017470000</v>
      </c>
      <c r="I752" s="114">
        <v>0.91084479494324022</v>
      </c>
      <c r="J752" s="116">
        <v>0</v>
      </c>
    </row>
    <row r="753" spans="1:10">
      <c r="A753" s="55">
        <v>2388</v>
      </c>
      <c r="B753" s="114">
        <v>3.47</v>
      </c>
      <c r="C753" s="122">
        <v>0</v>
      </c>
      <c r="D753" s="116">
        <v>493083573.4870317</v>
      </c>
      <c r="E753" s="241">
        <v>0.28000000000000003</v>
      </c>
      <c r="F753" s="122">
        <v>1.3791666666666669E-2</v>
      </c>
      <c r="G753" s="116">
        <v>4289827089.3371754</v>
      </c>
      <c r="H753" s="116">
        <v>4709376000</v>
      </c>
      <c r="I753" s="114">
        <v>0.9109119954187509</v>
      </c>
      <c r="J753" s="116">
        <v>0</v>
      </c>
    </row>
    <row r="754" spans="1:10">
      <c r="A754" s="55">
        <v>3383</v>
      </c>
      <c r="B754" s="114">
        <v>-1.26</v>
      </c>
      <c r="C754" s="122">
        <v>0.95726495726495731</v>
      </c>
      <c r="D754" s="116">
        <v>314285714.28571427</v>
      </c>
      <c r="E754" s="241">
        <v>-0.62</v>
      </c>
      <c r="F754" s="122">
        <v>-5.7725000000000005E-2</v>
      </c>
      <c r="G754" s="116">
        <v>2325714285.7142859</v>
      </c>
      <c r="H754" s="116">
        <v>2548527000</v>
      </c>
      <c r="I754" s="114">
        <v>0.91257196243723759</v>
      </c>
      <c r="J754" s="116">
        <v>0</v>
      </c>
    </row>
    <row r="755" spans="1:10">
      <c r="A755" s="55">
        <v>8049</v>
      </c>
      <c r="B755" s="45">
        <v>0.4</v>
      </c>
      <c r="C755" s="123">
        <v>0.93975903614457834</v>
      </c>
      <c r="D755" s="121">
        <v>127500000</v>
      </c>
      <c r="E755" s="241">
        <v>0.24</v>
      </c>
      <c r="F755" s="123">
        <v>3.8950000000000005E-2</v>
      </c>
      <c r="G755" s="46">
        <v>1377000000</v>
      </c>
      <c r="H755" s="46">
        <v>1508809000</v>
      </c>
      <c r="I755" s="56">
        <v>0.91264036733609089</v>
      </c>
      <c r="J755" s="125">
        <v>7.1826923076923075</v>
      </c>
    </row>
    <row r="756" spans="1:10">
      <c r="A756" s="55">
        <v>6292</v>
      </c>
      <c r="B756" s="45">
        <v>0.44</v>
      </c>
      <c r="C756" s="123">
        <v>1</v>
      </c>
      <c r="D756" s="121">
        <v>47727272.727272727</v>
      </c>
      <c r="E756" s="241">
        <v>0.3</v>
      </c>
      <c r="F756" s="123">
        <v>4.3133333333333336E-2</v>
      </c>
      <c r="G756" s="46">
        <v>1310113636.3636363</v>
      </c>
      <c r="H756" s="46">
        <v>1428527000</v>
      </c>
      <c r="I756" s="56">
        <v>0.91710806751544516</v>
      </c>
      <c r="J756" s="125">
        <v>15.596590909090908</v>
      </c>
    </row>
    <row r="757" spans="1:10">
      <c r="A757" s="55">
        <v>6208</v>
      </c>
      <c r="B757" s="45">
        <v>0.23</v>
      </c>
      <c r="C757" s="123">
        <v>0.625</v>
      </c>
      <c r="D757" s="121">
        <v>113043478.26086956</v>
      </c>
      <c r="E757" s="241">
        <v>0.23</v>
      </c>
      <c r="F757" s="123">
        <v>-1.4499999999999992E-2</v>
      </c>
      <c r="G757" s="46">
        <v>1175652173.9130435</v>
      </c>
      <c r="H757" s="46">
        <v>1278268000</v>
      </c>
      <c r="I757" s="56">
        <v>0.91972276073017822</v>
      </c>
      <c r="J757" s="125">
        <v>18.086956521739129</v>
      </c>
    </row>
    <row r="758" spans="1:10">
      <c r="A758" s="55">
        <v>5285</v>
      </c>
      <c r="B758" s="45">
        <v>0.94</v>
      </c>
      <c r="C758" s="123">
        <v>0.79807692307692313</v>
      </c>
      <c r="D758" s="121">
        <v>74468085.106382981</v>
      </c>
      <c r="E758" s="241">
        <v>0.18</v>
      </c>
      <c r="F758" s="123">
        <v>1.4416666666666651E-3</v>
      </c>
      <c r="G758" s="46">
        <v>2081382978.7234042</v>
      </c>
      <c r="H758" s="46">
        <v>2262919000</v>
      </c>
      <c r="I758" s="56">
        <v>0.91977794111207878</v>
      </c>
      <c r="J758" s="125">
        <v>9.3142783901563693</v>
      </c>
    </row>
    <row r="759" spans="1:10">
      <c r="A759" s="55">
        <v>6405</v>
      </c>
      <c r="B759" s="45">
        <v>0.49</v>
      </c>
      <c r="C759" s="123">
        <v>0.52500000000000002</v>
      </c>
      <c r="D759" s="121">
        <v>65306122.448979594</v>
      </c>
      <c r="E759" s="241">
        <v>0.17</v>
      </c>
      <c r="F759" s="123">
        <v>-2.1883333333333328E-2</v>
      </c>
      <c r="G759" s="46">
        <v>1149387755.102041</v>
      </c>
      <c r="H759" s="46">
        <v>1246411000</v>
      </c>
      <c r="I759" s="56">
        <v>0.92215790385518182</v>
      </c>
      <c r="J759" s="125">
        <v>17.103984450923228</v>
      </c>
    </row>
    <row r="760" spans="1:10">
      <c r="A760" s="55">
        <v>4745</v>
      </c>
      <c r="B760" s="45">
        <v>0.48</v>
      </c>
      <c r="C760" s="123">
        <v>0.98571428571428577</v>
      </c>
      <c r="D760" s="121">
        <v>58333333.333333336</v>
      </c>
      <c r="E760" s="241">
        <v>0.24</v>
      </c>
      <c r="F760" s="123">
        <v>3.7024999999999995E-2</v>
      </c>
      <c r="G760" s="46">
        <v>3021666666.6666665</v>
      </c>
      <c r="H760" s="46">
        <v>3274338000</v>
      </c>
      <c r="I760" s="56">
        <v>0.92283284946962307</v>
      </c>
      <c r="J760" s="125">
        <v>27.370169082125603</v>
      </c>
    </row>
    <row r="761" spans="1:10">
      <c r="A761" s="55">
        <v>5315</v>
      </c>
      <c r="B761" s="45">
        <v>1.1499999999999999</v>
      </c>
      <c r="C761" s="123">
        <v>0.8571428571428571</v>
      </c>
      <c r="D761" s="121">
        <v>106086956.52173914</v>
      </c>
      <c r="E761" s="241">
        <v>0.24</v>
      </c>
      <c r="F761" s="123">
        <v>1.7616666666666669E-2</v>
      </c>
      <c r="G761" s="46">
        <v>2466521739.130435</v>
      </c>
      <c r="H761" s="46">
        <v>2661419000</v>
      </c>
      <c r="I761" s="56">
        <v>0.92676941854342931</v>
      </c>
      <c r="J761" s="125">
        <v>5.896739130434784</v>
      </c>
    </row>
    <row r="762" spans="1:10">
      <c r="A762" s="55">
        <v>4120</v>
      </c>
      <c r="B762" s="45">
        <v>0.47</v>
      </c>
      <c r="C762" s="123">
        <v>1</v>
      </c>
      <c r="D762" s="121">
        <v>87234042.553191498</v>
      </c>
      <c r="E762" s="241">
        <v>0.44</v>
      </c>
      <c r="F762" s="123">
        <v>-8.0833333333333347E-3</v>
      </c>
      <c r="G762" s="46">
        <v>4562340425.5319147</v>
      </c>
      <c r="H762" s="46">
        <v>4917494000</v>
      </c>
      <c r="I762" s="56">
        <v>0.92777752764556798</v>
      </c>
      <c r="J762" s="125">
        <v>27.819148936170212</v>
      </c>
    </row>
    <row r="763" spans="1:10">
      <c r="A763" s="55">
        <v>2311</v>
      </c>
      <c r="B763" s="114">
        <v>0.83</v>
      </c>
      <c r="C763" s="122">
        <v>0.85838323353293411</v>
      </c>
      <c r="D763" s="116">
        <v>7673493975.903615</v>
      </c>
      <c r="E763" s="241">
        <v>0.18</v>
      </c>
      <c r="F763" s="122">
        <v>-4.1916666666666673E-3</v>
      </c>
      <c r="G763" s="116">
        <v>263200843373.49396</v>
      </c>
      <c r="H763" s="116">
        <v>283302536000</v>
      </c>
      <c r="I763" s="114">
        <v>0.92904513701033009</v>
      </c>
      <c r="J763" s="116">
        <v>12.035795781661699</v>
      </c>
    </row>
    <row r="764" spans="1:10">
      <c r="A764" s="55">
        <v>6205</v>
      </c>
      <c r="B764" s="45">
        <v>1.26</v>
      </c>
      <c r="C764" s="123">
        <v>0.30714285714285716</v>
      </c>
      <c r="D764" s="121">
        <v>71428571.428571433</v>
      </c>
      <c r="E764" s="241">
        <v>0.26</v>
      </c>
      <c r="F764" s="123">
        <v>-6.399999999999996E-3</v>
      </c>
      <c r="G764" s="46">
        <v>2014285714.2857144</v>
      </c>
      <c r="H764" s="46">
        <v>2167188000</v>
      </c>
      <c r="I764" s="56">
        <v>0.92944669049741624</v>
      </c>
      <c r="J764" s="125">
        <v>18.217054263565892</v>
      </c>
    </row>
    <row r="765" spans="1:10">
      <c r="A765" s="55">
        <v>1787</v>
      </c>
      <c r="B765" s="114">
        <v>0.6</v>
      </c>
      <c r="C765" s="122">
        <v>1</v>
      </c>
      <c r="D765" s="116">
        <v>66666666.666666672</v>
      </c>
      <c r="E765" s="241">
        <v>0.33</v>
      </c>
      <c r="F765" s="122">
        <v>2.1666666666666671E-2</v>
      </c>
      <c r="G765" s="116">
        <v>1360000000</v>
      </c>
      <c r="H765" s="116">
        <v>1459636000</v>
      </c>
      <c r="I765" s="114">
        <v>0.93173914592405227</v>
      </c>
      <c r="J765" s="116">
        <v>8.5</v>
      </c>
    </row>
    <row r="766" spans="1:10">
      <c r="A766" s="55">
        <v>5511</v>
      </c>
      <c r="B766" s="45">
        <v>0.33</v>
      </c>
      <c r="C766" s="123">
        <v>0.82222222222222219</v>
      </c>
      <c r="D766" s="121">
        <v>154545454.54545453</v>
      </c>
      <c r="E766" s="241">
        <v>0.08</v>
      </c>
      <c r="F766" s="123">
        <v>1.5724999999999989E-2</v>
      </c>
      <c r="G766" s="46">
        <v>3647272727.272727</v>
      </c>
      <c r="H766" s="46">
        <v>3912794000</v>
      </c>
      <c r="I766" s="56">
        <v>0.93214023719948635</v>
      </c>
      <c r="J766" s="125">
        <v>21.744471744471745</v>
      </c>
    </row>
    <row r="767" spans="1:10">
      <c r="A767" s="55">
        <v>4414</v>
      </c>
      <c r="B767" s="45">
        <v>-0.16</v>
      </c>
      <c r="C767" s="123">
        <v>1</v>
      </c>
      <c r="D767" s="121">
        <v>131250000</v>
      </c>
      <c r="E767" s="241">
        <v>0.05</v>
      </c>
      <c r="F767" s="123">
        <v>3.4691666666666669E-2</v>
      </c>
      <c r="G767" s="46">
        <v>2270625000</v>
      </c>
      <c r="H767" s="46">
        <v>2432682000</v>
      </c>
      <c r="I767" s="56">
        <v>0.9333834015296697</v>
      </c>
      <c r="J767" s="125">
        <v>0</v>
      </c>
    </row>
    <row r="768" spans="1:10">
      <c r="A768" s="55">
        <v>8410</v>
      </c>
      <c r="B768" s="45">
        <v>0.61</v>
      </c>
      <c r="C768" s="123">
        <v>1</v>
      </c>
      <c r="D768" s="121">
        <v>36065573.770491801</v>
      </c>
      <c r="E768" s="241">
        <v>0.28999999999999998</v>
      </c>
      <c r="F768" s="123">
        <v>1.9233333333333338E-2</v>
      </c>
      <c r="G768" s="46">
        <v>636557377.04918027</v>
      </c>
      <c r="H768" s="46">
        <v>679202000</v>
      </c>
      <c r="I768" s="56">
        <v>0.93721363754697462</v>
      </c>
      <c r="J768" s="125">
        <v>7.2336065573770485</v>
      </c>
    </row>
    <row r="769" spans="1:10">
      <c r="A769" s="55">
        <v>3299</v>
      </c>
      <c r="B769" s="114">
        <v>1.52</v>
      </c>
      <c r="C769" s="122">
        <v>0.67586206896551726</v>
      </c>
      <c r="D769" s="116">
        <v>50657894.736842103</v>
      </c>
      <c r="E769" s="241">
        <v>0.31</v>
      </c>
      <c r="F769" s="122">
        <v>3.5249999999999991E-3</v>
      </c>
      <c r="G769" s="116">
        <v>2505032894.7368422</v>
      </c>
      <c r="H769" s="116">
        <v>2670312000</v>
      </c>
      <c r="I769" s="114">
        <v>0.93810494606504491</v>
      </c>
      <c r="J769" s="116">
        <v>12.033851369495167</v>
      </c>
    </row>
    <row r="770" spans="1:10">
      <c r="A770" s="55">
        <v>3413</v>
      </c>
      <c r="B770" s="114">
        <v>2.5099999999999998</v>
      </c>
      <c r="C770" s="122">
        <v>0.78731343283582089</v>
      </c>
      <c r="D770" s="116">
        <v>65737051.792828694</v>
      </c>
      <c r="E770" s="241">
        <v>0.18</v>
      </c>
      <c r="F770" s="122">
        <v>4.3316666666666649E-2</v>
      </c>
      <c r="G770" s="116">
        <v>5074900398.4063749</v>
      </c>
      <c r="H770" s="116">
        <v>5409092000</v>
      </c>
      <c r="I770" s="114">
        <v>0.93821669115747619</v>
      </c>
      <c r="J770" s="116">
        <v>9.7664319027208712</v>
      </c>
    </row>
    <row r="771" spans="1:10">
      <c r="A771" s="55">
        <v>2488</v>
      </c>
      <c r="B771" s="114">
        <v>0.85</v>
      </c>
      <c r="C771" s="122">
        <v>0.8839285714285714</v>
      </c>
      <c r="D771" s="116">
        <v>80000000</v>
      </c>
      <c r="E771" s="241">
        <v>0.24</v>
      </c>
      <c r="F771" s="122">
        <v>2.1250000000000005E-2</v>
      </c>
      <c r="G771" s="116">
        <v>2256000000</v>
      </c>
      <c r="H771" s="116">
        <v>2403307000</v>
      </c>
      <c r="I771" s="114">
        <v>0.93870654061258096</v>
      </c>
      <c r="J771" s="116">
        <v>9.3832442067736199</v>
      </c>
    </row>
    <row r="772" spans="1:10">
      <c r="A772" s="55">
        <v>2002</v>
      </c>
      <c r="B772" s="114">
        <v>0.05</v>
      </c>
      <c r="C772" s="122">
        <v>0.69217923740606735</v>
      </c>
      <c r="D772" s="116">
        <v>14880000000</v>
      </c>
      <c r="E772" s="241">
        <v>0.06</v>
      </c>
      <c r="F772" s="122">
        <v>-2.3708333333333335E-2</v>
      </c>
      <c r="G772" s="116">
        <v>267840000000</v>
      </c>
      <c r="H772" s="116">
        <v>285080536000</v>
      </c>
      <c r="I772" s="114">
        <v>0.93952398069014431</v>
      </c>
      <c r="J772" s="116">
        <v>50</v>
      </c>
    </row>
    <row r="773" spans="1:10">
      <c r="A773" s="55">
        <v>3675</v>
      </c>
      <c r="B773" s="114">
        <v>0.68</v>
      </c>
      <c r="C773" s="122">
        <v>0.83018867924528306</v>
      </c>
      <c r="D773" s="116">
        <v>44117647.058823526</v>
      </c>
      <c r="E773" s="241">
        <v>0.19</v>
      </c>
      <c r="F773" s="122">
        <v>1.7933333333333332E-2</v>
      </c>
      <c r="G773" s="116">
        <v>1008088235.2941177</v>
      </c>
      <c r="H773" s="116">
        <v>1072902000</v>
      </c>
      <c r="I773" s="114">
        <v>0.93959022845899964</v>
      </c>
      <c r="J773" s="116">
        <v>10.119067513368984</v>
      </c>
    </row>
    <row r="774" spans="1:10">
      <c r="A774" s="55">
        <v>8928</v>
      </c>
      <c r="B774" s="45">
        <v>0.17</v>
      </c>
      <c r="C774" s="123">
        <v>0.53333333333333333</v>
      </c>
      <c r="D774" s="121">
        <v>52941176.47058823</v>
      </c>
      <c r="E774" s="241">
        <v>0.09</v>
      </c>
      <c r="F774" s="123">
        <v>0.101925</v>
      </c>
      <c r="G774" s="46">
        <v>1913823529.4117644</v>
      </c>
      <c r="H774" s="46">
        <v>2034902000</v>
      </c>
      <c r="I774" s="56">
        <v>0.94049911465601999</v>
      </c>
      <c r="J774" s="125">
        <v>50</v>
      </c>
    </row>
    <row r="775" spans="1:10">
      <c r="A775" s="55">
        <v>2355</v>
      </c>
      <c r="B775" s="114">
        <v>1.71</v>
      </c>
      <c r="C775" s="122">
        <v>0.65760322255790538</v>
      </c>
      <c r="D775" s="116">
        <v>397076023.39181286</v>
      </c>
      <c r="E775" s="241">
        <v>0.16</v>
      </c>
      <c r="F775" s="122">
        <v>9.9250000000000015E-3</v>
      </c>
      <c r="G775" s="116">
        <v>21283274853.80117</v>
      </c>
      <c r="H775" s="116">
        <v>22603166000</v>
      </c>
      <c r="I775" s="114">
        <v>0.94160591723306242</v>
      </c>
      <c r="J775" s="116">
        <v>11.916391284489938</v>
      </c>
    </row>
    <row r="776" spans="1:10">
      <c r="A776" s="55">
        <v>8463</v>
      </c>
      <c r="B776" s="45">
        <v>0.26</v>
      </c>
      <c r="C776" s="123">
        <v>0.96969696969696972</v>
      </c>
      <c r="D776" s="121">
        <v>150000000</v>
      </c>
      <c r="E776" s="241">
        <v>0.1</v>
      </c>
      <c r="F776" s="123">
        <v>1.5049999999999999E-2</v>
      </c>
      <c r="G776" s="46">
        <v>3195000000</v>
      </c>
      <c r="H776" s="46">
        <v>3387765000</v>
      </c>
      <c r="I776" s="56">
        <v>0.94309965419679342</v>
      </c>
      <c r="J776" s="125">
        <v>21.12079326923077</v>
      </c>
    </row>
    <row r="777" spans="1:10">
      <c r="A777" s="55">
        <v>3591</v>
      </c>
      <c r="B777" s="114">
        <v>0.01</v>
      </c>
      <c r="C777" s="122">
        <v>1</v>
      </c>
      <c r="D777" s="116">
        <v>200000000</v>
      </c>
      <c r="E777" s="241">
        <v>0.12</v>
      </c>
      <c r="F777" s="122">
        <v>3.783333333333333E-3</v>
      </c>
      <c r="G777" s="116">
        <v>3130000000</v>
      </c>
      <c r="H777" s="116">
        <v>3315207000</v>
      </c>
      <c r="I777" s="114">
        <v>0.94413410685969235</v>
      </c>
      <c r="J777" s="116">
        <v>50</v>
      </c>
    </row>
    <row r="778" spans="1:10">
      <c r="A778" s="55">
        <v>3573</v>
      </c>
      <c r="B778" s="114">
        <v>0.39</v>
      </c>
      <c r="C778" s="122">
        <v>1</v>
      </c>
      <c r="D778" s="116">
        <v>125641025.64102563</v>
      </c>
      <c r="E778" s="241">
        <v>0.1</v>
      </c>
      <c r="F778" s="122">
        <v>5.0391666666666668E-2</v>
      </c>
      <c r="G778" s="116">
        <v>3279230769.2307692</v>
      </c>
      <c r="H778" s="116">
        <v>3470336000</v>
      </c>
      <c r="I778" s="114">
        <v>0.94493177871847833</v>
      </c>
      <c r="J778" s="116">
        <v>16.73076923076923</v>
      </c>
    </row>
    <row r="779" spans="1:10">
      <c r="A779" s="55">
        <v>6192</v>
      </c>
      <c r="B779" s="45">
        <v>1.1599999999999999</v>
      </c>
      <c r="C779" s="123">
        <v>0.96470588235294119</v>
      </c>
      <c r="D779" s="121">
        <v>118965517.24137932</v>
      </c>
      <c r="E779" s="241">
        <v>0.27</v>
      </c>
      <c r="F779" s="123">
        <v>3.7066666666666657E-2</v>
      </c>
      <c r="G779" s="46">
        <v>5050086206.8965521</v>
      </c>
      <c r="H779" s="46">
        <v>5335765000</v>
      </c>
      <c r="I779" s="56">
        <v>0.94645963735219829</v>
      </c>
      <c r="J779" s="125">
        <v>9.4834156854499589</v>
      </c>
    </row>
    <row r="780" spans="1:10">
      <c r="A780" s="55">
        <v>3163</v>
      </c>
      <c r="B780" s="114">
        <v>-0.25</v>
      </c>
      <c r="C780" s="122">
        <v>1</v>
      </c>
      <c r="D780" s="116">
        <v>72000000</v>
      </c>
      <c r="E780" s="241">
        <v>0.05</v>
      </c>
      <c r="F780" s="122">
        <v>2.6733333333333342E-2</v>
      </c>
      <c r="G780" s="116">
        <v>2278800000</v>
      </c>
      <c r="H780" s="116">
        <v>2402419000</v>
      </c>
      <c r="I780" s="114">
        <v>0.94854394674700793</v>
      </c>
      <c r="J780" s="116">
        <v>0</v>
      </c>
    </row>
    <row r="781" spans="1:10">
      <c r="A781" s="55">
        <v>2015</v>
      </c>
      <c r="B781" s="114">
        <v>0.64</v>
      </c>
      <c r="C781" s="122">
        <v>0.87662337662337664</v>
      </c>
      <c r="D781" s="116">
        <v>581250000</v>
      </c>
      <c r="E781" s="241">
        <v>0.1</v>
      </c>
      <c r="F781" s="122">
        <v>2.2833333333333334E-2</v>
      </c>
      <c r="G781" s="116">
        <v>22232812500</v>
      </c>
      <c r="H781" s="116">
        <v>23380188000</v>
      </c>
      <c r="I781" s="114">
        <v>0.95092530906937101</v>
      </c>
      <c r="J781" s="116">
        <v>17.044270833333332</v>
      </c>
    </row>
    <row r="782" spans="1:10">
      <c r="A782" s="55">
        <v>9911</v>
      </c>
      <c r="B782" s="45">
        <v>0.55000000000000004</v>
      </c>
      <c r="C782" s="123">
        <v>0.80382775119617222</v>
      </c>
      <c r="D782" s="121">
        <v>270909090.90909088</v>
      </c>
      <c r="E782" s="241">
        <v>0.32</v>
      </c>
      <c r="F782" s="123">
        <v>2.0799999999999992E-2</v>
      </c>
      <c r="G782" s="46">
        <v>4916999999.999999</v>
      </c>
      <c r="H782" s="46">
        <v>5148596000</v>
      </c>
      <c r="I782" s="56">
        <v>0.95501763976043164</v>
      </c>
      <c r="J782" s="125">
        <v>10.263392857142856</v>
      </c>
    </row>
    <row r="783" spans="1:10">
      <c r="A783" s="55">
        <v>2478</v>
      </c>
      <c r="B783" s="114">
        <v>0.4</v>
      </c>
      <c r="C783" s="122">
        <v>0.59060402684563762</v>
      </c>
      <c r="D783" s="116">
        <v>255000000</v>
      </c>
      <c r="E783" s="241">
        <v>0.18</v>
      </c>
      <c r="F783" s="122">
        <v>1.0800000000000004E-2</v>
      </c>
      <c r="G783" s="116">
        <v>3748500000</v>
      </c>
      <c r="H783" s="116">
        <v>3923416000</v>
      </c>
      <c r="I783" s="114">
        <v>0.95541742196086266</v>
      </c>
      <c r="J783" s="116">
        <v>15.556107954545451</v>
      </c>
    </row>
    <row r="784" spans="1:10" ht="16.149999999999999" customHeight="1">
      <c r="A784" s="55">
        <v>6133</v>
      </c>
      <c r="B784" s="45">
        <v>0.31</v>
      </c>
      <c r="C784" s="123">
        <v>0.22727272727272727</v>
      </c>
      <c r="D784" s="121">
        <v>116129032.25806452</v>
      </c>
      <c r="E784" s="241">
        <v>0.21</v>
      </c>
      <c r="F784" s="123">
        <v>9.0833333333332925E-4</v>
      </c>
      <c r="G784" s="46">
        <v>1143870967.7419355</v>
      </c>
      <c r="H784" s="46">
        <v>1190571000</v>
      </c>
      <c r="I784" s="56">
        <v>0.96077509677451867</v>
      </c>
      <c r="J784" s="125">
        <v>34.951612903225808</v>
      </c>
    </row>
    <row r="785" spans="1:10" ht="16.5" customHeight="1">
      <c r="A785" s="55">
        <v>8427</v>
      </c>
      <c r="B785" s="45">
        <v>-0.4</v>
      </c>
      <c r="C785" s="123">
        <v>1</v>
      </c>
      <c r="D785" s="121">
        <v>105000000</v>
      </c>
      <c r="E785" s="241">
        <v>0.23</v>
      </c>
      <c r="F785" s="123">
        <v>0.35264999999999991</v>
      </c>
      <c r="G785" s="46">
        <v>5250000000</v>
      </c>
      <c r="H785" s="46">
        <v>5461757000</v>
      </c>
      <c r="I785" s="56">
        <v>0.96122914292964701</v>
      </c>
      <c r="J785" s="125">
        <v>0</v>
      </c>
    </row>
    <row r="786" spans="1:10" ht="16.5" customHeight="1">
      <c r="A786" s="55">
        <v>3122</v>
      </c>
      <c r="B786" s="114">
        <v>0.19</v>
      </c>
      <c r="C786" s="122">
        <v>0.3888888888888889</v>
      </c>
      <c r="D786" s="116">
        <v>36842105.263157897</v>
      </c>
      <c r="E786" s="241">
        <v>0.34</v>
      </c>
      <c r="F786" s="122">
        <v>4.4125000000000004E-2</v>
      </c>
      <c r="G786" s="116">
        <v>550789473.68421054</v>
      </c>
      <c r="H786" s="116">
        <v>571987000</v>
      </c>
      <c r="I786" s="114">
        <v>0.96294054529947448</v>
      </c>
      <c r="J786" s="116">
        <v>50</v>
      </c>
    </row>
    <row r="787" spans="1:10">
      <c r="A787" s="55">
        <v>3594</v>
      </c>
      <c r="B787" s="114">
        <v>0.15</v>
      </c>
      <c r="C787" s="122">
        <v>0</v>
      </c>
      <c r="D787" s="116">
        <v>53333333.333333336</v>
      </c>
      <c r="E787" s="241">
        <v>0.36</v>
      </c>
      <c r="F787" s="122">
        <v>0.17787500000000001</v>
      </c>
      <c r="G787" s="116">
        <v>1394666666.6666667</v>
      </c>
      <c r="H787" s="116">
        <v>1447825000</v>
      </c>
      <c r="I787" s="114">
        <v>0.96328400646947443</v>
      </c>
      <c r="J787" s="116">
        <v>0</v>
      </c>
    </row>
    <row r="788" spans="1:10">
      <c r="A788" s="55">
        <v>2340</v>
      </c>
      <c r="B788" s="114">
        <v>0.28999999999999998</v>
      </c>
      <c r="C788" s="122">
        <v>0.71241830065359479</v>
      </c>
      <c r="D788" s="116">
        <v>548275862.06896555</v>
      </c>
      <c r="E788" s="241">
        <v>0.3</v>
      </c>
      <c r="F788" s="122">
        <v>5.4499999999999974E-3</v>
      </c>
      <c r="G788" s="116">
        <v>5449862068.965517</v>
      </c>
      <c r="H788" s="116">
        <v>5630540000</v>
      </c>
      <c r="I788" s="114">
        <v>0.96791108294506689</v>
      </c>
      <c r="J788" s="116">
        <v>12.027997469155331</v>
      </c>
    </row>
    <row r="789" spans="1:10">
      <c r="A789" s="55">
        <v>4104</v>
      </c>
      <c r="B789" s="45">
        <v>0.77</v>
      </c>
      <c r="C789" s="123">
        <v>0.48691099476439792</v>
      </c>
      <c r="D789" s="121">
        <v>116883116.88311689</v>
      </c>
      <c r="E789" s="241">
        <v>0.19</v>
      </c>
      <c r="F789" s="123">
        <v>-6.6250000000000015E-3</v>
      </c>
      <c r="G789" s="46">
        <v>5972727272.727273</v>
      </c>
      <c r="H789" s="46">
        <v>6168106000</v>
      </c>
      <c r="I789" s="56">
        <v>0.96832435641139647</v>
      </c>
      <c r="J789" s="125">
        <v>34.073802541544481</v>
      </c>
    </row>
    <row r="790" spans="1:10">
      <c r="A790" s="55">
        <v>1702</v>
      </c>
      <c r="B790" s="114">
        <v>0.91</v>
      </c>
      <c r="C790" s="122">
        <v>1</v>
      </c>
      <c r="D790" s="116">
        <v>247252747.25274724</v>
      </c>
      <c r="E790" s="241">
        <v>0.36</v>
      </c>
      <c r="F790" s="122">
        <v>1.1908333333333332E-2</v>
      </c>
      <c r="G790" s="116">
        <v>15008241758.241758</v>
      </c>
      <c r="H790" s="116">
        <v>15495891000</v>
      </c>
      <c r="I790" s="114">
        <v>0.96853041611106827</v>
      </c>
      <c r="J790" s="116">
        <v>16.675824175824175</v>
      </c>
    </row>
    <row r="791" spans="1:10">
      <c r="A791" s="55">
        <v>1568</v>
      </c>
      <c r="B791" s="114">
        <v>0.48</v>
      </c>
      <c r="C791" s="122">
        <v>0.78749999999999998</v>
      </c>
      <c r="D791" s="116">
        <v>104166666.66666667</v>
      </c>
      <c r="E791" s="241">
        <v>0.17</v>
      </c>
      <c r="F791" s="122">
        <v>2.5258333333333327E-2</v>
      </c>
      <c r="G791" s="116">
        <v>2312500000</v>
      </c>
      <c r="H791" s="116">
        <v>2385963000</v>
      </c>
      <c r="I791" s="114">
        <v>0.96921033561710723</v>
      </c>
      <c r="J791" s="116">
        <v>14.682539682539682</v>
      </c>
    </row>
    <row r="792" spans="1:10">
      <c r="A792" s="55">
        <v>2033</v>
      </c>
      <c r="B792" s="114">
        <v>-0.05</v>
      </c>
      <c r="C792" s="122">
        <v>0.75</v>
      </c>
      <c r="D792" s="116">
        <v>80000000</v>
      </c>
      <c r="E792" s="241">
        <v>0.09</v>
      </c>
      <c r="F792" s="122">
        <v>2.2749999999999992E-2</v>
      </c>
      <c r="G792" s="116">
        <v>728000000</v>
      </c>
      <c r="H792" s="116">
        <v>747537000</v>
      </c>
      <c r="I792" s="114">
        <v>0.97386483879727692</v>
      </c>
      <c r="J792" s="116">
        <v>0</v>
      </c>
    </row>
    <row r="793" spans="1:10">
      <c r="A793" s="55">
        <v>6411</v>
      </c>
      <c r="B793" s="45">
        <v>1.1100000000000001</v>
      </c>
      <c r="C793" s="123">
        <v>0.69411764705882351</v>
      </c>
      <c r="D793" s="121">
        <v>63063063.063063055</v>
      </c>
      <c r="E793" s="241">
        <v>0.28999999999999998</v>
      </c>
      <c r="F793" s="123">
        <v>4.265E-2</v>
      </c>
      <c r="G793" s="46">
        <v>1973873873.8738737</v>
      </c>
      <c r="H793" s="46">
        <v>2009837000</v>
      </c>
      <c r="I793" s="56">
        <v>0.98210644638041478</v>
      </c>
      <c r="J793" s="125">
        <v>10.156130706978164</v>
      </c>
    </row>
    <row r="794" spans="1:10">
      <c r="A794" s="55">
        <v>1730</v>
      </c>
      <c r="B794" s="114">
        <v>0.81</v>
      </c>
      <c r="C794" s="122">
        <v>0.80555555555555558</v>
      </c>
      <c r="D794" s="116">
        <v>53086419.753086418</v>
      </c>
      <c r="E794" s="241">
        <v>0.45</v>
      </c>
      <c r="F794" s="122">
        <v>1.7316666666666671E-2</v>
      </c>
      <c r="G794" s="116">
        <v>1958888888.8888888</v>
      </c>
      <c r="H794" s="116">
        <v>1985764000</v>
      </c>
      <c r="I794" s="114">
        <v>0.98646611021696884</v>
      </c>
      <c r="J794" s="116">
        <v>14.137931034482756</v>
      </c>
    </row>
    <row r="795" spans="1:10">
      <c r="A795" s="55">
        <v>2442</v>
      </c>
      <c r="B795" s="114">
        <v>-0.12</v>
      </c>
      <c r="C795" s="122">
        <v>1</v>
      </c>
      <c r="D795" s="116">
        <v>200000000</v>
      </c>
      <c r="E795" s="241">
        <v>0.24</v>
      </c>
      <c r="F795" s="122">
        <v>0.18823333333333334</v>
      </c>
      <c r="G795" s="116">
        <v>1216000000</v>
      </c>
      <c r="H795" s="116">
        <v>1227672000</v>
      </c>
      <c r="I795" s="114">
        <v>0.99049257456389006</v>
      </c>
      <c r="J795" s="116">
        <v>0</v>
      </c>
    </row>
    <row r="796" spans="1:10">
      <c r="A796" s="55">
        <v>8131</v>
      </c>
      <c r="B796" s="45">
        <v>0.66</v>
      </c>
      <c r="C796" s="123">
        <v>1</v>
      </c>
      <c r="D796" s="121">
        <v>445454545.45454544</v>
      </c>
      <c r="E796" s="241">
        <v>0.16</v>
      </c>
      <c r="F796" s="123">
        <v>-5.6000000000000008E-3</v>
      </c>
      <c r="G796" s="46">
        <v>8686363636.363636</v>
      </c>
      <c r="H796" s="46">
        <v>8760789000</v>
      </c>
      <c r="I796" s="56">
        <v>0.99150471907994087</v>
      </c>
      <c r="J796" s="125">
        <v>7.3863636363636358</v>
      </c>
    </row>
    <row r="797" spans="1:10">
      <c r="A797" s="55">
        <v>6431</v>
      </c>
      <c r="B797" s="45">
        <v>-0.24</v>
      </c>
      <c r="C797" s="123">
        <v>1</v>
      </c>
      <c r="D797" s="121">
        <v>45833333.333333336</v>
      </c>
      <c r="E797" s="241">
        <v>-0.12</v>
      </c>
      <c r="F797" s="123">
        <v>0.59537499999999999</v>
      </c>
      <c r="G797" s="46">
        <v>412500000</v>
      </c>
      <c r="H797" s="46">
        <v>415069000</v>
      </c>
      <c r="I797" s="56">
        <v>0.99381066762393722</v>
      </c>
      <c r="J797" s="125">
        <v>0</v>
      </c>
    </row>
    <row r="798" spans="1:10">
      <c r="A798" s="55">
        <v>8021</v>
      </c>
      <c r="B798" s="45">
        <v>0.68</v>
      </c>
      <c r="C798" s="123">
        <v>1</v>
      </c>
      <c r="D798" s="121">
        <v>160294117.64705881</v>
      </c>
      <c r="E798" s="241">
        <v>0.32</v>
      </c>
      <c r="F798" s="123">
        <v>4.0583333333333331E-3</v>
      </c>
      <c r="G798" s="46">
        <v>3486397058.8235292</v>
      </c>
      <c r="H798" s="46">
        <v>3505897000</v>
      </c>
      <c r="I798" s="56">
        <v>0.99443795947899472</v>
      </c>
      <c r="J798" s="125">
        <v>7.9963235294117645</v>
      </c>
    </row>
    <row r="799" spans="1:10">
      <c r="A799" s="55">
        <v>5425</v>
      </c>
      <c r="B799" s="45">
        <v>1.01</v>
      </c>
      <c r="C799" s="123">
        <v>0.72950819672131151</v>
      </c>
      <c r="D799" s="121">
        <v>230693069.30693069</v>
      </c>
      <c r="E799" s="241">
        <v>0.33</v>
      </c>
      <c r="F799" s="123">
        <v>1.1624999999999996E-2</v>
      </c>
      <c r="G799" s="46">
        <v>7705148514.8514843</v>
      </c>
      <c r="H799" s="46">
        <v>7723780000</v>
      </c>
      <c r="I799" s="56">
        <v>0.99758777630272799</v>
      </c>
      <c r="J799" s="125">
        <v>11.332740015574592</v>
      </c>
    </row>
    <row r="800" spans="1:10">
      <c r="A800" s="55">
        <v>5525</v>
      </c>
      <c r="B800" s="45">
        <v>0.52</v>
      </c>
      <c r="C800" s="123">
        <v>1</v>
      </c>
      <c r="D800" s="121">
        <v>242307692.30769229</v>
      </c>
      <c r="E800" s="241">
        <v>0.26</v>
      </c>
      <c r="F800" s="123">
        <v>0.34183333333333338</v>
      </c>
      <c r="G800" s="46">
        <v>3743653846.1538458</v>
      </c>
      <c r="H800" s="46">
        <v>3751296000</v>
      </c>
      <c r="I800" s="56">
        <v>0.99796279636526841</v>
      </c>
      <c r="J800" s="125">
        <v>7.427884615384615</v>
      </c>
    </row>
    <row r="801" spans="1:11">
      <c r="A801" s="55">
        <v>4944</v>
      </c>
      <c r="B801" s="45">
        <v>-0.96</v>
      </c>
      <c r="C801" s="123">
        <v>0.99692307692307691</v>
      </c>
      <c r="D801" s="121">
        <v>210416666.66666669</v>
      </c>
      <c r="E801" s="241">
        <v>-0.23</v>
      </c>
      <c r="F801" s="123">
        <v>5.8333333333332926E-4</v>
      </c>
      <c r="G801" s="46">
        <v>2177812500</v>
      </c>
      <c r="H801" s="46">
        <v>2181318000</v>
      </c>
      <c r="I801" s="56">
        <v>0.99839294408243084</v>
      </c>
      <c r="J801" s="125">
        <v>0</v>
      </c>
    </row>
    <row r="802" spans="1:11">
      <c r="A802" s="55">
        <v>8921</v>
      </c>
      <c r="B802" s="45">
        <v>0.24</v>
      </c>
      <c r="C802" s="123">
        <v>0.7142857142857143</v>
      </c>
      <c r="D802" s="121">
        <v>45833333.333333336</v>
      </c>
      <c r="E802" s="241">
        <v>0.15</v>
      </c>
      <c r="F802" s="123">
        <v>-1.5333333333333368E-3</v>
      </c>
      <c r="G802" s="46">
        <v>724166666.66666675</v>
      </c>
      <c r="H802" s="46">
        <v>724403000</v>
      </c>
      <c r="I802" s="56">
        <v>0.99967375434208139</v>
      </c>
      <c r="J802" s="125">
        <v>23.041666666666668</v>
      </c>
      <c r="K802" s="26"/>
    </row>
    <row r="803" spans="1:11">
      <c r="A803" s="55">
        <v>3545</v>
      </c>
      <c r="B803" s="114">
        <v>0.49</v>
      </c>
      <c r="C803" s="122">
        <v>3.8022813688212928E-3</v>
      </c>
      <c r="D803" s="116">
        <v>408163265.30612248</v>
      </c>
      <c r="E803" s="241">
        <v>0.17</v>
      </c>
      <c r="F803" s="122">
        <v>0.23507500000000001</v>
      </c>
      <c r="G803" s="116">
        <v>11551020408.163267</v>
      </c>
      <c r="H803" s="116">
        <v>11479738000</v>
      </c>
      <c r="I803" s="114">
        <v>1.0062094107168009</v>
      </c>
      <c r="J803" s="116">
        <v>50</v>
      </c>
    </row>
    <row r="804" spans="1:11">
      <c r="A804" s="55">
        <v>6207</v>
      </c>
      <c r="B804" s="45">
        <v>1.27</v>
      </c>
      <c r="C804" s="123">
        <v>0.69753086419753085</v>
      </c>
      <c r="D804" s="121">
        <v>84251968.503937006</v>
      </c>
      <c r="E804" s="241">
        <v>0.28000000000000003</v>
      </c>
      <c r="F804" s="123">
        <v>-2.9750000000000009E-2</v>
      </c>
      <c r="G804" s="46">
        <v>2009409448.8188977</v>
      </c>
      <c r="H804" s="46">
        <v>1992241000</v>
      </c>
      <c r="I804" s="56">
        <v>1.0086176566082605</v>
      </c>
      <c r="J804" s="125">
        <v>6.7307156295728525</v>
      </c>
    </row>
    <row r="805" spans="1:11">
      <c r="A805" s="55">
        <v>1236</v>
      </c>
      <c r="B805" s="114">
        <v>0.09</v>
      </c>
      <c r="C805" s="122">
        <v>1</v>
      </c>
      <c r="D805" s="116">
        <v>111111111.11111112</v>
      </c>
      <c r="E805" s="241">
        <v>0.27</v>
      </c>
      <c r="F805" s="122">
        <v>7.4733333333333332E-2</v>
      </c>
      <c r="G805" s="116">
        <v>2344444444.4444447</v>
      </c>
      <c r="H805" s="116">
        <v>2317070000</v>
      </c>
      <c r="I805" s="114">
        <v>1.0118142500849974</v>
      </c>
      <c r="J805" s="116">
        <v>50</v>
      </c>
    </row>
    <row r="806" spans="1:11">
      <c r="A806" s="55">
        <v>4535</v>
      </c>
      <c r="B806" s="45">
        <v>1.06</v>
      </c>
      <c r="C806" s="123">
        <v>0.89855072463768115</v>
      </c>
      <c r="D806" s="121">
        <v>75471698.113207549</v>
      </c>
      <c r="E806" s="241">
        <v>0.17</v>
      </c>
      <c r="F806" s="123">
        <v>1.4500000000000006E-3</v>
      </c>
      <c r="G806" s="46">
        <v>3396226415.0943398</v>
      </c>
      <c r="H806" s="46">
        <v>3354698000</v>
      </c>
      <c r="I806" s="56">
        <v>1.0123791814030174</v>
      </c>
      <c r="J806" s="125">
        <v>11.811472915398662</v>
      </c>
    </row>
    <row r="807" spans="1:11">
      <c r="A807" s="55">
        <v>5276</v>
      </c>
      <c r="B807" s="45">
        <v>0.64</v>
      </c>
      <c r="C807" s="123">
        <v>0.82926829268292679</v>
      </c>
      <c r="D807" s="121">
        <v>39062500</v>
      </c>
      <c r="E807" s="241">
        <v>0.21</v>
      </c>
      <c r="F807" s="123">
        <v>3.8175000000000008E-2</v>
      </c>
      <c r="G807" s="46">
        <v>810546875</v>
      </c>
      <c r="H807" s="46">
        <v>799081000</v>
      </c>
      <c r="I807" s="56">
        <v>1.0143488269649761</v>
      </c>
      <c r="J807" s="125">
        <v>9.7742417279411757</v>
      </c>
    </row>
    <row r="808" spans="1:11">
      <c r="A808" s="55">
        <v>6509</v>
      </c>
      <c r="B808" s="45">
        <v>0.28999999999999998</v>
      </c>
      <c r="C808" s="123">
        <v>1</v>
      </c>
      <c r="D808" s="121">
        <v>168965517.24137932</v>
      </c>
      <c r="E808" s="241">
        <v>0.25</v>
      </c>
      <c r="F808" s="123">
        <v>1.9075000000000005E-2</v>
      </c>
      <c r="G808" s="46">
        <v>3185000000.0000005</v>
      </c>
      <c r="H808" s="46">
        <v>3135146000</v>
      </c>
      <c r="I808" s="56">
        <v>1.0159016517891035</v>
      </c>
      <c r="J808" s="125">
        <v>16.250000000000004</v>
      </c>
    </row>
    <row r="809" spans="1:11">
      <c r="A809" s="55">
        <v>8935</v>
      </c>
      <c r="B809" s="45">
        <v>-0.18</v>
      </c>
      <c r="C809" s="123">
        <v>0.76923076923076927</v>
      </c>
      <c r="D809" s="121">
        <v>122222222.22222222</v>
      </c>
      <c r="E809" s="241">
        <v>0.14000000000000001</v>
      </c>
      <c r="F809" s="123">
        <v>-7.1500000000000027E-3</v>
      </c>
      <c r="G809" s="46">
        <v>728444444.44444442</v>
      </c>
      <c r="H809" s="46">
        <v>716811000</v>
      </c>
      <c r="I809" s="56">
        <v>1.0162294446436291</v>
      </c>
      <c r="J809" s="125">
        <v>0</v>
      </c>
    </row>
    <row r="810" spans="1:11">
      <c r="A810" s="55">
        <v>1724</v>
      </c>
      <c r="B810" s="114">
        <v>0.44</v>
      </c>
      <c r="C810" s="122">
        <v>0.75308641975308643</v>
      </c>
      <c r="D810" s="116">
        <v>127272727.27272727</v>
      </c>
      <c r="E810" s="241">
        <v>0.2</v>
      </c>
      <c r="F810" s="122">
        <v>2.5425E-2</v>
      </c>
      <c r="G810" s="116">
        <v>1820000000</v>
      </c>
      <c r="H810" s="116">
        <v>1789368000</v>
      </c>
      <c r="I810" s="114">
        <v>1.017118893374644</v>
      </c>
      <c r="J810" s="116">
        <v>10.788934426229508</v>
      </c>
    </row>
    <row r="811" spans="1:11">
      <c r="A811" s="55">
        <v>9924</v>
      </c>
      <c r="B811" s="45">
        <v>1.44</v>
      </c>
      <c r="C811" s="123">
        <v>0.63982102908277405</v>
      </c>
      <c r="D811" s="121">
        <v>188194444.44444445</v>
      </c>
      <c r="E811" s="241">
        <v>0.22</v>
      </c>
      <c r="F811" s="123">
        <v>2.5050000000000006E-2</v>
      </c>
      <c r="G811" s="46">
        <v>8139409722.2222223</v>
      </c>
      <c r="H811" s="46">
        <v>7992278000</v>
      </c>
      <c r="I811" s="56">
        <v>1.0184092347916605</v>
      </c>
      <c r="J811" s="125">
        <v>11.735595134032634</v>
      </c>
    </row>
    <row r="812" spans="1:11">
      <c r="A812" s="55">
        <v>3479</v>
      </c>
      <c r="B812" s="114">
        <v>1.57</v>
      </c>
      <c r="C812" s="122">
        <v>0.8783783783783784</v>
      </c>
      <c r="D812" s="116">
        <v>68152866.24203822</v>
      </c>
      <c r="E812" s="241">
        <v>0.27</v>
      </c>
      <c r="F812" s="122">
        <v>2.939166666666666E-2</v>
      </c>
      <c r="G812" s="116">
        <v>4573057324.840764</v>
      </c>
      <c r="H812" s="116">
        <v>4483788000</v>
      </c>
      <c r="I812" s="114">
        <v>1.0199093545102409</v>
      </c>
      <c r="J812" s="116">
        <v>12.164135227829494</v>
      </c>
    </row>
    <row r="813" spans="1:11">
      <c r="A813" s="55">
        <v>1591</v>
      </c>
      <c r="B813" s="114">
        <v>0.26</v>
      </c>
      <c r="C813" s="122">
        <v>0.93333333333333335</v>
      </c>
      <c r="D813" s="116">
        <v>30769230.769230768</v>
      </c>
      <c r="E813" s="241">
        <v>0.22</v>
      </c>
      <c r="F813" s="122">
        <v>7.9999999999999288E-4</v>
      </c>
      <c r="G813" s="116">
        <v>584615384.61538458</v>
      </c>
      <c r="H813" s="116">
        <v>572690000</v>
      </c>
      <c r="I813" s="114">
        <v>1.0208234552993496</v>
      </c>
      <c r="J813" s="116">
        <v>19.574175824175825</v>
      </c>
    </row>
    <row r="814" spans="1:11">
      <c r="A814" s="55">
        <v>1701</v>
      </c>
      <c r="B814" s="114">
        <v>0.4</v>
      </c>
      <c r="C814" s="122">
        <v>0.3256880733944954</v>
      </c>
      <c r="D814" s="116">
        <v>297500000</v>
      </c>
      <c r="E814" s="241">
        <v>0.27</v>
      </c>
      <c r="F814" s="122">
        <v>9.0916666666666663E-3</v>
      </c>
      <c r="G814" s="116">
        <v>5712000000</v>
      </c>
      <c r="H814" s="116">
        <v>5579831000</v>
      </c>
      <c r="I814" s="114">
        <v>1.0236869181163373</v>
      </c>
      <c r="J814" s="116">
        <v>36.845070422535208</v>
      </c>
    </row>
    <row r="815" spans="1:11">
      <c r="A815" s="55">
        <v>1503</v>
      </c>
      <c r="B815" s="114">
        <v>0.59</v>
      </c>
      <c r="C815" s="122">
        <v>0.46057347670250898</v>
      </c>
      <c r="D815" s="116">
        <v>518644067.79661018</v>
      </c>
      <c r="E815" s="241">
        <v>0.2</v>
      </c>
      <c r="F815" s="122">
        <v>2.4308333333333331E-2</v>
      </c>
      <c r="G815" s="116">
        <v>20486440677.966103</v>
      </c>
      <c r="H815" s="116">
        <v>19973405000</v>
      </c>
      <c r="I815" s="114">
        <v>1.0256859397767233</v>
      </c>
      <c r="J815" s="116">
        <v>36.340104201015635</v>
      </c>
    </row>
    <row r="816" spans="1:11">
      <c r="A816" s="55">
        <v>6419</v>
      </c>
      <c r="B816" s="45">
        <v>0.35</v>
      </c>
      <c r="C816" s="123">
        <v>0.44444444444444442</v>
      </c>
      <c r="D816" s="121">
        <v>22857142.857142858</v>
      </c>
      <c r="E816" s="241">
        <v>0.7</v>
      </c>
      <c r="F816" s="123">
        <v>5.2000000000000024E-3</v>
      </c>
      <c r="G816" s="46">
        <v>435428571.42857146</v>
      </c>
      <c r="H816" s="46">
        <v>423433000</v>
      </c>
      <c r="I816" s="56">
        <v>1.0283293258403843</v>
      </c>
      <c r="J816" s="125">
        <v>30.616071428571434</v>
      </c>
    </row>
    <row r="817" spans="1:10">
      <c r="A817" s="55">
        <v>5212</v>
      </c>
      <c r="B817" s="45">
        <v>0.45</v>
      </c>
      <c r="C817" s="123">
        <v>1</v>
      </c>
      <c r="D817" s="121">
        <v>35555555.555555552</v>
      </c>
      <c r="E817" s="241">
        <v>0.52</v>
      </c>
      <c r="F817" s="123">
        <v>8.4675000000000014E-2</v>
      </c>
      <c r="G817" s="46">
        <v>677333333.33333325</v>
      </c>
      <c r="H817" s="46">
        <v>658354000</v>
      </c>
      <c r="I817" s="56">
        <v>1.0288284620938482</v>
      </c>
      <c r="J817" s="125">
        <v>10.583333333333334</v>
      </c>
    </row>
    <row r="818" spans="1:10">
      <c r="A818" s="55">
        <v>6114</v>
      </c>
      <c r="B818" s="45">
        <v>2.29</v>
      </c>
      <c r="C818" s="123">
        <v>0.83687943262411346</v>
      </c>
      <c r="D818" s="121">
        <v>36244541.484716155</v>
      </c>
      <c r="E818" s="241">
        <v>0.26</v>
      </c>
      <c r="F818" s="123">
        <v>3.8666666666666689E-3</v>
      </c>
      <c r="G818" s="46">
        <v>1799541484.716157</v>
      </c>
      <c r="H818" s="46">
        <v>1746328000</v>
      </c>
      <c r="I818" s="56">
        <v>1.0304716437668966</v>
      </c>
      <c r="J818" s="125">
        <v>6.4768059359040784</v>
      </c>
    </row>
    <row r="819" spans="1:10">
      <c r="A819" s="55">
        <v>3501</v>
      </c>
      <c r="B819" s="114">
        <v>2.31</v>
      </c>
      <c r="C819" s="122">
        <v>0.53333333333333333</v>
      </c>
      <c r="D819" s="116">
        <v>115584415.58441558</v>
      </c>
      <c r="E819" s="241">
        <v>0.28000000000000003</v>
      </c>
      <c r="F819" s="122">
        <v>-6.999999999999975E-4</v>
      </c>
      <c r="G819" s="116">
        <v>5600064935.0649357</v>
      </c>
      <c r="H819" s="116">
        <v>5421303000</v>
      </c>
      <c r="I819" s="114">
        <v>1.0329739796991491</v>
      </c>
      <c r="J819" s="116">
        <v>9.831574675324676</v>
      </c>
    </row>
    <row r="820" spans="1:10">
      <c r="A820" s="55">
        <v>4972</v>
      </c>
      <c r="B820" s="45">
        <v>1.37</v>
      </c>
      <c r="C820" s="123">
        <v>0.71111111111111114</v>
      </c>
      <c r="D820" s="121">
        <v>37956204.379562043</v>
      </c>
      <c r="E820" s="241">
        <v>0.35</v>
      </c>
      <c r="F820" s="123">
        <v>4.0474999999999997E-2</v>
      </c>
      <c r="G820" s="46">
        <v>1355036496.3503649</v>
      </c>
      <c r="H820" s="46">
        <v>1311022000</v>
      </c>
      <c r="I820" s="56">
        <v>1.0335726603751614</v>
      </c>
      <c r="J820" s="125">
        <v>9.1611541970802914</v>
      </c>
    </row>
    <row r="821" spans="1:10">
      <c r="A821" s="55">
        <v>3060</v>
      </c>
      <c r="B821" s="114">
        <v>1.7</v>
      </c>
      <c r="C821" s="122">
        <v>6.6496163682864456E-2</v>
      </c>
      <c r="D821" s="116">
        <v>174117647.05882353</v>
      </c>
      <c r="E821" s="241">
        <v>0.17</v>
      </c>
      <c r="F821" s="122">
        <v>3.0975000000000003E-2</v>
      </c>
      <c r="G821" s="116">
        <v>8453411764.7058821</v>
      </c>
      <c r="H821" s="116">
        <v>8164884000</v>
      </c>
      <c r="I821" s="114">
        <v>1.0353376440750268</v>
      </c>
      <c r="J821" s="116">
        <v>50</v>
      </c>
    </row>
    <row r="822" spans="1:10">
      <c r="A822" s="55">
        <v>1101</v>
      </c>
      <c r="B822" s="114">
        <v>0.26</v>
      </c>
      <c r="C822" s="122">
        <v>1</v>
      </c>
      <c r="D822" s="116">
        <v>3650000000</v>
      </c>
      <c r="E822" s="241">
        <v>0.15</v>
      </c>
      <c r="F822" s="122">
        <v>1.4116666666666678E-2</v>
      </c>
      <c r="G822" s="116">
        <v>97090000000</v>
      </c>
      <c r="H822" s="116">
        <v>93747051000</v>
      </c>
      <c r="I822" s="114">
        <v>1.0356592443638575</v>
      </c>
      <c r="J822" s="116">
        <v>25.576923076923077</v>
      </c>
    </row>
    <row r="823" spans="1:10">
      <c r="A823" s="55">
        <v>3664</v>
      </c>
      <c r="B823" s="114">
        <v>-0.55000000000000004</v>
      </c>
      <c r="C823" s="122">
        <v>0.99319727891156462</v>
      </c>
      <c r="D823" s="116">
        <v>78181818.181818172</v>
      </c>
      <c r="E823" s="241">
        <v>0.69</v>
      </c>
      <c r="F823" s="122">
        <v>0.33959999999999996</v>
      </c>
      <c r="G823" s="116">
        <v>1051545454.5454544</v>
      </c>
      <c r="H823" s="116">
        <v>1015251000</v>
      </c>
      <c r="I823" s="114">
        <v>1.0357492428428579</v>
      </c>
      <c r="J823" s="116">
        <v>0</v>
      </c>
    </row>
    <row r="824" spans="1:10">
      <c r="A824" s="55">
        <v>8354</v>
      </c>
      <c r="B824" s="45">
        <v>0.89</v>
      </c>
      <c r="C824" s="123">
        <v>0.46478873239436619</v>
      </c>
      <c r="D824" s="121">
        <v>64044943.820224717</v>
      </c>
      <c r="E824" s="241">
        <v>0.24</v>
      </c>
      <c r="F824" s="123">
        <v>2.2591666666666663E-2</v>
      </c>
      <c r="G824" s="46">
        <v>970280898.87640452</v>
      </c>
      <c r="H824" s="46">
        <v>936628000</v>
      </c>
      <c r="I824" s="56">
        <v>1.0359298450146746</v>
      </c>
      <c r="J824" s="125">
        <v>9.156026557711952</v>
      </c>
    </row>
    <row r="825" spans="1:10">
      <c r="A825" s="55">
        <v>4542</v>
      </c>
      <c r="B825" s="45">
        <v>0.36</v>
      </c>
      <c r="C825" s="123">
        <v>0</v>
      </c>
      <c r="D825" s="121">
        <v>27777777.77777778</v>
      </c>
      <c r="E825" s="241">
        <v>0.23</v>
      </c>
      <c r="F825" s="123">
        <v>0.10511666666666668</v>
      </c>
      <c r="G825" s="46">
        <v>502777777.77777785</v>
      </c>
      <c r="H825" s="46">
        <v>483916000</v>
      </c>
      <c r="I825" s="56">
        <v>1.0389773799125837</v>
      </c>
      <c r="J825" s="125">
        <v>0</v>
      </c>
    </row>
    <row r="826" spans="1:10">
      <c r="A826" s="55">
        <v>1504</v>
      </c>
      <c r="B826" s="114">
        <v>0.48</v>
      </c>
      <c r="C826" s="122">
        <v>0.57677902621722843</v>
      </c>
      <c r="D826" s="116">
        <v>1991666666.6666667</v>
      </c>
      <c r="E826" s="241">
        <v>0.25</v>
      </c>
      <c r="F826" s="122">
        <v>5.2166666666666681E-3</v>
      </c>
      <c r="G826" s="116">
        <v>50687916666.666664</v>
      </c>
      <c r="H826" s="116">
        <v>48586677000</v>
      </c>
      <c r="I826" s="114">
        <v>1.0432472397045525</v>
      </c>
      <c r="J826" s="116">
        <v>22.981432629870131</v>
      </c>
    </row>
    <row r="827" spans="1:10">
      <c r="A827" s="55">
        <v>2108</v>
      </c>
      <c r="B827" s="114">
        <v>0.82</v>
      </c>
      <c r="C827" s="122">
        <v>0.86102719033232633</v>
      </c>
      <c r="D827" s="116">
        <v>424390243.90243906</v>
      </c>
      <c r="E827" s="241">
        <v>0.26</v>
      </c>
      <c r="F827" s="122">
        <v>1.0858333333333331E-2</v>
      </c>
      <c r="G827" s="116">
        <v>10142926829.268293</v>
      </c>
      <c r="H827" s="116">
        <v>9713413000</v>
      </c>
      <c r="I827" s="114">
        <v>1.0442186314190793</v>
      </c>
      <c r="J827" s="116">
        <v>8.4626658108686339</v>
      </c>
    </row>
    <row r="828" spans="1:10">
      <c r="A828" s="55">
        <v>2642</v>
      </c>
      <c r="B828" s="114">
        <v>7.0000000000000007E-2</v>
      </c>
      <c r="C828" s="122">
        <v>0.22580645161290322</v>
      </c>
      <c r="D828" s="116">
        <v>99999999.999999985</v>
      </c>
      <c r="E828" s="241">
        <v>0.16</v>
      </c>
      <c r="F828" s="122">
        <v>4.6166666666666656E-3</v>
      </c>
      <c r="G828" s="116">
        <v>2719999999.9999995</v>
      </c>
      <c r="H828" s="116">
        <v>2588169000</v>
      </c>
      <c r="I828" s="114">
        <v>1.0509360092018718</v>
      </c>
      <c r="J828" s="116">
        <v>50</v>
      </c>
    </row>
    <row r="829" spans="1:10">
      <c r="A829" s="55">
        <v>2062</v>
      </c>
      <c r="B829" s="114">
        <v>1.07</v>
      </c>
      <c r="C829" s="122">
        <v>0.84154929577464788</v>
      </c>
      <c r="D829" s="116">
        <v>162616822.42990655</v>
      </c>
      <c r="E829" s="241">
        <v>0.22</v>
      </c>
      <c r="F829" s="122">
        <v>2.2575000000000001E-2</v>
      </c>
      <c r="G829" s="116">
        <v>7122616822.4299059</v>
      </c>
      <c r="H829" s="116">
        <v>6776525000</v>
      </c>
      <c r="I829" s="114">
        <v>1.0510721678780652</v>
      </c>
      <c r="J829" s="116">
        <v>12.160481758104249</v>
      </c>
    </row>
    <row r="830" spans="1:10">
      <c r="A830" s="55">
        <v>8210</v>
      </c>
      <c r="B830" s="45">
        <v>1.1200000000000001</v>
      </c>
      <c r="C830" s="123">
        <v>0.78542510121457487</v>
      </c>
      <c r="D830" s="121">
        <v>119642857.14285713</v>
      </c>
      <c r="E830" s="241">
        <v>0.26</v>
      </c>
      <c r="F830" s="123">
        <v>2.7641666666666662E-2</v>
      </c>
      <c r="G830" s="46">
        <v>4666071428.5714283</v>
      </c>
      <c r="H830" s="46">
        <v>4439084000</v>
      </c>
      <c r="I830" s="56">
        <v>1.0511338439577689</v>
      </c>
      <c r="J830" s="125">
        <v>11.083624815905743</v>
      </c>
    </row>
    <row r="831" spans="1:10">
      <c r="A831" s="55">
        <v>6234</v>
      </c>
      <c r="B831" s="45">
        <v>0.27</v>
      </c>
      <c r="C831" s="123">
        <v>0</v>
      </c>
      <c r="D831" s="121">
        <v>70370370.370370373</v>
      </c>
      <c r="E831" s="241">
        <v>0.06</v>
      </c>
      <c r="F831" s="123">
        <v>-1.2091666666666669E-2</v>
      </c>
      <c r="G831" s="46">
        <v>1203333333.3333335</v>
      </c>
      <c r="H831" s="46">
        <v>1143963000</v>
      </c>
      <c r="I831" s="56">
        <v>1.0518988230679955</v>
      </c>
      <c r="J831" s="125">
        <v>0</v>
      </c>
    </row>
    <row r="832" spans="1:10">
      <c r="A832" s="55">
        <v>1440</v>
      </c>
      <c r="B832" s="114">
        <v>0.23</v>
      </c>
      <c r="C832" s="122">
        <v>0.45149253731343286</v>
      </c>
      <c r="D832" s="116">
        <v>1643478260.8695652</v>
      </c>
      <c r="E832" s="241">
        <v>0.13</v>
      </c>
      <c r="F832" s="122">
        <v>1.5250000000000005E-3</v>
      </c>
      <c r="G832" s="116">
        <v>22680000000</v>
      </c>
      <c r="H832" s="116">
        <v>21523224000</v>
      </c>
      <c r="I832" s="114">
        <v>1.0537454797664141</v>
      </c>
      <c r="J832" s="116">
        <v>33.223140495867767</v>
      </c>
    </row>
    <row r="833" spans="1:11">
      <c r="A833" s="55">
        <v>5215</v>
      </c>
      <c r="B833" s="45">
        <v>1.26</v>
      </c>
      <c r="C833" s="123">
        <v>0.61111111111111116</v>
      </c>
      <c r="D833" s="121">
        <v>53968253.96825397</v>
      </c>
      <c r="E833" s="241">
        <v>0.24</v>
      </c>
      <c r="F833" s="123">
        <v>2.605E-2</v>
      </c>
      <c r="G833" s="46">
        <v>2088571428.5714288</v>
      </c>
      <c r="H833" s="46">
        <v>1980144000</v>
      </c>
      <c r="I833" s="56">
        <v>1.0547573452089489</v>
      </c>
      <c r="J833" s="125">
        <v>12.564935064935066</v>
      </c>
    </row>
    <row r="834" spans="1:11">
      <c r="A834" s="55">
        <v>3023</v>
      </c>
      <c r="B834" s="114">
        <v>1.38</v>
      </c>
      <c r="C834" s="122">
        <v>0.69398907103825136</v>
      </c>
      <c r="D834" s="116">
        <v>214492753.62318844</v>
      </c>
      <c r="E834" s="241">
        <v>0.23</v>
      </c>
      <c r="F834" s="122">
        <v>2.0008333333333333E-2</v>
      </c>
      <c r="G834" s="116">
        <v>13191304347.826088</v>
      </c>
      <c r="H834" s="116">
        <v>12484281000</v>
      </c>
      <c r="I834" s="114">
        <v>1.0566330850632157</v>
      </c>
      <c r="J834" s="116">
        <v>16.054005477576172</v>
      </c>
    </row>
    <row r="835" spans="1:11">
      <c r="A835" s="55">
        <v>5522</v>
      </c>
      <c r="B835" s="45">
        <v>1.4</v>
      </c>
      <c r="C835" s="123">
        <v>0.89178294573643413</v>
      </c>
      <c r="D835" s="121">
        <v>838571428.57142866</v>
      </c>
      <c r="E835" s="241">
        <v>0.33</v>
      </c>
      <c r="F835" s="123">
        <v>0.10401666666666666</v>
      </c>
      <c r="G835" s="46">
        <v>28679142857.142864</v>
      </c>
      <c r="H835" s="46">
        <v>27115878000</v>
      </c>
      <c r="I835" s="56">
        <v>1.0576512719648195</v>
      </c>
      <c r="J835" s="125">
        <v>6.848239121796146</v>
      </c>
    </row>
    <row r="836" spans="1:11">
      <c r="A836" s="55">
        <v>3362</v>
      </c>
      <c r="B836" s="114">
        <v>0.03</v>
      </c>
      <c r="C836" s="122">
        <v>1</v>
      </c>
      <c r="D836" s="116">
        <v>100000000</v>
      </c>
      <c r="E836" s="241">
        <v>0.12</v>
      </c>
      <c r="F836" s="122">
        <v>1.2908333333333334E-2</v>
      </c>
      <c r="G836" s="116">
        <v>1325000000</v>
      </c>
      <c r="H836" s="116">
        <v>1252348000</v>
      </c>
      <c r="I836" s="114">
        <v>1.0580126290775407</v>
      </c>
      <c r="J836" s="116">
        <v>50</v>
      </c>
    </row>
    <row r="837" spans="1:11">
      <c r="A837" s="55">
        <v>2035</v>
      </c>
      <c r="B837" s="114">
        <v>-1.0900000000000001</v>
      </c>
      <c r="C837" s="122">
        <v>1</v>
      </c>
      <c r="D837" s="116">
        <v>349541284.40366971</v>
      </c>
      <c r="E837" s="241">
        <v>-0.11</v>
      </c>
      <c r="F837" s="122">
        <v>-2.0591666666666671E-2</v>
      </c>
      <c r="G837" s="116">
        <v>15624495412.844038</v>
      </c>
      <c r="H837" s="116">
        <v>14760421000</v>
      </c>
      <c r="I837" s="114">
        <v>1.0585399571491922</v>
      </c>
      <c r="J837" s="116">
        <v>0</v>
      </c>
    </row>
    <row r="838" spans="1:11">
      <c r="A838" s="55">
        <v>2484</v>
      </c>
      <c r="B838" s="114">
        <v>0.65</v>
      </c>
      <c r="C838" s="122">
        <v>0.50617283950617287</v>
      </c>
      <c r="D838" s="116">
        <v>160000000</v>
      </c>
      <c r="E838" s="241">
        <v>0.19</v>
      </c>
      <c r="F838" s="122">
        <v>5.2833333333333343E-3</v>
      </c>
      <c r="G838" s="116">
        <v>2976000000</v>
      </c>
      <c r="H838" s="116">
        <v>2794034000</v>
      </c>
      <c r="I838" s="114">
        <v>1.0651266233696512</v>
      </c>
      <c r="J838" s="116">
        <v>14.133208255159474</v>
      </c>
    </row>
    <row r="839" spans="1:11">
      <c r="A839" s="55">
        <v>1580</v>
      </c>
      <c r="B839" s="114">
        <v>2.78</v>
      </c>
      <c r="C839" s="122">
        <v>1</v>
      </c>
      <c r="D839" s="116">
        <v>48561151.079136692</v>
      </c>
      <c r="E839" s="241">
        <v>0.39</v>
      </c>
      <c r="F839" s="122">
        <v>7.0608333333333342E-2</v>
      </c>
      <c r="G839" s="116">
        <v>4375359712.230216</v>
      </c>
      <c r="H839" s="116">
        <v>4104553000</v>
      </c>
      <c r="I839" s="114">
        <v>1.0659771507957665</v>
      </c>
      <c r="J839" s="116">
        <v>8.1025179856115113</v>
      </c>
    </row>
    <row r="840" spans="1:11">
      <c r="A840" s="55">
        <v>1742</v>
      </c>
      <c r="B840" s="114">
        <v>-0.46</v>
      </c>
      <c r="C840" s="122">
        <v>0.65</v>
      </c>
      <c r="D840" s="116">
        <v>65217391.304347821</v>
      </c>
      <c r="E840" s="241">
        <v>-0.01</v>
      </c>
      <c r="F840" s="122">
        <v>4.8433333333333307E-2</v>
      </c>
      <c r="G840" s="116">
        <v>691304347.82608688</v>
      </c>
      <c r="H840" s="116">
        <v>647492000</v>
      </c>
      <c r="I840" s="114">
        <v>1.0676646936581253</v>
      </c>
      <c r="J840" s="116">
        <v>0</v>
      </c>
      <c r="K840" s="26"/>
    </row>
    <row r="841" spans="1:11">
      <c r="A841" s="55">
        <v>1521</v>
      </c>
      <c r="B841" s="114">
        <v>1.43</v>
      </c>
      <c r="C841" s="122">
        <v>0.78217821782178221</v>
      </c>
      <c r="D841" s="116">
        <v>76223776.223776221</v>
      </c>
      <c r="E841" s="241">
        <v>0.16</v>
      </c>
      <c r="F841" s="122">
        <v>1.8216666666666662E-2</v>
      </c>
      <c r="G841" s="116">
        <v>6120769230.7692299</v>
      </c>
      <c r="H841" s="116">
        <v>5731553000</v>
      </c>
      <c r="I841" s="114">
        <v>1.0679076387794424</v>
      </c>
      <c r="J841" s="116">
        <v>17.947906523855892</v>
      </c>
    </row>
    <row r="842" spans="1:11">
      <c r="A842" s="55">
        <v>3432</v>
      </c>
      <c r="B842" s="114">
        <v>0.33</v>
      </c>
      <c r="C842" s="122">
        <v>0</v>
      </c>
      <c r="D842" s="116">
        <v>66666666.666666664</v>
      </c>
      <c r="E842" s="241">
        <v>0.3</v>
      </c>
      <c r="F842" s="122">
        <v>-4.7033333333333337E-2</v>
      </c>
      <c r="G842" s="116">
        <v>776666666.66666663</v>
      </c>
      <c r="H842" s="116">
        <v>724751000</v>
      </c>
      <c r="I842" s="114">
        <v>1.0716324181224539</v>
      </c>
      <c r="J842" s="116">
        <v>0</v>
      </c>
    </row>
    <row r="843" spans="1:11">
      <c r="A843" s="55">
        <v>3492</v>
      </c>
      <c r="B843" s="114">
        <v>1.07</v>
      </c>
      <c r="C843" s="122">
        <v>0.70175438596491224</v>
      </c>
      <c r="D843" s="116">
        <v>35514018.691588782</v>
      </c>
      <c r="E843" s="241">
        <v>0.26</v>
      </c>
      <c r="F843" s="122">
        <v>6.7900000000000002E-2</v>
      </c>
      <c r="G843" s="116">
        <v>1225233644.859813</v>
      </c>
      <c r="H843" s="116">
        <v>1141990000</v>
      </c>
      <c r="I843" s="114">
        <v>1.0728934971933317</v>
      </c>
      <c r="J843" s="116">
        <v>11.486565420560748</v>
      </c>
    </row>
    <row r="844" spans="1:11">
      <c r="A844" s="55">
        <v>9905</v>
      </c>
      <c r="B844" s="45">
        <v>0.81</v>
      </c>
      <c r="C844" s="123">
        <v>0.88801571709233795</v>
      </c>
      <c r="D844" s="121">
        <v>307407407.4074074</v>
      </c>
      <c r="E844" s="241">
        <v>0.2</v>
      </c>
      <c r="F844" s="123">
        <v>1.8375000000000006E-2</v>
      </c>
      <c r="G844" s="46">
        <v>8545925925.9259262</v>
      </c>
      <c r="H844" s="46">
        <v>7954399000</v>
      </c>
      <c r="I844" s="56">
        <v>1.074364754134904</v>
      </c>
      <c r="J844" s="125">
        <v>9.6622692013547464</v>
      </c>
    </row>
    <row r="845" spans="1:11">
      <c r="A845" s="55">
        <v>5519</v>
      </c>
      <c r="B845" s="45">
        <v>0.44</v>
      </c>
      <c r="C845" s="123">
        <v>0.97701149425287359</v>
      </c>
      <c r="D845" s="121">
        <v>181818181.81818181</v>
      </c>
      <c r="E845" s="241">
        <v>0.23</v>
      </c>
      <c r="F845" s="123">
        <v>0.13449166666666665</v>
      </c>
      <c r="G845" s="46">
        <v>2381818181.8181815</v>
      </c>
      <c r="H845" s="46">
        <v>2216810000</v>
      </c>
      <c r="I845" s="56">
        <v>1.074434968183192</v>
      </c>
      <c r="J845" s="125">
        <v>7.6183155080213902</v>
      </c>
    </row>
    <row r="846" spans="1:11">
      <c r="A846" s="55">
        <v>3605</v>
      </c>
      <c r="B846" s="114">
        <v>0.76</v>
      </c>
      <c r="C846" s="122">
        <v>0</v>
      </c>
      <c r="D846" s="116">
        <v>121052631.57894737</v>
      </c>
      <c r="E846" s="241">
        <v>0.27</v>
      </c>
      <c r="F846" s="122">
        <v>3.3416666666666671E-2</v>
      </c>
      <c r="G846" s="116">
        <v>4273157894.7368417</v>
      </c>
      <c r="H846" s="116">
        <v>3967929000</v>
      </c>
      <c r="I846" s="114">
        <v>1.0769239809323305</v>
      </c>
      <c r="J846" s="116">
        <v>0</v>
      </c>
    </row>
    <row r="847" spans="1:11">
      <c r="A847" s="55">
        <v>4976</v>
      </c>
      <c r="B847" s="45">
        <v>-0.06</v>
      </c>
      <c r="C847" s="123">
        <v>1</v>
      </c>
      <c r="D847" s="121">
        <v>100000000</v>
      </c>
      <c r="E847" s="241">
        <v>7.0000000000000007E-2</v>
      </c>
      <c r="F847" s="123">
        <v>1.7691666666666665E-2</v>
      </c>
      <c r="G847" s="46">
        <v>1515000000</v>
      </c>
      <c r="H847" s="46">
        <v>1406022000</v>
      </c>
      <c r="I847" s="56">
        <v>1.077508033302466</v>
      </c>
      <c r="J847" s="125">
        <v>0</v>
      </c>
    </row>
    <row r="848" spans="1:11">
      <c r="A848" s="55">
        <v>8121</v>
      </c>
      <c r="B848" s="45">
        <v>-0.55000000000000004</v>
      </c>
      <c r="C848" s="123">
        <v>1</v>
      </c>
      <c r="D848" s="121">
        <v>183636363.63636363</v>
      </c>
      <c r="E848" s="241">
        <v>-0.05</v>
      </c>
      <c r="F848" s="123">
        <v>4.224999999999997E-3</v>
      </c>
      <c r="G848" s="46">
        <v>2589272727.272727</v>
      </c>
      <c r="H848" s="46">
        <v>2400480000</v>
      </c>
      <c r="I848" s="56">
        <v>1.0786479067822798</v>
      </c>
      <c r="J848" s="125">
        <v>0</v>
      </c>
    </row>
    <row r="849" spans="1:10">
      <c r="A849" s="55">
        <v>1611</v>
      </c>
      <c r="B849" s="114">
        <v>0.65</v>
      </c>
      <c r="C849" s="122">
        <v>0</v>
      </c>
      <c r="D849" s="116">
        <v>400000000</v>
      </c>
      <c r="E849" s="241">
        <v>0.21</v>
      </c>
      <c r="F849" s="122">
        <v>-1.9666666666666647E-3</v>
      </c>
      <c r="G849" s="116">
        <v>2904000000</v>
      </c>
      <c r="H849" s="116">
        <v>2692184000</v>
      </c>
      <c r="I849" s="114">
        <v>1.0786781289837544</v>
      </c>
      <c r="J849" s="116">
        <v>0</v>
      </c>
    </row>
    <row r="850" spans="1:10">
      <c r="A850" s="55">
        <v>2423</v>
      </c>
      <c r="B850" s="114">
        <v>0.5</v>
      </c>
      <c r="C850" s="122">
        <v>0.5321100917431193</v>
      </c>
      <c r="D850" s="116">
        <v>138000000</v>
      </c>
      <c r="E850" s="241">
        <v>0.48</v>
      </c>
      <c r="F850" s="122">
        <v>3.1074999999999995E-2</v>
      </c>
      <c r="G850" s="116">
        <v>2332200000</v>
      </c>
      <c r="H850" s="116">
        <v>2152689000</v>
      </c>
      <c r="I850" s="114">
        <v>1.083389193701459</v>
      </c>
      <c r="J850" s="116">
        <v>15.880172413793101</v>
      </c>
    </row>
    <row r="851" spans="1:10">
      <c r="A851" s="55">
        <v>3088</v>
      </c>
      <c r="B851" s="114">
        <v>1.9</v>
      </c>
      <c r="C851" s="122">
        <v>0.77973568281938321</v>
      </c>
      <c r="D851" s="116">
        <v>78947368.421052635</v>
      </c>
      <c r="E851" s="241">
        <v>0.36</v>
      </c>
      <c r="F851" s="122">
        <v>2.6991666666666674E-2</v>
      </c>
      <c r="G851" s="116">
        <v>5202631578.9473686</v>
      </c>
      <c r="H851" s="116">
        <v>4790899000</v>
      </c>
      <c r="I851" s="114">
        <v>1.0859405675108929</v>
      </c>
      <c r="J851" s="116">
        <v>11.120502527505206</v>
      </c>
    </row>
    <row r="852" spans="1:10">
      <c r="A852" s="55">
        <v>3167</v>
      </c>
      <c r="B852" s="114">
        <v>1.1499999999999999</v>
      </c>
      <c r="C852" s="122">
        <v>0.65536723163841804</v>
      </c>
      <c r="D852" s="116">
        <v>80000000</v>
      </c>
      <c r="E852" s="241">
        <v>0.35</v>
      </c>
      <c r="F852" s="122">
        <v>2.5300000000000007E-2</v>
      </c>
      <c r="G852" s="116">
        <v>2080000000</v>
      </c>
      <c r="H852" s="116">
        <v>1914655000</v>
      </c>
      <c r="I852" s="114">
        <v>1.0863575944491306</v>
      </c>
      <c r="J852" s="116">
        <v>8.6244377811094477</v>
      </c>
    </row>
    <row r="853" spans="1:10">
      <c r="A853" s="55">
        <v>2303</v>
      </c>
      <c r="B853" s="114">
        <v>0.14000000000000001</v>
      </c>
      <c r="C853" s="122">
        <v>0.7281230183893469</v>
      </c>
      <c r="D853" s="116">
        <v>12199999999.999998</v>
      </c>
      <c r="E853" s="241">
        <v>0.2</v>
      </c>
      <c r="F853" s="122">
        <v>-8.125000000000002E-3</v>
      </c>
      <c r="G853" s="116">
        <v>157379999999.99997</v>
      </c>
      <c r="H853" s="116">
        <v>144830421000</v>
      </c>
      <c r="I853" s="114">
        <v>1.0866501589469244</v>
      </c>
      <c r="J853" s="116">
        <v>31.637118596622187</v>
      </c>
    </row>
    <row r="854" spans="1:10">
      <c r="A854" s="55">
        <v>9960</v>
      </c>
      <c r="B854" s="45">
        <v>-7.0000000000000007E-2</v>
      </c>
      <c r="C854" s="123">
        <v>0</v>
      </c>
      <c r="D854" s="121">
        <v>28571428.571428567</v>
      </c>
      <c r="E854" s="241">
        <v>0.26</v>
      </c>
      <c r="F854" s="123">
        <v>8.8166666666666602E-3</v>
      </c>
      <c r="G854" s="46">
        <v>568571428.57142842</v>
      </c>
      <c r="H854" s="46">
        <v>522787000</v>
      </c>
      <c r="I854" s="56">
        <v>1.087577595792222</v>
      </c>
      <c r="J854" s="125">
        <v>0</v>
      </c>
    </row>
    <row r="855" spans="1:10">
      <c r="A855" s="55">
        <v>3373</v>
      </c>
      <c r="B855" s="114">
        <v>0.66</v>
      </c>
      <c r="C855" s="122">
        <v>0.48780487804878048</v>
      </c>
      <c r="D855" s="116">
        <v>42424242.424242422</v>
      </c>
      <c r="E855" s="241">
        <v>0.24</v>
      </c>
      <c r="F855" s="122">
        <v>1.9375E-2</v>
      </c>
      <c r="G855" s="116">
        <v>1016060606.060606</v>
      </c>
      <c r="H855" s="116">
        <v>931263000</v>
      </c>
      <c r="I855" s="114">
        <v>1.0910565608862437</v>
      </c>
      <c r="J855" s="116">
        <v>18.597537878787879</v>
      </c>
    </row>
    <row r="856" spans="1:10">
      <c r="A856" s="55">
        <v>3093</v>
      </c>
      <c r="B856" s="114">
        <v>0.67</v>
      </c>
      <c r="C856" s="122">
        <v>0.61764705882352944</v>
      </c>
      <c r="D856" s="116">
        <v>35820895.522388056</v>
      </c>
      <c r="E856" s="241">
        <v>0.37</v>
      </c>
      <c r="F856" s="122">
        <v>-2.4583333333333241E-3</v>
      </c>
      <c r="G856" s="116">
        <v>1002985074.6268656</v>
      </c>
      <c r="H856" s="116">
        <v>919157000</v>
      </c>
      <c r="I856" s="114">
        <v>1.091201040330287</v>
      </c>
      <c r="J856" s="116">
        <v>16.915422885572138</v>
      </c>
    </row>
    <row r="857" spans="1:10">
      <c r="A857" s="55">
        <v>2426</v>
      </c>
      <c r="B857" s="114">
        <v>0.41</v>
      </c>
      <c r="C857" s="122">
        <v>0.84651162790697676</v>
      </c>
      <c r="D857" s="116">
        <v>275609756.097561</v>
      </c>
      <c r="E857" s="241">
        <v>0.22</v>
      </c>
      <c r="F857" s="122">
        <v>8.6083333333333307E-3</v>
      </c>
      <c r="G857" s="116">
        <v>3886097560.9756103</v>
      </c>
      <c r="H857" s="116">
        <v>3560038000</v>
      </c>
      <c r="I857" s="114">
        <v>1.0915887866858753</v>
      </c>
      <c r="J857" s="116">
        <v>10.156459394264273</v>
      </c>
    </row>
    <row r="858" spans="1:10">
      <c r="A858" s="55">
        <v>1808</v>
      </c>
      <c r="B858" s="114">
        <v>2.85</v>
      </c>
      <c r="C858" s="122">
        <v>1</v>
      </c>
      <c r="D858" s="116">
        <v>214736842.10526314</v>
      </c>
      <c r="E858" s="241">
        <v>0.28999999999999998</v>
      </c>
      <c r="F858" s="122">
        <v>5.6635999999999997</v>
      </c>
      <c r="G858" s="116">
        <v>5411368421.0526314</v>
      </c>
      <c r="H858" s="116">
        <v>4951316000</v>
      </c>
      <c r="I858" s="114">
        <v>1.0929151807423787</v>
      </c>
      <c r="J858" s="116">
        <v>2.2105263157894735</v>
      </c>
    </row>
    <row r="859" spans="1:10">
      <c r="A859" s="55">
        <v>8426</v>
      </c>
      <c r="B859" s="45">
        <v>0.88</v>
      </c>
      <c r="C859" s="123">
        <v>0.9285714285714286</v>
      </c>
      <c r="D859" s="121">
        <v>47727272.727272727</v>
      </c>
      <c r="E859" s="241">
        <v>0.34</v>
      </c>
      <c r="F859" s="123">
        <v>1.330833333333333E-2</v>
      </c>
      <c r="G859" s="46">
        <v>1913863636.3636365</v>
      </c>
      <c r="H859" s="46">
        <v>1744559000</v>
      </c>
      <c r="I859" s="56">
        <v>1.0970472402272646</v>
      </c>
      <c r="J859" s="125">
        <v>12.268356643356643</v>
      </c>
    </row>
    <row r="860" spans="1:10">
      <c r="A860" s="55">
        <v>6231</v>
      </c>
      <c r="B860" s="45">
        <v>0.12</v>
      </c>
      <c r="C860" s="123">
        <v>0.43333333333333335</v>
      </c>
      <c r="D860" s="121">
        <v>41666666.666666672</v>
      </c>
      <c r="E860" s="241">
        <v>0.82</v>
      </c>
      <c r="F860" s="123">
        <v>8.892499999999999E-2</v>
      </c>
      <c r="G860" s="46">
        <v>914583333.33333337</v>
      </c>
      <c r="H860" s="46">
        <v>830114000</v>
      </c>
      <c r="I860" s="56">
        <v>1.1017563049573111</v>
      </c>
      <c r="J860" s="125">
        <v>50</v>
      </c>
    </row>
    <row r="861" spans="1:10">
      <c r="A861" s="55">
        <v>5403</v>
      </c>
      <c r="B861" s="45">
        <v>0.39</v>
      </c>
      <c r="C861" s="123">
        <v>0.82352941176470584</v>
      </c>
      <c r="D861" s="121">
        <v>66666666.666666664</v>
      </c>
      <c r="E861" s="241">
        <v>0.25</v>
      </c>
      <c r="F861" s="123">
        <v>2.7158333333333329E-2</v>
      </c>
      <c r="G861" s="46">
        <v>1463333333.3333333</v>
      </c>
      <c r="H861" s="46">
        <v>1325684000</v>
      </c>
      <c r="I861" s="56">
        <v>1.1038326881318121</v>
      </c>
      <c r="J861" s="125">
        <v>17.085622710622712</v>
      </c>
    </row>
    <row r="862" spans="1:10">
      <c r="A862" s="55">
        <v>2471</v>
      </c>
      <c r="B862" s="114">
        <v>0.2</v>
      </c>
      <c r="C862" s="122">
        <v>0.10526315789473684</v>
      </c>
      <c r="D862" s="116">
        <v>50000000</v>
      </c>
      <c r="E862" s="241">
        <v>0.28000000000000003</v>
      </c>
      <c r="F862" s="122">
        <v>7.4608333333333332E-2</v>
      </c>
      <c r="G862" s="116">
        <v>670000000</v>
      </c>
      <c r="H862" s="116">
        <v>605828000</v>
      </c>
      <c r="I862" s="114">
        <v>1.1059244538053705</v>
      </c>
      <c r="J862" s="116">
        <v>50</v>
      </c>
    </row>
    <row r="863" spans="1:10">
      <c r="A863" s="55">
        <v>3580</v>
      </c>
      <c r="B863" s="114">
        <v>-0.19</v>
      </c>
      <c r="C863" s="122">
        <v>0.6470588235294118</v>
      </c>
      <c r="D863" s="116">
        <v>52631578.947368421</v>
      </c>
      <c r="E863" s="241">
        <v>0.25</v>
      </c>
      <c r="F863" s="122">
        <v>6.1516666666666671E-2</v>
      </c>
      <c r="G863" s="116">
        <v>521052631.57894737</v>
      </c>
      <c r="H863" s="116">
        <v>470237000</v>
      </c>
      <c r="I863" s="114">
        <v>1.1080638732786816</v>
      </c>
      <c r="J863" s="116">
        <v>0</v>
      </c>
    </row>
    <row r="864" spans="1:10">
      <c r="A864" s="55">
        <v>1603</v>
      </c>
      <c r="B864" s="114">
        <v>0.52</v>
      </c>
      <c r="C864" s="122">
        <v>0.36923076923076925</v>
      </c>
      <c r="D864" s="116">
        <v>282692307.69230771</v>
      </c>
      <c r="E864" s="241">
        <v>0.1</v>
      </c>
      <c r="F864" s="122">
        <v>8.2649999999999987E-2</v>
      </c>
      <c r="G864" s="116">
        <v>3392307692.3076925</v>
      </c>
      <c r="H864" s="116">
        <v>3051353000</v>
      </c>
      <c r="I864" s="114">
        <v>1.111738855618374</v>
      </c>
      <c r="J864" s="116">
        <v>15.625</v>
      </c>
    </row>
    <row r="865" spans="1:10">
      <c r="A865" s="55">
        <v>9941</v>
      </c>
      <c r="B865" s="45">
        <v>0.95</v>
      </c>
      <c r="C865" s="123">
        <v>1</v>
      </c>
      <c r="D865" s="121">
        <v>266315789.47368422</v>
      </c>
      <c r="E865" s="241">
        <v>0.41</v>
      </c>
      <c r="F865" s="123">
        <v>6.6166666666666691E-3</v>
      </c>
      <c r="G865" s="46">
        <v>18775263157.894737</v>
      </c>
      <c r="H865" s="46">
        <v>16887363000</v>
      </c>
      <c r="I865" s="56">
        <v>1.1117936623909095</v>
      </c>
      <c r="J865" s="125">
        <v>18.55263157894737</v>
      </c>
    </row>
    <row r="866" spans="1:10">
      <c r="A866" s="55">
        <v>2493</v>
      </c>
      <c r="B866" s="114">
        <v>1.1100000000000001</v>
      </c>
      <c r="C866" s="122">
        <v>0.76646706586826352</v>
      </c>
      <c r="D866" s="116">
        <v>114414414.41441441</v>
      </c>
      <c r="E866" s="241">
        <v>0.32</v>
      </c>
      <c r="F866" s="122">
        <v>2.674999999999999E-3</v>
      </c>
      <c r="G866" s="116">
        <v>2448468468.4684682</v>
      </c>
      <c r="H866" s="116">
        <v>2200585000</v>
      </c>
      <c r="I866" s="114">
        <v>1.1126443506924151</v>
      </c>
      <c r="J866" s="116">
        <v>6.2883586711711699</v>
      </c>
    </row>
    <row r="867" spans="1:10">
      <c r="A867" s="55">
        <v>2912</v>
      </c>
      <c r="B867" s="114">
        <v>2.36</v>
      </c>
      <c r="C867" s="122">
        <v>0.69915712124486706</v>
      </c>
      <c r="D867" s="116">
        <v>1040677966.1016949</v>
      </c>
      <c r="E867" s="241">
        <v>0.32</v>
      </c>
      <c r="F867" s="122">
        <v>6.5166666666666671E-3</v>
      </c>
      <c r="G867" s="116">
        <v>228949152542.37289</v>
      </c>
      <c r="H867" s="116">
        <v>205496339000</v>
      </c>
      <c r="I867" s="114">
        <v>1.1141276465386223</v>
      </c>
      <c r="J867" s="116">
        <v>33.333115028947162</v>
      </c>
    </row>
    <row r="868" spans="1:10">
      <c r="A868" s="55">
        <v>4735</v>
      </c>
      <c r="B868" s="45">
        <v>0.76</v>
      </c>
      <c r="C868" s="123">
        <v>0.8</v>
      </c>
      <c r="D868" s="121">
        <v>31578947.368421052</v>
      </c>
      <c r="E868" s="241">
        <v>0.19</v>
      </c>
      <c r="F868" s="123">
        <v>7.9774999999999999E-2</v>
      </c>
      <c r="G868" s="46">
        <v>1165263157.8947368</v>
      </c>
      <c r="H868" s="46">
        <v>1045784000</v>
      </c>
      <c r="I868" s="56">
        <v>1.1142484087485913</v>
      </c>
      <c r="J868" s="125">
        <v>15.17269736842105</v>
      </c>
    </row>
    <row r="869" spans="1:10">
      <c r="A869" s="55">
        <v>2207</v>
      </c>
      <c r="B869" s="114">
        <v>4.05</v>
      </c>
      <c r="C869" s="122">
        <v>0.56524493243243246</v>
      </c>
      <c r="D869" s="116">
        <v>545925925.92592597</v>
      </c>
      <c r="E869" s="241">
        <v>0.14000000000000001</v>
      </c>
      <c r="F869" s="122">
        <v>2.9300000000000003E-2</v>
      </c>
      <c r="G869" s="116">
        <v>179063703703.7037</v>
      </c>
      <c r="H869" s="116">
        <v>160597007000</v>
      </c>
      <c r="I869" s="114">
        <v>1.114987801134449</v>
      </c>
      <c r="J869" s="116">
        <v>35.81971711469906</v>
      </c>
    </row>
    <row r="870" spans="1:10">
      <c r="A870" s="55">
        <v>8277</v>
      </c>
      <c r="B870" s="45">
        <v>-0.01</v>
      </c>
      <c r="C870" s="123">
        <v>1</v>
      </c>
      <c r="D870" s="121">
        <v>100000000</v>
      </c>
      <c r="E870" s="241">
        <v>0.16</v>
      </c>
      <c r="F870" s="123">
        <v>6.1883333333333339E-2</v>
      </c>
      <c r="G870" s="46">
        <v>649000000</v>
      </c>
      <c r="H870" s="46">
        <v>581660000</v>
      </c>
      <c r="I870" s="56">
        <v>1.1157721005398342</v>
      </c>
      <c r="J870" s="125">
        <v>0</v>
      </c>
    </row>
    <row r="871" spans="1:10">
      <c r="A871" s="55">
        <v>1464</v>
      </c>
      <c r="B871" s="114">
        <v>0.39</v>
      </c>
      <c r="C871" s="122">
        <v>0.40625</v>
      </c>
      <c r="D871" s="116">
        <v>230769230.76923075</v>
      </c>
      <c r="E871" s="241">
        <v>0.18</v>
      </c>
      <c r="F871" s="122">
        <v>2.9991666666666666E-2</v>
      </c>
      <c r="G871" s="116">
        <v>7915384615.384614</v>
      </c>
      <c r="H871" s="116">
        <v>7081346000</v>
      </c>
      <c r="I871" s="114">
        <v>1.1177796728735772</v>
      </c>
      <c r="J871" s="116">
        <v>50</v>
      </c>
    </row>
    <row r="872" spans="1:10">
      <c r="A872" s="55">
        <v>2448</v>
      </c>
      <c r="B872" s="114">
        <v>-0.96</v>
      </c>
      <c r="C872" s="122">
        <v>1</v>
      </c>
      <c r="D872" s="116">
        <v>1079166666.6666667</v>
      </c>
      <c r="E872" s="241">
        <v>-0.05</v>
      </c>
      <c r="F872" s="122">
        <v>1.7058333333333332E-2</v>
      </c>
      <c r="G872" s="116">
        <v>28543958333.333336</v>
      </c>
      <c r="H872" s="116">
        <v>25512027000</v>
      </c>
      <c r="I872" s="114">
        <v>1.1188432159206063</v>
      </c>
      <c r="J872" s="116">
        <v>0</v>
      </c>
    </row>
    <row r="873" spans="1:10">
      <c r="A873" s="55">
        <v>5905</v>
      </c>
      <c r="B873" s="45">
        <v>0.22</v>
      </c>
      <c r="C873" s="123">
        <v>1</v>
      </c>
      <c r="D873" s="121">
        <v>204545454.54545453</v>
      </c>
      <c r="E873" s="241">
        <v>0.78</v>
      </c>
      <c r="F873" s="123">
        <v>3.2733333333333337E-2</v>
      </c>
      <c r="G873" s="46">
        <v>1752954545.4545455</v>
      </c>
      <c r="H873" s="46">
        <v>1566627000</v>
      </c>
      <c r="I873" s="56">
        <v>1.1189354871673638</v>
      </c>
      <c r="J873" s="125">
        <v>9.7386363636363633</v>
      </c>
    </row>
    <row r="874" spans="1:10">
      <c r="A874" s="55">
        <v>3526</v>
      </c>
      <c r="B874" s="114">
        <v>0.64</v>
      </c>
      <c r="C874" s="122">
        <v>0</v>
      </c>
      <c r="D874" s="116">
        <v>65625000</v>
      </c>
      <c r="E874" s="241">
        <v>0.28000000000000003</v>
      </c>
      <c r="F874" s="122">
        <v>3.1799999999999988E-2</v>
      </c>
      <c r="G874" s="116">
        <v>1935937500</v>
      </c>
      <c r="H874" s="116">
        <v>1728097000</v>
      </c>
      <c r="I874" s="114">
        <v>1.1202713157884077</v>
      </c>
      <c r="J874" s="116">
        <v>0</v>
      </c>
    </row>
    <row r="875" spans="1:10">
      <c r="A875" s="55">
        <v>3443</v>
      </c>
      <c r="B875" s="114">
        <v>0.92</v>
      </c>
      <c r="C875" s="122">
        <v>0.94339622641509435</v>
      </c>
      <c r="D875" s="116">
        <v>133695652.17391303</v>
      </c>
      <c r="E875" s="241">
        <v>0.26</v>
      </c>
      <c r="F875" s="122">
        <v>6.5024999999999999E-2</v>
      </c>
      <c r="G875" s="116">
        <v>8743695652.173914</v>
      </c>
      <c r="H875" s="116">
        <v>7762132000</v>
      </c>
      <c r="I875" s="114">
        <v>1.1264554187140741</v>
      </c>
      <c r="J875" s="116">
        <v>18.838043478260872</v>
      </c>
    </row>
    <row r="876" spans="1:10">
      <c r="A876" s="55">
        <v>3213</v>
      </c>
      <c r="B876" s="114">
        <v>0.93</v>
      </c>
      <c r="C876" s="122">
        <v>0.95238095238095233</v>
      </c>
      <c r="D876" s="116">
        <v>59139784.946236558</v>
      </c>
      <c r="E876" s="241">
        <v>0.2</v>
      </c>
      <c r="F876" s="122">
        <v>8.6666666666666955E-4</v>
      </c>
      <c r="G876" s="116">
        <v>2336021505.3763442</v>
      </c>
      <c r="H876" s="116">
        <v>2071096000</v>
      </c>
      <c r="I876" s="114">
        <v>1.127915608632504</v>
      </c>
      <c r="J876" s="116">
        <v>11.149193548387098</v>
      </c>
    </row>
    <row r="877" spans="1:10">
      <c r="A877" s="55">
        <v>3297</v>
      </c>
      <c r="B877" s="114">
        <v>0.46</v>
      </c>
      <c r="C877" s="122">
        <v>0</v>
      </c>
      <c r="D877" s="116">
        <v>36956521.73913043</v>
      </c>
      <c r="E877" s="241">
        <v>0.32</v>
      </c>
      <c r="F877" s="122">
        <v>7.1500000000000027E-3</v>
      </c>
      <c r="G877" s="116">
        <v>624565217.39130425</v>
      </c>
      <c r="H877" s="116">
        <v>553703000</v>
      </c>
      <c r="I877" s="114">
        <v>1.1279787492415685</v>
      </c>
      <c r="J877" s="116">
        <v>0</v>
      </c>
    </row>
    <row r="878" spans="1:10">
      <c r="A878" s="55">
        <v>1711</v>
      </c>
      <c r="B878" s="114">
        <v>0.36</v>
      </c>
      <c r="C878" s="122">
        <v>0.7516556291390728</v>
      </c>
      <c r="D878" s="116">
        <v>522222222.22222227</v>
      </c>
      <c r="E878" s="241">
        <v>0.25</v>
      </c>
      <c r="F878" s="122">
        <v>1.4875000000000001E-2</v>
      </c>
      <c r="G878" s="116">
        <v>10783888888.888889</v>
      </c>
      <c r="H878" s="116">
        <v>9537421000</v>
      </c>
      <c r="I878" s="114">
        <v>1.1306923421844217</v>
      </c>
      <c r="J878" s="116">
        <v>19.078255017131671</v>
      </c>
    </row>
    <row r="879" spans="1:10">
      <c r="A879" s="55">
        <v>2491</v>
      </c>
      <c r="B879" s="114">
        <v>-0.21</v>
      </c>
      <c r="C879" s="122">
        <v>0.66666666666666663</v>
      </c>
      <c r="D879" s="116">
        <v>61904761.90476191</v>
      </c>
      <c r="E879" s="241">
        <v>0.19</v>
      </c>
      <c r="F879" s="122">
        <v>7.7550000000000022E-2</v>
      </c>
      <c r="G879" s="116">
        <v>442619047.6190477</v>
      </c>
      <c r="H879" s="116">
        <v>389842000</v>
      </c>
      <c r="I879" s="114">
        <v>1.1353806096291517</v>
      </c>
      <c r="J879" s="116">
        <v>0</v>
      </c>
    </row>
    <row r="880" spans="1:10">
      <c r="A880" s="55">
        <v>1472</v>
      </c>
      <c r="B880" s="114">
        <v>-0.16</v>
      </c>
      <c r="C880" s="122">
        <v>1</v>
      </c>
      <c r="D880" s="116">
        <v>75000000</v>
      </c>
      <c r="E880" s="241">
        <v>0.04</v>
      </c>
      <c r="F880" s="122">
        <v>-4.7583333333333366E-3</v>
      </c>
      <c r="G880" s="116">
        <v>855000000</v>
      </c>
      <c r="H880" s="116">
        <v>752040000</v>
      </c>
      <c r="I880" s="114">
        <v>1.1369076112972714</v>
      </c>
      <c r="J880" s="116">
        <v>0</v>
      </c>
    </row>
    <row r="881" spans="1:10">
      <c r="A881" s="55">
        <v>8454</v>
      </c>
      <c r="B881" s="45">
        <v>1.82</v>
      </c>
      <c r="C881" s="123">
        <v>0.80492424242424243</v>
      </c>
      <c r="D881" s="121">
        <v>142307692.30769229</v>
      </c>
      <c r="E881" s="241">
        <v>0.12</v>
      </c>
      <c r="F881" s="123">
        <v>1.1250000000000003E-2</v>
      </c>
      <c r="G881" s="46">
        <v>29173076923.07692</v>
      </c>
      <c r="H881" s="46">
        <v>25639898000</v>
      </c>
      <c r="I881" s="56">
        <v>1.1378000381700786</v>
      </c>
      <c r="J881" s="125">
        <v>34.983839689722039</v>
      </c>
    </row>
    <row r="882" spans="1:10">
      <c r="A882" s="55">
        <v>1434</v>
      </c>
      <c r="B882" s="114">
        <v>0.61</v>
      </c>
      <c r="C882" s="122">
        <v>0.71277842907385702</v>
      </c>
      <c r="D882" s="116">
        <v>1670491803.2786887</v>
      </c>
      <c r="E882" s="241">
        <v>0.12</v>
      </c>
      <c r="F882" s="122">
        <v>-4.8249999999999986E-3</v>
      </c>
      <c r="G882" s="116">
        <v>48778360655.737709</v>
      </c>
      <c r="H882" s="116">
        <v>42832656000</v>
      </c>
      <c r="I882" s="114">
        <v>1.1388124204984558</v>
      </c>
      <c r="J882" s="116">
        <v>16.789527610008626</v>
      </c>
    </row>
    <row r="883" spans="1:10">
      <c r="A883" s="55">
        <v>1319</v>
      </c>
      <c r="B883" s="114">
        <v>0.82</v>
      </c>
      <c r="C883" s="122">
        <v>0.8876221498371335</v>
      </c>
      <c r="D883" s="116">
        <v>591463414.63414633</v>
      </c>
      <c r="E883" s="241">
        <v>0.22</v>
      </c>
      <c r="F883" s="122">
        <v>1.6683333333333331E-2</v>
      </c>
      <c r="G883" s="116">
        <v>26083536585.365852</v>
      </c>
      <c r="H883" s="116">
        <v>22738256000</v>
      </c>
      <c r="I883" s="114">
        <v>1.1471212473536163</v>
      </c>
      <c r="J883" s="116">
        <v>15.147348400089507</v>
      </c>
    </row>
    <row r="884" spans="1:10">
      <c r="A884" s="55">
        <v>5278</v>
      </c>
      <c r="B884" s="45">
        <v>-1.64</v>
      </c>
      <c r="C884" s="123">
        <v>1</v>
      </c>
      <c r="D884" s="121">
        <v>12195121.951219512</v>
      </c>
      <c r="E884" s="241">
        <v>0.77</v>
      </c>
      <c r="F884" s="123">
        <v>2.2441666666666665E-2</v>
      </c>
      <c r="G884" s="46">
        <v>279268292.68292683</v>
      </c>
      <c r="H884" s="46">
        <v>243385000</v>
      </c>
      <c r="I884" s="56">
        <v>1.1474342818289001</v>
      </c>
      <c r="J884" s="125">
        <v>0</v>
      </c>
    </row>
    <row r="885" spans="1:10">
      <c r="A885" s="55">
        <v>8147</v>
      </c>
      <c r="B885" s="45">
        <v>0.86</v>
      </c>
      <c r="C885" s="123">
        <v>0.62857142857142856</v>
      </c>
      <c r="D885" s="121">
        <v>22093023.255813953</v>
      </c>
      <c r="E885" s="241">
        <v>0.3</v>
      </c>
      <c r="F885" s="123">
        <v>9.3650000000000011E-2</v>
      </c>
      <c r="G885" s="46">
        <v>947790697.67441857</v>
      </c>
      <c r="H885" s="46">
        <v>824405000</v>
      </c>
      <c r="I885" s="56">
        <v>1.1496663626183958</v>
      </c>
      <c r="J885" s="125">
        <v>19.840116279069765</v>
      </c>
    </row>
    <row r="886" spans="1:10">
      <c r="A886" s="55">
        <v>3042</v>
      </c>
      <c r="B886" s="114">
        <v>0.92</v>
      </c>
      <c r="C886" s="122">
        <v>0.70626349892008644</v>
      </c>
      <c r="D886" s="116">
        <v>310869565.21739131</v>
      </c>
      <c r="E886" s="241">
        <v>0.24</v>
      </c>
      <c r="F886" s="122">
        <v>5.2916666666666667E-3</v>
      </c>
      <c r="G886" s="116">
        <v>10662826086.956522</v>
      </c>
      <c r="H886" s="116">
        <v>9265654000</v>
      </c>
      <c r="I886" s="114">
        <v>1.1507904446849107</v>
      </c>
      <c r="J886" s="116">
        <v>13.197131365509902</v>
      </c>
    </row>
    <row r="887" spans="1:10">
      <c r="A887" s="55">
        <v>3057</v>
      </c>
      <c r="B887" s="114">
        <v>0.12</v>
      </c>
      <c r="C887" s="122">
        <v>0</v>
      </c>
      <c r="D887" s="116">
        <v>166666666.66666669</v>
      </c>
      <c r="E887" s="241">
        <v>0.43</v>
      </c>
      <c r="F887" s="122">
        <v>2.8358333333333336E-2</v>
      </c>
      <c r="G887" s="116">
        <v>3466666666.666667</v>
      </c>
      <c r="H887" s="116">
        <v>2990279000</v>
      </c>
      <c r="I887" s="114">
        <v>1.1593121132398239</v>
      </c>
      <c r="J887" s="116">
        <v>0</v>
      </c>
    </row>
    <row r="888" spans="1:10">
      <c r="A888" s="55">
        <v>3191</v>
      </c>
      <c r="B888" s="114">
        <v>-0.13</v>
      </c>
      <c r="C888" s="122">
        <v>1</v>
      </c>
      <c r="D888" s="116">
        <v>53846153.846153848</v>
      </c>
      <c r="E888" s="241">
        <v>0.12</v>
      </c>
      <c r="F888" s="122">
        <v>0.28875833333333334</v>
      </c>
      <c r="G888" s="116">
        <v>958461538.46153855</v>
      </c>
      <c r="H888" s="116">
        <v>826442000</v>
      </c>
      <c r="I888" s="114">
        <v>1.1597444690148111</v>
      </c>
      <c r="J888" s="116">
        <v>0</v>
      </c>
    </row>
    <row r="889" spans="1:10">
      <c r="A889" s="55">
        <v>8429</v>
      </c>
      <c r="B889" s="45">
        <v>1.78</v>
      </c>
      <c r="C889" s="123">
        <v>1</v>
      </c>
      <c r="D889" s="121">
        <v>129213483.14606741</v>
      </c>
      <c r="E889" s="241">
        <v>0.34</v>
      </c>
      <c r="F889" s="123">
        <v>4.1075000000000014E-2</v>
      </c>
      <c r="G889" s="46">
        <v>6719101123.5955057</v>
      </c>
      <c r="H889" s="46">
        <v>5787112000</v>
      </c>
      <c r="I889" s="56">
        <v>1.1610456344365732</v>
      </c>
      <c r="J889" s="125">
        <v>7.3033707865168536</v>
      </c>
    </row>
    <row r="890" spans="1:10">
      <c r="A890" s="55">
        <v>1614</v>
      </c>
      <c r="B890" s="114">
        <v>0.32</v>
      </c>
      <c r="C890" s="122">
        <v>0.94791666666666663</v>
      </c>
      <c r="D890" s="116">
        <v>256250000</v>
      </c>
      <c r="E890" s="241">
        <v>0.19</v>
      </c>
      <c r="F890" s="122">
        <v>5.9375000000000004E-2</v>
      </c>
      <c r="G890" s="116">
        <v>6034687500</v>
      </c>
      <c r="H890" s="116">
        <v>5196907000</v>
      </c>
      <c r="I890" s="114">
        <v>1.1612075220895814</v>
      </c>
      <c r="J890" s="116">
        <v>19.409340659340661</v>
      </c>
    </row>
    <row r="891" spans="1:10">
      <c r="A891" s="55">
        <v>1321</v>
      </c>
      <c r="B891" s="114">
        <v>0.2</v>
      </c>
      <c r="C891" s="122">
        <v>0.41791044776119401</v>
      </c>
      <c r="D891" s="116">
        <v>220000000</v>
      </c>
      <c r="E891" s="241">
        <v>0.08</v>
      </c>
      <c r="F891" s="122">
        <v>1.9416666666666655E-3</v>
      </c>
      <c r="G891" s="116">
        <v>5357000000</v>
      </c>
      <c r="H891" s="116">
        <v>4602008000</v>
      </c>
      <c r="I891" s="114">
        <v>1.164057081169785</v>
      </c>
      <c r="J891" s="116">
        <v>50</v>
      </c>
    </row>
    <row r="892" spans="1:10">
      <c r="A892" s="55">
        <v>3390</v>
      </c>
      <c r="B892" s="114">
        <v>0.41</v>
      </c>
      <c r="C892" s="122">
        <v>0</v>
      </c>
      <c r="D892" s="116">
        <v>65853658.536585368</v>
      </c>
      <c r="E892" s="241">
        <v>0.06</v>
      </c>
      <c r="F892" s="122">
        <v>1.4733333333333333E-2</v>
      </c>
      <c r="G892" s="116">
        <v>908780487.80487812</v>
      </c>
      <c r="H892" s="116">
        <v>780028000</v>
      </c>
      <c r="I892" s="114">
        <v>1.165061366777703</v>
      </c>
      <c r="J892" s="116">
        <v>0</v>
      </c>
    </row>
    <row r="893" spans="1:10">
      <c r="A893" s="55">
        <v>1570</v>
      </c>
      <c r="B893" s="114">
        <v>0.8</v>
      </c>
      <c r="C893" s="122">
        <v>0.78688524590163933</v>
      </c>
      <c r="D893" s="116">
        <v>51250000</v>
      </c>
      <c r="E893" s="241">
        <v>0.28000000000000003</v>
      </c>
      <c r="F893" s="122">
        <v>4.1724999999999991E-2</v>
      </c>
      <c r="G893" s="116">
        <v>820000000</v>
      </c>
      <c r="H893" s="116">
        <v>703496000</v>
      </c>
      <c r="I893" s="114">
        <v>1.1656071960608163</v>
      </c>
      <c r="J893" s="116">
        <v>6.3541666666666661</v>
      </c>
    </row>
    <row r="894" spans="1:10">
      <c r="A894" s="55">
        <v>1506</v>
      </c>
      <c r="B894" s="114">
        <v>0.18</v>
      </c>
      <c r="C894" s="122">
        <v>0.46153846153846156</v>
      </c>
      <c r="D894" s="116">
        <v>122222222.22222222</v>
      </c>
      <c r="E894" s="241">
        <v>0.18</v>
      </c>
      <c r="F894" s="122">
        <v>2.0199999999999996E-2</v>
      </c>
      <c r="G894" s="116">
        <v>1845555555.5555556</v>
      </c>
      <c r="H894" s="116">
        <v>1582426000</v>
      </c>
      <c r="I894" s="114">
        <v>1.1662823762726064</v>
      </c>
      <c r="J894" s="116">
        <v>45.439814814814817</v>
      </c>
    </row>
    <row r="895" spans="1:10">
      <c r="A895" s="55">
        <v>4506</v>
      </c>
      <c r="B895" s="45">
        <v>0.8</v>
      </c>
      <c r="C895" s="123">
        <v>0.95129870129870131</v>
      </c>
      <c r="D895" s="121">
        <v>197500000</v>
      </c>
      <c r="E895" s="241">
        <v>0.22</v>
      </c>
      <c r="F895" s="123">
        <v>5.8333333333333475E-3</v>
      </c>
      <c r="G895" s="46">
        <v>4740000000</v>
      </c>
      <c r="H895" s="46">
        <v>4061770000</v>
      </c>
      <c r="I895" s="56">
        <v>1.1669789279058145</v>
      </c>
      <c r="J895" s="125">
        <v>7.8839590443686003</v>
      </c>
    </row>
    <row r="896" spans="1:10">
      <c r="A896" s="55">
        <v>4127</v>
      </c>
      <c r="B896" s="45">
        <v>0.13</v>
      </c>
      <c r="C896" s="123">
        <v>1</v>
      </c>
      <c r="D896" s="121">
        <v>46153846.153846152</v>
      </c>
      <c r="E896" s="241">
        <v>0.62</v>
      </c>
      <c r="F896" s="123">
        <v>1.0183333333333336E-2</v>
      </c>
      <c r="G896" s="46">
        <v>989999999.99999988</v>
      </c>
      <c r="H896" s="46">
        <v>845519000</v>
      </c>
      <c r="I896" s="56">
        <v>1.1708784781891357</v>
      </c>
      <c r="J896" s="125">
        <v>41.25</v>
      </c>
    </row>
    <row r="897" spans="1:11">
      <c r="A897" s="55">
        <v>1414</v>
      </c>
      <c r="B897" s="114">
        <v>0.06</v>
      </c>
      <c r="C897" s="122">
        <v>0</v>
      </c>
      <c r="D897" s="116">
        <v>200000000</v>
      </c>
      <c r="E897" s="241">
        <v>0.04</v>
      </c>
      <c r="F897" s="122">
        <v>2.2600000000000006E-2</v>
      </c>
      <c r="G897" s="116">
        <v>1280000000</v>
      </c>
      <c r="H897" s="116">
        <v>1093112000</v>
      </c>
      <c r="I897" s="114">
        <v>1.1709687570898499</v>
      </c>
      <c r="J897" s="116">
        <v>0</v>
      </c>
    </row>
    <row r="898" spans="1:11">
      <c r="A898" s="55">
        <v>5213</v>
      </c>
      <c r="B898" s="45">
        <v>-0.22</v>
      </c>
      <c r="C898" s="123">
        <v>0</v>
      </c>
      <c r="D898" s="121">
        <v>377272727.27272725</v>
      </c>
      <c r="E898" s="241">
        <v>0.31</v>
      </c>
      <c r="F898" s="123">
        <v>4.3686249999999998</v>
      </c>
      <c r="G898" s="46">
        <v>5413863636.363636</v>
      </c>
      <c r="H898" s="46">
        <v>4612870000</v>
      </c>
      <c r="I898" s="56">
        <v>1.1736432278307509</v>
      </c>
      <c r="J898" s="125">
        <v>0</v>
      </c>
    </row>
    <row r="899" spans="1:11">
      <c r="A899" s="55">
        <v>4912</v>
      </c>
      <c r="B899" s="45">
        <v>2.06</v>
      </c>
      <c r="C899" s="123">
        <v>1</v>
      </c>
      <c r="D899" s="121">
        <v>39805825.242718443</v>
      </c>
      <c r="E899" s="241">
        <v>0.26</v>
      </c>
      <c r="F899" s="123">
        <v>2.1433333333333332E-2</v>
      </c>
      <c r="G899" s="46">
        <v>3510873786.4077668</v>
      </c>
      <c r="H899" s="46">
        <v>2982922000</v>
      </c>
      <c r="I899" s="56">
        <v>1.1769914823142431</v>
      </c>
      <c r="J899" s="125">
        <v>10.703883495145631</v>
      </c>
    </row>
    <row r="900" spans="1:11">
      <c r="A900" s="55">
        <v>3068</v>
      </c>
      <c r="B900" s="114">
        <v>0.71</v>
      </c>
      <c r="C900" s="122">
        <v>0.7142857142857143</v>
      </c>
      <c r="D900" s="116">
        <v>84507042.253521129</v>
      </c>
      <c r="E900" s="241">
        <v>0.16</v>
      </c>
      <c r="F900" s="122">
        <v>2.4891666666666663E-2</v>
      </c>
      <c r="G900" s="116">
        <v>3219718309.8591552</v>
      </c>
      <c r="H900" s="116">
        <v>2731246000</v>
      </c>
      <c r="I900" s="114">
        <v>1.1788459588990354</v>
      </c>
      <c r="J900" s="116">
        <v>18.781690140845072</v>
      </c>
    </row>
    <row r="901" spans="1:11">
      <c r="A901" s="55">
        <v>6269</v>
      </c>
      <c r="B901" s="45">
        <v>3.34</v>
      </c>
      <c r="C901" s="123">
        <v>0.89507154213036566</v>
      </c>
      <c r="D901" s="121">
        <v>269161676.64670658</v>
      </c>
      <c r="E901" s="241">
        <v>0.25</v>
      </c>
      <c r="F901" s="123">
        <v>-1.4500000000000034E-3</v>
      </c>
      <c r="G901" s="46">
        <v>21479101796.407185</v>
      </c>
      <c r="H901" s="46">
        <v>18100327000</v>
      </c>
      <c r="I901" s="56">
        <v>1.186669268262788</v>
      </c>
      <c r="J901" s="125">
        <v>6.6732698014273408</v>
      </c>
    </row>
    <row r="902" spans="1:11">
      <c r="A902" s="55">
        <v>2705</v>
      </c>
      <c r="B902" s="114">
        <v>7.0000000000000007E-2</v>
      </c>
      <c r="C902" s="122">
        <v>1</v>
      </c>
      <c r="D902" s="116">
        <v>328571428.57142854</v>
      </c>
      <c r="E902" s="241">
        <v>0.39</v>
      </c>
      <c r="F902" s="122">
        <v>1.0941666666666664E-2</v>
      </c>
      <c r="G902" s="116">
        <v>3466428571.4285712</v>
      </c>
      <c r="H902" s="116">
        <v>2920104000</v>
      </c>
      <c r="I902" s="114">
        <v>1.1870907924610121</v>
      </c>
      <c r="J902" s="116">
        <v>37.678571428571431</v>
      </c>
    </row>
    <row r="903" spans="1:11">
      <c r="A903" s="55">
        <v>1338</v>
      </c>
      <c r="B903" s="114">
        <v>2.14</v>
      </c>
      <c r="C903" s="122">
        <v>0.89729729729729735</v>
      </c>
      <c r="D903" s="116">
        <v>83644859.813084111</v>
      </c>
      <c r="E903" s="241">
        <v>0.23</v>
      </c>
      <c r="F903" s="122">
        <v>2.5608333333333341E-2</v>
      </c>
      <c r="G903" s="116">
        <v>9786448598.1308403</v>
      </c>
      <c r="H903" s="116">
        <v>8239705000</v>
      </c>
      <c r="I903" s="114">
        <v>1.1877183222130938</v>
      </c>
      <c r="J903" s="116">
        <v>15.232659610404232</v>
      </c>
    </row>
    <row r="904" spans="1:11">
      <c r="A904" s="55">
        <v>4305</v>
      </c>
      <c r="B904" s="45">
        <v>0.85</v>
      </c>
      <c r="C904" s="123">
        <v>0.81111111111111112</v>
      </c>
      <c r="D904" s="121">
        <v>55294117.647058822</v>
      </c>
      <c r="E904" s="241">
        <v>0.19</v>
      </c>
      <c r="F904" s="123">
        <v>2.7700000000000006E-2</v>
      </c>
      <c r="G904" s="46">
        <v>1487411764.7058823</v>
      </c>
      <c r="H904" s="46">
        <v>1251720000</v>
      </c>
      <c r="I904" s="56">
        <v>1.1882943187820618</v>
      </c>
      <c r="J904" s="125">
        <v>9.7542304593070099</v>
      </c>
    </row>
    <row r="905" spans="1:11">
      <c r="A905" s="55">
        <v>1708</v>
      </c>
      <c r="B905" s="114">
        <v>1.21</v>
      </c>
      <c r="C905" s="122">
        <v>0.90864197530864199</v>
      </c>
      <c r="D905" s="116">
        <v>182644628.09917355</v>
      </c>
      <c r="E905" s="241">
        <v>0.32</v>
      </c>
      <c r="F905" s="122">
        <v>-2.7999999999999987E-3</v>
      </c>
      <c r="G905" s="116">
        <v>5470206611.5702477</v>
      </c>
      <c r="H905" s="116">
        <v>4593787000</v>
      </c>
      <c r="I905" s="114">
        <v>1.1907836849140476</v>
      </c>
      <c r="J905" s="116">
        <v>6.810181234279554</v>
      </c>
    </row>
    <row r="906" spans="1:11">
      <c r="A906" s="55">
        <v>2362</v>
      </c>
      <c r="B906" s="114">
        <v>0.06</v>
      </c>
      <c r="C906" s="122">
        <v>1</v>
      </c>
      <c r="D906" s="116">
        <v>700000000</v>
      </c>
      <c r="E906" s="241">
        <v>0.35</v>
      </c>
      <c r="F906" s="122">
        <v>1.9525000000000004E-2</v>
      </c>
      <c r="G906" s="116">
        <v>23100000000</v>
      </c>
      <c r="H906" s="116">
        <v>19380690000</v>
      </c>
      <c r="I906" s="114">
        <v>1.1919080280423453</v>
      </c>
      <c r="J906" s="116">
        <v>50</v>
      </c>
    </row>
    <row r="907" spans="1:11">
      <c r="A907" s="55">
        <v>3067</v>
      </c>
      <c r="B907" s="114">
        <v>-0.39</v>
      </c>
      <c r="C907" s="122">
        <v>1</v>
      </c>
      <c r="D907" s="116">
        <v>28205128.205128204</v>
      </c>
      <c r="E907" s="241">
        <v>0.2</v>
      </c>
      <c r="F907" s="122">
        <v>-3.9499999999999995E-3</v>
      </c>
      <c r="G907" s="116">
        <v>352564102.56410253</v>
      </c>
      <c r="H907" s="116">
        <v>295044000</v>
      </c>
      <c r="I907" s="114">
        <v>1.194954320589819</v>
      </c>
      <c r="J907" s="116">
        <v>0</v>
      </c>
    </row>
    <row r="908" spans="1:11">
      <c r="A908" s="55">
        <v>2115</v>
      </c>
      <c r="B908" s="114">
        <v>0.89</v>
      </c>
      <c r="C908" s="122">
        <v>0.81679389312977102</v>
      </c>
      <c r="D908" s="116">
        <v>74157303.370786518</v>
      </c>
      <c r="E908" s="241">
        <v>0.21</v>
      </c>
      <c r="F908" s="122">
        <v>-8.9583333333333338E-3</v>
      </c>
      <c r="G908" s="116">
        <v>2958876404.4943819</v>
      </c>
      <c r="H908" s="116">
        <v>2474627000</v>
      </c>
      <c r="I908" s="114">
        <v>1.1956858162843862</v>
      </c>
      <c r="J908" s="116">
        <v>13.72177885120235</v>
      </c>
    </row>
    <row r="909" spans="1:11">
      <c r="A909" s="55">
        <v>1531</v>
      </c>
      <c r="B909" s="114">
        <v>0.35</v>
      </c>
      <c r="C909" s="122">
        <v>0.17592592592592593</v>
      </c>
      <c r="D909" s="116">
        <v>182857142.85714287</v>
      </c>
      <c r="E909" s="241">
        <v>0.18</v>
      </c>
      <c r="F909" s="122">
        <v>-7.4999999999996361E-5</v>
      </c>
      <c r="G909" s="116">
        <v>3044571428.5714283</v>
      </c>
      <c r="H909" s="116">
        <v>2538382000</v>
      </c>
      <c r="I909" s="114">
        <v>1.199414205021714</v>
      </c>
      <c r="J909" s="116">
        <v>50</v>
      </c>
    </row>
    <row r="910" spans="1:11">
      <c r="A910" s="55">
        <v>3672</v>
      </c>
      <c r="B910" s="114">
        <v>0.98</v>
      </c>
      <c r="C910" s="122">
        <v>0.76470588235294112</v>
      </c>
      <c r="D910" s="116">
        <v>29591836.734693877</v>
      </c>
      <c r="E910" s="241">
        <v>0.32</v>
      </c>
      <c r="F910" s="122">
        <v>2.0458333333333332E-2</v>
      </c>
      <c r="G910" s="116">
        <v>1007602040.8163265</v>
      </c>
      <c r="H910" s="116">
        <v>837887000</v>
      </c>
      <c r="I910" s="114">
        <v>1.2025512280490407</v>
      </c>
      <c r="J910" s="116">
        <v>11.358908948194662</v>
      </c>
    </row>
    <row r="911" spans="1:11">
      <c r="A911" s="55">
        <v>3588</v>
      </c>
      <c r="B911" s="114">
        <v>0.77</v>
      </c>
      <c r="C911" s="122">
        <v>0.63157894736842102</v>
      </c>
      <c r="D911" s="116">
        <v>45454545.454545453</v>
      </c>
      <c r="E911" s="241">
        <v>0.35</v>
      </c>
      <c r="F911" s="122">
        <v>1.2066666666666665E-2</v>
      </c>
      <c r="G911" s="116">
        <v>1254545454.5454545</v>
      </c>
      <c r="H911" s="116">
        <v>1038985000</v>
      </c>
      <c r="I911" s="114">
        <v>1.2074721526734788</v>
      </c>
      <c r="J911" s="116">
        <v>14.188311688311689</v>
      </c>
    </row>
    <row r="912" spans="1:11">
      <c r="A912" s="55">
        <v>1307</v>
      </c>
      <c r="B912" s="114">
        <v>0.87</v>
      </c>
      <c r="C912" s="122">
        <v>0.9027027027027027</v>
      </c>
      <c r="D912" s="116">
        <v>385057471.26436782</v>
      </c>
      <c r="E912" s="241">
        <v>0.26</v>
      </c>
      <c r="F912" s="122">
        <v>1.5541666666666671E-2</v>
      </c>
      <c r="G912" s="116">
        <v>13631034482.758619</v>
      </c>
      <c r="H912" s="116">
        <v>11276574000</v>
      </c>
      <c r="I912" s="114">
        <v>1.2087921812740836</v>
      </c>
      <c r="J912" s="116">
        <v>11.268841627090646</v>
      </c>
      <c r="K912" s="26"/>
    </row>
    <row r="913" spans="1:10">
      <c r="A913" s="55">
        <v>6174</v>
      </c>
      <c r="B913" s="45">
        <v>0.32</v>
      </c>
      <c r="C913" s="123">
        <v>0.87878787878787878</v>
      </c>
      <c r="D913" s="121">
        <v>50000000</v>
      </c>
      <c r="E913" s="241">
        <v>0.3</v>
      </c>
      <c r="F913" s="123">
        <v>1.9124999999999996E-2</v>
      </c>
      <c r="G913" s="46">
        <v>652500000</v>
      </c>
      <c r="H913" s="46">
        <v>539069000</v>
      </c>
      <c r="I913" s="56">
        <v>1.2104201873971607</v>
      </c>
      <c r="J913" s="125">
        <v>11.601562500000002</v>
      </c>
    </row>
    <row r="914" spans="1:10">
      <c r="A914" s="55">
        <v>2373</v>
      </c>
      <c r="B914" s="114">
        <v>0.99</v>
      </c>
      <c r="C914" s="122">
        <v>0.30642504118616143</v>
      </c>
      <c r="D914" s="116">
        <v>311111111.1111111</v>
      </c>
      <c r="E914" s="241">
        <v>0.41</v>
      </c>
      <c r="F914" s="122">
        <v>2.5008333333333327E-2</v>
      </c>
      <c r="G914" s="116">
        <v>16302222222.222221</v>
      </c>
      <c r="H914" s="116">
        <v>13437757000</v>
      </c>
      <c r="I914" s="114">
        <v>1.2131654279968169</v>
      </c>
      <c r="J914" s="116">
        <v>43.182904311936568</v>
      </c>
    </row>
    <row r="915" spans="1:10">
      <c r="A915" s="55">
        <v>8074</v>
      </c>
      <c r="B915" s="45">
        <v>0.76</v>
      </c>
      <c r="C915" s="123">
        <v>0.83132530120481929</v>
      </c>
      <c r="D915" s="121">
        <v>63157894.736842103</v>
      </c>
      <c r="E915" s="241">
        <v>0.25</v>
      </c>
      <c r="F915" s="123">
        <v>4.8250000000000029E-3</v>
      </c>
      <c r="G915" s="46">
        <v>1452631578.9473684</v>
      </c>
      <c r="H915" s="46">
        <v>1194339000</v>
      </c>
      <c r="I915" s="56">
        <v>1.2162640414048007</v>
      </c>
      <c r="J915" s="125">
        <v>9.1008771929824555</v>
      </c>
    </row>
    <row r="916" spans="1:10">
      <c r="A916" s="55">
        <v>6505</v>
      </c>
      <c r="B916" s="45">
        <v>0.94</v>
      </c>
      <c r="C916" s="123">
        <v>0.81462443546470165</v>
      </c>
      <c r="D916" s="121">
        <v>9537234042.5531921</v>
      </c>
      <c r="E916" s="241">
        <v>0.05</v>
      </c>
      <c r="F916" s="123">
        <v>-1.3333333333333333E-3</v>
      </c>
      <c r="G916" s="46">
        <v>766793617021.27673</v>
      </c>
      <c r="H916" s="46">
        <v>629513853000</v>
      </c>
      <c r="I916" s="56">
        <v>1.2180726657039536</v>
      </c>
      <c r="J916" s="125">
        <v>26.24887959714388</v>
      </c>
    </row>
    <row r="917" spans="1:10">
      <c r="A917" s="55">
        <v>6195</v>
      </c>
      <c r="B917" s="45">
        <v>0.78</v>
      </c>
      <c r="C917" s="123">
        <v>0.98750000000000004</v>
      </c>
      <c r="D917" s="121">
        <v>42307692.307692304</v>
      </c>
      <c r="E917" s="241">
        <v>0.56000000000000005</v>
      </c>
      <c r="F917" s="123">
        <v>3.7583333333333379E-3</v>
      </c>
      <c r="G917" s="46">
        <v>1935576923.0769229</v>
      </c>
      <c r="H917" s="46">
        <v>1586690000</v>
      </c>
      <c r="I917" s="56">
        <v>1.2198834826443243</v>
      </c>
      <c r="J917" s="125">
        <v>14.849074975657253</v>
      </c>
    </row>
    <row r="918" spans="1:10">
      <c r="A918" s="55">
        <v>6223</v>
      </c>
      <c r="B918" s="45">
        <v>1.25</v>
      </c>
      <c r="C918" s="123">
        <v>0.8833333333333333</v>
      </c>
      <c r="D918" s="121">
        <v>79200000</v>
      </c>
      <c r="E918" s="241">
        <v>0.45</v>
      </c>
      <c r="F918" s="123">
        <v>8.6833333333333328E-3</v>
      </c>
      <c r="G918" s="46">
        <v>4910400000</v>
      </c>
      <c r="H918" s="46">
        <v>4013481000</v>
      </c>
      <c r="I918" s="56">
        <v>1.2234765780627839</v>
      </c>
      <c r="J918" s="125">
        <v>14.037735849056606</v>
      </c>
    </row>
    <row r="919" spans="1:10">
      <c r="A919" s="55">
        <v>6404</v>
      </c>
      <c r="B919" s="45">
        <v>0.64</v>
      </c>
      <c r="C919" s="123">
        <v>0.63461538461538458</v>
      </c>
      <c r="D919" s="121">
        <v>37500000</v>
      </c>
      <c r="E919" s="241">
        <v>0.2</v>
      </c>
      <c r="F919" s="123">
        <v>4.6566666666666666E-2</v>
      </c>
      <c r="G919" s="46">
        <v>1143750000</v>
      </c>
      <c r="H919" s="46">
        <v>934834000</v>
      </c>
      <c r="I919" s="56">
        <v>1.223479248722233</v>
      </c>
      <c r="J919" s="125">
        <v>18.773674242424242</v>
      </c>
    </row>
    <row r="920" spans="1:10">
      <c r="A920" s="55">
        <v>6417</v>
      </c>
      <c r="B920" s="45">
        <v>1.04</v>
      </c>
      <c r="C920" s="123">
        <v>0.78846153846153844</v>
      </c>
      <c r="D920" s="121">
        <v>31730769.230769228</v>
      </c>
      <c r="E920" s="241">
        <v>0.25</v>
      </c>
      <c r="F920" s="123">
        <v>1.8100000000000002E-2</v>
      </c>
      <c r="G920" s="46">
        <v>1186730769.2307692</v>
      </c>
      <c r="H920" s="46">
        <v>968609000</v>
      </c>
      <c r="I920" s="56">
        <v>1.2251907314827439</v>
      </c>
      <c r="J920" s="125">
        <v>11.402439024390244</v>
      </c>
    </row>
    <row r="921" spans="1:10">
      <c r="A921" s="55">
        <v>8923</v>
      </c>
      <c r="B921" s="45">
        <v>0.27</v>
      </c>
      <c r="C921" s="123">
        <v>9.0909090909090912E-2</v>
      </c>
      <c r="D921" s="121">
        <v>29629629.629629627</v>
      </c>
      <c r="E921" s="241">
        <v>0.49</v>
      </c>
      <c r="F921" s="123">
        <v>3.9733333333333322E-2</v>
      </c>
      <c r="G921" s="46">
        <v>493333333.33333325</v>
      </c>
      <c r="H921" s="46">
        <v>401415000</v>
      </c>
      <c r="I921" s="56">
        <v>1.2289857960797013</v>
      </c>
      <c r="J921" s="125">
        <v>50</v>
      </c>
    </row>
    <row r="922" spans="1:10">
      <c r="A922" s="55">
        <v>8936</v>
      </c>
      <c r="B922" s="45">
        <v>0.63</v>
      </c>
      <c r="C922" s="123">
        <v>1</v>
      </c>
      <c r="D922" s="121">
        <v>187301587.30158731</v>
      </c>
      <c r="E922" s="241">
        <v>0.2</v>
      </c>
      <c r="F922" s="123">
        <v>-1.1800000000000005E-2</v>
      </c>
      <c r="G922" s="46">
        <v>5366190476.1904764</v>
      </c>
      <c r="H922" s="46">
        <v>4356672000</v>
      </c>
      <c r="I922" s="56">
        <v>1.2317178057449532</v>
      </c>
      <c r="J922" s="125">
        <v>11.369047619047619</v>
      </c>
    </row>
    <row r="923" spans="1:10">
      <c r="A923" s="55">
        <v>6239</v>
      </c>
      <c r="B923" s="45">
        <v>1.42</v>
      </c>
      <c r="C923" s="123">
        <v>0.9273356401384083</v>
      </c>
      <c r="D923" s="121">
        <v>771830985.91549301</v>
      </c>
      <c r="E923" s="241">
        <v>0.19</v>
      </c>
      <c r="F923" s="123">
        <v>1.9858333333333329E-2</v>
      </c>
      <c r="G923" s="46">
        <v>52407323943.66198</v>
      </c>
      <c r="H923" s="46">
        <v>42523512000</v>
      </c>
      <c r="I923" s="56">
        <v>1.232431694345048</v>
      </c>
      <c r="J923" s="125">
        <v>12.890937040151359</v>
      </c>
    </row>
    <row r="924" spans="1:10">
      <c r="A924" s="55">
        <v>8016</v>
      </c>
      <c r="B924" s="45">
        <v>1.97</v>
      </c>
      <c r="C924" s="123">
        <v>0.85166240409207161</v>
      </c>
      <c r="D924" s="121">
        <v>118274111.67512691</v>
      </c>
      <c r="E924" s="241">
        <v>0.26</v>
      </c>
      <c r="F924" s="123">
        <v>3.1599999999999996E-2</v>
      </c>
      <c r="G924" s="46">
        <v>11425279187.817259</v>
      </c>
      <c r="H924" s="46">
        <v>9266108000</v>
      </c>
      <c r="I924" s="56">
        <v>1.2330181331598185</v>
      </c>
      <c r="J924" s="125">
        <v>14.394064114876297</v>
      </c>
    </row>
    <row r="925" spans="1:10">
      <c r="A925" s="55">
        <v>1102</v>
      </c>
      <c r="B925" s="114">
        <v>0.02</v>
      </c>
      <c r="C925" s="122">
        <v>0.38469353200135453</v>
      </c>
      <c r="D925" s="116">
        <v>3200000000</v>
      </c>
      <c r="E925" s="241">
        <v>0.09</v>
      </c>
      <c r="F925" s="122">
        <v>1.2875000000000004E-2</v>
      </c>
      <c r="G925" s="116">
        <v>81920000000</v>
      </c>
      <c r="H925" s="116">
        <v>66435527000</v>
      </c>
      <c r="I925" s="114">
        <v>1.2330751888217881</v>
      </c>
      <c r="J925" s="116">
        <v>50</v>
      </c>
    </row>
    <row r="926" spans="1:10">
      <c r="A926" s="55">
        <v>2726</v>
      </c>
      <c r="B926" s="119">
        <v>1.33</v>
      </c>
      <c r="C926" s="122">
        <v>0.56521739130434778</v>
      </c>
      <c r="D926" s="120">
        <v>27067669.172932331</v>
      </c>
      <c r="E926" s="241">
        <v>0.49</v>
      </c>
      <c r="F926" s="122">
        <v>1.2374999999999997E-2</v>
      </c>
      <c r="G926" s="120">
        <v>1981353383.4586468</v>
      </c>
      <c r="H926" s="120">
        <v>1604493000</v>
      </c>
      <c r="I926" s="119">
        <v>1.2348781723938009</v>
      </c>
      <c r="J926" s="120">
        <v>24.343551185656452</v>
      </c>
    </row>
    <row r="927" spans="1:10">
      <c r="A927" s="55">
        <v>3232</v>
      </c>
      <c r="B927" s="114">
        <v>-0.08</v>
      </c>
      <c r="C927" s="122">
        <v>0.5</v>
      </c>
      <c r="D927" s="116">
        <v>37500000</v>
      </c>
      <c r="E927" s="241">
        <v>0.12</v>
      </c>
      <c r="F927" s="122">
        <v>-1.4574999999999999E-2</v>
      </c>
      <c r="G927" s="116">
        <v>886875000</v>
      </c>
      <c r="H927" s="116">
        <v>715291000</v>
      </c>
      <c r="I927" s="114">
        <v>1.2398799928979953</v>
      </c>
      <c r="J927" s="116">
        <v>0</v>
      </c>
    </row>
    <row r="928" spans="1:10">
      <c r="A928" s="55">
        <v>3494</v>
      </c>
      <c r="B928" s="114">
        <v>-0.12</v>
      </c>
      <c r="C928" s="122">
        <v>0.75</v>
      </c>
      <c r="D928" s="116">
        <v>183333333.33333334</v>
      </c>
      <c r="E928" s="241">
        <v>0.32</v>
      </c>
      <c r="F928" s="122">
        <v>-9.9000000000000008E-3</v>
      </c>
      <c r="G928" s="116">
        <v>2108333333.3333335</v>
      </c>
      <c r="H928" s="116">
        <v>1700263000</v>
      </c>
      <c r="I928" s="114">
        <v>1.2400042424809183</v>
      </c>
      <c r="J928" s="116">
        <v>0</v>
      </c>
    </row>
    <row r="929" spans="1:10">
      <c r="A929" s="55">
        <v>8042</v>
      </c>
      <c r="B929" s="45">
        <v>0.77</v>
      </c>
      <c r="C929" s="123">
        <v>0.98726114649681529</v>
      </c>
      <c r="D929" s="121">
        <v>103896103.89610389</v>
      </c>
      <c r="E929" s="241">
        <v>0.24</v>
      </c>
      <c r="F929" s="123">
        <v>4.0341666666666665E-2</v>
      </c>
      <c r="G929" s="46">
        <v>4051948051.9480515</v>
      </c>
      <c r="H929" s="46">
        <v>3264608000</v>
      </c>
      <c r="I929" s="56">
        <v>1.2411744540073575</v>
      </c>
      <c r="J929" s="125">
        <v>12.825722664432343</v>
      </c>
    </row>
    <row r="930" spans="1:10">
      <c r="A930" s="55">
        <v>5289</v>
      </c>
      <c r="B930" s="45">
        <v>2.84</v>
      </c>
      <c r="C930" s="123">
        <v>0.86851211072664358</v>
      </c>
      <c r="D930" s="121">
        <v>61971830.985915497</v>
      </c>
      <c r="E930" s="241">
        <v>0.27</v>
      </c>
      <c r="F930" s="123">
        <v>4.0066666666666667E-2</v>
      </c>
      <c r="G930" s="46">
        <v>5453521126.7605639</v>
      </c>
      <c r="H930" s="46">
        <v>4385983000</v>
      </c>
      <c r="I930" s="56">
        <v>1.2433976891293386</v>
      </c>
      <c r="J930" s="125">
        <v>8.9192525671960059</v>
      </c>
    </row>
    <row r="931" spans="1:10">
      <c r="A931" s="55">
        <v>4733</v>
      </c>
      <c r="B931" s="45">
        <v>4.6500000000000004</v>
      </c>
      <c r="C931" s="123">
        <v>1</v>
      </c>
      <c r="D931" s="121">
        <v>86236559.139784947</v>
      </c>
      <c r="E931" s="241">
        <v>0.28999999999999998</v>
      </c>
      <c r="F931" s="123">
        <v>4.0800000000000003E-2</v>
      </c>
      <c r="G931" s="46">
        <v>12073118279.569893</v>
      </c>
      <c r="H931" s="46">
        <v>9666942000</v>
      </c>
      <c r="I931" s="56">
        <v>1.2489076979638332</v>
      </c>
      <c r="J931" s="125">
        <v>7.5268817204301071</v>
      </c>
    </row>
    <row r="932" spans="1:10">
      <c r="A932" s="55">
        <v>3642</v>
      </c>
      <c r="B932" s="114">
        <v>-5.33</v>
      </c>
      <c r="C932" s="122">
        <v>0</v>
      </c>
      <c r="D932" s="116">
        <v>29831144.465290807</v>
      </c>
      <c r="E932" s="241">
        <v>0.25</v>
      </c>
      <c r="F932" s="122">
        <v>1.5333333333333339E-2</v>
      </c>
      <c r="G932" s="116">
        <v>948630393.99624765</v>
      </c>
      <c r="H932" s="116">
        <v>759178000</v>
      </c>
      <c r="I932" s="114">
        <v>1.2495493731328458</v>
      </c>
      <c r="J932" s="116">
        <v>0</v>
      </c>
    </row>
    <row r="933" spans="1:10">
      <c r="A933" s="55">
        <v>3666</v>
      </c>
      <c r="B933" s="114">
        <v>0.28999999999999998</v>
      </c>
      <c r="C933" s="122">
        <v>1</v>
      </c>
      <c r="D933" s="116">
        <v>48275862.068965517</v>
      </c>
      <c r="E933" s="241">
        <v>0.1</v>
      </c>
      <c r="F933" s="122">
        <v>4.4999999999999991E-2</v>
      </c>
      <c r="G933" s="116">
        <v>1508620689.6551723</v>
      </c>
      <c r="H933" s="116">
        <v>1202325000</v>
      </c>
      <c r="I933" s="114">
        <v>1.2547528244486077</v>
      </c>
      <c r="J933" s="116">
        <v>26.939655172413794</v>
      </c>
    </row>
    <row r="934" spans="1:10">
      <c r="A934" s="55">
        <v>6605</v>
      </c>
      <c r="B934" s="45">
        <v>3.82</v>
      </c>
      <c r="C934" s="123">
        <v>0.7334070796460177</v>
      </c>
      <c r="D934" s="121">
        <v>165706806.28272253</v>
      </c>
      <c r="E934" s="241">
        <v>0.28999999999999998</v>
      </c>
      <c r="F934" s="123">
        <v>1.7183333333333328E-2</v>
      </c>
      <c r="G934" s="46">
        <v>18890575916.23037</v>
      </c>
      <c r="H934" s="46">
        <v>15044156000</v>
      </c>
      <c r="I934" s="56">
        <v>1.2556753543522394</v>
      </c>
      <c r="J934" s="125">
        <v>10.172703797588307</v>
      </c>
    </row>
    <row r="935" spans="1:10">
      <c r="A935" s="55">
        <v>1326</v>
      </c>
      <c r="B935" s="114">
        <v>1.33</v>
      </c>
      <c r="C935" s="122">
        <v>0.3373319338231619</v>
      </c>
      <c r="D935" s="116">
        <v>5868421052.6315784</v>
      </c>
      <c r="E935" s="241">
        <v>0.08</v>
      </c>
      <c r="F935" s="122">
        <v>-6.3166666666666692E-3</v>
      </c>
      <c r="G935" s="116">
        <v>413723684210.52631</v>
      </c>
      <c r="H935" s="116">
        <v>329349307000</v>
      </c>
      <c r="I935" s="114">
        <v>1.2561850758973248</v>
      </c>
      <c r="J935" s="116">
        <v>39.284391338399338</v>
      </c>
    </row>
    <row r="936" spans="1:10">
      <c r="A936" s="55">
        <v>2428</v>
      </c>
      <c r="B936" s="114">
        <v>2.11</v>
      </c>
      <c r="C936" s="122">
        <v>0.74689826302729534</v>
      </c>
      <c r="D936" s="116">
        <v>127488151.65876777</v>
      </c>
      <c r="E936" s="241">
        <v>0.28999999999999998</v>
      </c>
      <c r="F936" s="122">
        <v>1.7691666666666661E-2</v>
      </c>
      <c r="G936" s="116">
        <v>6438151658.7677727</v>
      </c>
      <c r="H936" s="116">
        <v>5122096000</v>
      </c>
      <c r="I936" s="114">
        <v>1.2569369372943757</v>
      </c>
      <c r="J936" s="116">
        <v>8.0110138401221835</v>
      </c>
    </row>
    <row r="937" spans="1:10">
      <c r="A937" s="55">
        <v>2327</v>
      </c>
      <c r="B937" s="114">
        <v>1.86</v>
      </c>
      <c r="C937" s="122">
        <v>0.61372950819672134</v>
      </c>
      <c r="D937" s="116">
        <v>660215053.76344085</v>
      </c>
      <c r="E937" s="241">
        <v>0.23</v>
      </c>
      <c r="F937" s="122">
        <v>1.5124999999999998E-2</v>
      </c>
      <c r="G937" s="116">
        <v>34595268817.2043</v>
      </c>
      <c r="H937" s="116">
        <v>27513013000</v>
      </c>
      <c r="I937" s="114">
        <v>1.257414766503556</v>
      </c>
      <c r="J937" s="116">
        <v>11.475757086183062</v>
      </c>
    </row>
    <row r="938" spans="1:10">
      <c r="A938" s="55">
        <v>8044</v>
      </c>
      <c r="B938" s="45">
        <v>2</v>
      </c>
      <c r="C938" s="123">
        <v>0.94476744186046513</v>
      </c>
      <c r="D938" s="121">
        <v>93000000</v>
      </c>
      <c r="E938" s="241">
        <v>0.17</v>
      </c>
      <c r="F938" s="123">
        <v>8.8416666666666678E-3</v>
      </c>
      <c r="G938" s="46">
        <v>28783500000</v>
      </c>
      <c r="H938" s="46">
        <v>22886204000</v>
      </c>
      <c r="I938" s="56">
        <v>1.257679080375234</v>
      </c>
      <c r="J938" s="125">
        <v>40.949230769230766</v>
      </c>
    </row>
    <row r="939" spans="1:10">
      <c r="A939" s="55">
        <v>6179</v>
      </c>
      <c r="B939" s="45">
        <v>0.72</v>
      </c>
      <c r="C939" s="123">
        <v>0.98780487804878048</v>
      </c>
      <c r="D939" s="121">
        <v>50000000</v>
      </c>
      <c r="E939" s="241">
        <v>0.18</v>
      </c>
      <c r="F939" s="123">
        <v>8.249999999999999E-2</v>
      </c>
      <c r="G939" s="46">
        <v>1782500000</v>
      </c>
      <c r="H939" s="46">
        <v>1412651000</v>
      </c>
      <c r="I939" s="56">
        <v>1.2618120116008837</v>
      </c>
      <c r="J939" s="125">
        <v>12.531292866941016</v>
      </c>
    </row>
    <row r="940" spans="1:10">
      <c r="A940" s="55">
        <v>2483</v>
      </c>
      <c r="B940" s="114">
        <v>0.61</v>
      </c>
      <c r="C940" s="122">
        <v>0.21768707482993196</v>
      </c>
      <c r="D940" s="116">
        <v>111475409.83606558</v>
      </c>
      <c r="E940" s="241">
        <v>0.27</v>
      </c>
      <c r="F940" s="122">
        <v>1.3141666666666671E-2</v>
      </c>
      <c r="G940" s="116">
        <v>1973114754.0983605</v>
      </c>
      <c r="H940" s="116">
        <v>1560348000</v>
      </c>
      <c r="I940" s="114">
        <v>1.2645350614724156</v>
      </c>
      <c r="J940" s="116">
        <v>33.323514344262293</v>
      </c>
    </row>
    <row r="941" spans="1:10">
      <c r="A941" s="55">
        <v>1731</v>
      </c>
      <c r="B941" s="114">
        <v>0.11</v>
      </c>
      <c r="C941" s="122">
        <v>1</v>
      </c>
      <c r="D941" s="116">
        <v>127272727.27272727</v>
      </c>
      <c r="E941" s="241">
        <v>0.46</v>
      </c>
      <c r="F941" s="122">
        <v>1.7950000000000001E-2</v>
      </c>
      <c r="G941" s="116">
        <v>1730909090.9090908</v>
      </c>
      <c r="H941" s="116">
        <v>1368213000</v>
      </c>
      <c r="I941" s="114">
        <v>1.2650874468442346</v>
      </c>
      <c r="J941" s="116">
        <v>30.909090909090907</v>
      </c>
    </row>
    <row r="942" spans="1:10">
      <c r="A942" s="55">
        <v>4908</v>
      </c>
      <c r="B942" s="45">
        <v>0.3</v>
      </c>
      <c r="C942" s="123">
        <v>0.56666666666666665</v>
      </c>
      <c r="D942" s="121">
        <v>76666666.666666672</v>
      </c>
      <c r="E942" s="241">
        <v>0.21</v>
      </c>
      <c r="F942" s="123">
        <v>1.236666666666667E-2</v>
      </c>
      <c r="G942" s="46">
        <v>1318666666.6666667</v>
      </c>
      <c r="H942" s="46">
        <v>1042107000</v>
      </c>
      <c r="I942" s="56">
        <v>1.2653850964120448</v>
      </c>
      <c r="J942" s="125">
        <v>25.294117647058826</v>
      </c>
    </row>
    <row r="943" spans="1:10">
      <c r="A943" s="55">
        <v>1710</v>
      </c>
      <c r="B943" s="114">
        <v>-0.27</v>
      </c>
      <c r="C943" s="122">
        <v>1</v>
      </c>
      <c r="D943" s="116">
        <v>870370370.37037027</v>
      </c>
      <c r="E943" s="241">
        <v>0.09</v>
      </c>
      <c r="F943" s="122">
        <v>2.9125000000000002E-2</v>
      </c>
      <c r="G943" s="116">
        <v>17624999999.999996</v>
      </c>
      <c r="H943" s="116">
        <v>13924475000</v>
      </c>
      <c r="I943" s="114">
        <v>1.2657568777278854</v>
      </c>
      <c r="J943" s="116">
        <v>0</v>
      </c>
    </row>
    <row r="944" spans="1:10">
      <c r="A944" s="55">
        <v>8033</v>
      </c>
      <c r="B944" s="45">
        <v>-0.27</v>
      </c>
      <c r="C944" s="123">
        <v>1</v>
      </c>
      <c r="D944" s="121">
        <v>129629629.62962963</v>
      </c>
      <c r="E944" s="241">
        <v>0.35</v>
      </c>
      <c r="F944" s="123">
        <v>-1.356666666666667E-2</v>
      </c>
      <c r="G944" s="46">
        <v>1083703703.7037036</v>
      </c>
      <c r="H944" s="46">
        <v>855234000</v>
      </c>
      <c r="I944" s="56">
        <v>1.2671429149258608</v>
      </c>
      <c r="J944" s="125">
        <v>0</v>
      </c>
    </row>
    <row r="945" spans="1:10">
      <c r="A945" s="55">
        <v>8069</v>
      </c>
      <c r="B945" s="45">
        <v>0.7</v>
      </c>
      <c r="C945" s="123">
        <v>0</v>
      </c>
      <c r="D945" s="121">
        <v>1140000000</v>
      </c>
      <c r="E945" s="241">
        <v>0.35</v>
      </c>
      <c r="F945" s="123">
        <v>-2.0774999999999998E-2</v>
      </c>
      <c r="G945" s="46">
        <v>17328000000</v>
      </c>
      <c r="H945" s="46">
        <v>13623968000</v>
      </c>
      <c r="I945" s="56">
        <v>1.2718761523808628</v>
      </c>
      <c r="J945" s="125">
        <v>0</v>
      </c>
    </row>
    <row r="946" spans="1:10">
      <c r="A946" s="55">
        <v>1788</v>
      </c>
      <c r="B946" s="114">
        <v>1.39</v>
      </c>
      <c r="C946" s="122">
        <v>0.97979797979797978</v>
      </c>
      <c r="D946" s="116">
        <v>35251798.56115108</v>
      </c>
      <c r="E946" s="241">
        <v>0.22</v>
      </c>
      <c r="F946" s="122">
        <v>1.3108333333333338E-2</v>
      </c>
      <c r="G946" s="116">
        <v>3493453237.4100718</v>
      </c>
      <c r="H946" s="116">
        <v>2739916000</v>
      </c>
      <c r="I946" s="114">
        <v>1.2750220216276966</v>
      </c>
      <c r="J946" s="116">
        <v>18.191240821775569</v>
      </c>
    </row>
    <row r="947" spans="1:10">
      <c r="A947" s="55">
        <v>8011</v>
      </c>
      <c r="B947" s="45">
        <v>-0.59</v>
      </c>
      <c r="C947" s="123">
        <v>1</v>
      </c>
      <c r="D947" s="121">
        <v>101694915.25423729</v>
      </c>
      <c r="E947" s="241">
        <v>-0.03</v>
      </c>
      <c r="F947" s="123">
        <v>3.9400000000000004E-2</v>
      </c>
      <c r="G947" s="46">
        <v>2038983050.8474579</v>
      </c>
      <c r="H947" s="46">
        <v>1594075000</v>
      </c>
      <c r="I947" s="56">
        <v>1.279101077958978</v>
      </c>
      <c r="J947" s="125">
        <v>0</v>
      </c>
    </row>
    <row r="948" spans="1:10">
      <c r="A948" s="55">
        <v>8299</v>
      </c>
      <c r="B948" s="45">
        <v>6</v>
      </c>
      <c r="C948" s="123">
        <v>0.88846520495710202</v>
      </c>
      <c r="D948" s="121">
        <v>197333333.33333334</v>
      </c>
      <c r="E948" s="241">
        <v>0.2</v>
      </c>
      <c r="F948" s="123">
        <v>1.3474999999999999E-2</v>
      </c>
      <c r="G948" s="46">
        <v>47557333333.333336</v>
      </c>
      <c r="H948" s="46">
        <v>37178103000</v>
      </c>
      <c r="I948" s="56">
        <v>1.2791758991396989</v>
      </c>
      <c r="J948" s="125">
        <v>11.302262160228898</v>
      </c>
    </row>
    <row r="949" spans="1:10">
      <c r="A949" s="55">
        <v>2929</v>
      </c>
      <c r="B949" s="114">
        <v>2.67</v>
      </c>
      <c r="C949" s="122">
        <v>0.84750733137829914</v>
      </c>
      <c r="D949" s="116">
        <v>58052434.456928842</v>
      </c>
      <c r="E949" s="241">
        <v>0.4</v>
      </c>
      <c r="F949" s="122">
        <v>0.16952500000000001</v>
      </c>
      <c r="G949" s="116">
        <v>6879213483.1460676</v>
      </c>
      <c r="H949" s="116">
        <v>5371324000</v>
      </c>
      <c r="I949" s="114">
        <v>1.2807295711720366</v>
      </c>
      <c r="J949" s="116">
        <v>13.091928774153416</v>
      </c>
    </row>
    <row r="950" spans="1:10">
      <c r="A950" s="55">
        <v>2106</v>
      </c>
      <c r="B950" s="114">
        <v>1.48</v>
      </c>
      <c r="C950" s="122">
        <v>0.76690307328605201</v>
      </c>
      <c r="D950" s="116">
        <v>858783783.78378379</v>
      </c>
      <c r="E950" s="241">
        <v>0.27</v>
      </c>
      <c r="F950" s="122">
        <v>4.5083333333333338E-3</v>
      </c>
      <c r="G950" s="116">
        <v>40019324324.324326</v>
      </c>
      <c r="H950" s="116">
        <v>31230202000</v>
      </c>
      <c r="I950" s="114">
        <v>1.2814302105482482</v>
      </c>
      <c r="J950" s="116">
        <v>10.264167527576898</v>
      </c>
    </row>
    <row r="951" spans="1:10">
      <c r="A951" s="55">
        <v>3354</v>
      </c>
      <c r="B951" s="114">
        <v>0.34</v>
      </c>
      <c r="C951" s="122">
        <v>0</v>
      </c>
      <c r="D951" s="116">
        <v>82352941.176470578</v>
      </c>
      <c r="E951" s="241">
        <v>0.21</v>
      </c>
      <c r="F951" s="122">
        <v>-1.8266666666666674E-2</v>
      </c>
      <c r="G951" s="116">
        <v>717294117.64705884</v>
      </c>
      <c r="H951" s="116">
        <v>559124000</v>
      </c>
      <c r="I951" s="114">
        <v>1.2828891581242423</v>
      </c>
      <c r="J951" s="116">
        <v>0</v>
      </c>
    </row>
    <row r="952" spans="1:10">
      <c r="A952" s="55">
        <v>2497</v>
      </c>
      <c r="B952" s="114">
        <v>0.64</v>
      </c>
      <c r="C952" s="122">
        <v>0.55932203389830504</v>
      </c>
      <c r="D952" s="116">
        <v>118750000</v>
      </c>
      <c r="E952" s="241">
        <v>0.24</v>
      </c>
      <c r="F952" s="122">
        <v>-1.8833333333333341E-3</v>
      </c>
      <c r="G952" s="116">
        <v>4269062500.0000005</v>
      </c>
      <c r="H952" s="116">
        <v>3325876000</v>
      </c>
      <c r="I952" s="114">
        <v>1.2835903984393888</v>
      </c>
      <c r="J952" s="116">
        <v>25.107125946969703</v>
      </c>
    </row>
    <row r="953" spans="1:10">
      <c r="A953" s="55">
        <v>5703</v>
      </c>
      <c r="B953" s="45">
        <v>0.08</v>
      </c>
      <c r="C953" s="123">
        <v>1</v>
      </c>
      <c r="D953" s="121">
        <v>62500000</v>
      </c>
      <c r="E953" s="241">
        <v>0.31</v>
      </c>
      <c r="F953" s="123">
        <v>3.3583333333333312E-3</v>
      </c>
      <c r="G953" s="46">
        <v>1328125000</v>
      </c>
      <c r="H953" s="46">
        <v>1027539000</v>
      </c>
      <c r="I953" s="56">
        <v>1.2925300158923407</v>
      </c>
      <c r="J953" s="125">
        <v>50</v>
      </c>
    </row>
    <row r="954" spans="1:10">
      <c r="A954" s="55">
        <v>2634</v>
      </c>
      <c r="B954" s="114">
        <v>0.87</v>
      </c>
      <c r="C954" s="122">
        <v>0.7167070217917676</v>
      </c>
      <c r="D954" s="116">
        <v>912643678.16091955</v>
      </c>
      <c r="E954" s="241">
        <v>0.1</v>
      </c>
      <c r="F954" s="122">
        <v>1.7166666666666626E-3</v>
      </c>
      <c r="G954" s="116">
        <v>34771724137.931038</v>
      </c>
      <c r="H954" s="116">
        <v>26878155000</v>
      </c>
      <c r="I954" s="114">
        <v>1.2936797238475275</v>
      </c>
      <c r="J954" s="116">
        <v>15.275803821062443</v>
      </c>
    </row>
    <row r="955" spans="1:10">
      <c r="A955" s="55">
        <v>3653</v>
      </c>
      <c r="B955" s="114">
        <v>1.1100000000000001</v>
      </c>
      <c r="C955" s="122">
        <v>0.44318181818181818</v>
      </c>
      <c r="D955" s="116">
        <v>106306306.3063063</v>
      </c>
      <c r="E955" s="241">
        <v>0.21</v>
      </c>
      <c r="F955" s="122">
        <v>5.1666666666666538E-4</v>
      </c>
      <c r="G955" s="116">
        <v>4305405405.405405</v>
      </c>
      <c r="H955" s="116">
        <v>3324296000</v>
      </c>
      <c r="I955" s="114">
        <v>1.2951329861737357</v>
      </c>
      <c r="J955" s="116">
        <v>20.582120582120581</v>
      </c>
    </row>
    <row r="956" spans="1:10">
      <c r="A956" s="55">
        <v>4979</v>
      </c>
      <c r="B956" s="45">
        <v>2.46</v>
      </c>
      <c r="C956" s="123">
        <v>0.85172413793103452</v>
      </c>
      <c r="D956" s="121">
        <v>73577235.772357732</v>
      </c>
      <c r="E956" s="241">
        <v>0.28000000000000003</v>
      </c>
      <c r="F956" s="123">
        <v>2.9666666666666661E-2</v>
      </c>
      <c r="G956" s="46">
        <v>5422642276.4227648</v>
      </c>
      <c r="H956" s="46">
        <v>4181307000</v>
      </c>
      <c r="I956" s="56">
        <v>1.2968773343891671</v>
      </c>
      <c r="J956" s="125">
        <v>8.7937362167143931</v>
      </c>
    </row>
    <row r="957" spans="1:10">
      <c r="A957" s="55">
        <v>4935</v>
      </c>
      <c r="B957" s="45">
        <v>2.48</v>
      </c>
      <c r="C957" s="123">
        <v>0.87631027253668758</v>
      </c>
      <c r="D957" s="121">
        <v>129435483.87096775</v>
      </c>
      <c r="E957" s="241">
        <v>0.25</v>
      </c>
      <c r="F957" s="123">
        <v>-2.5833333333333725E-4</v>
      </c>
      <c r="G957" s="46">
        <v>9189919354.8387108</v>
      </c>
      <c r="H957" s="46">
        <v>7062337000</v>
      </c>
      <c r="I957" s="56">
        <v>1.3012575518328722</v>
      </c>
      <c r="J957" s="125">
        <v>8.1674930544837174</v>
      </c>
    </row>
    <row r="958" spans="1:10">
      <c r="A958" s="55">
        <v>4909</v>
      </c>
      <c r="B958" s="45">
        <v>1.1299999999999999</v>
      </c>
      <c r="C958" s="123">
        <v>0.48091603053435117</v>
      </c>
      <c r="D958" s="121">
        <v>92920353.982300892</v>
      </c>
      <c r="E958" s="241">
        <v>0.25</v>
      </c>
      <c r="F958" s="123">
        <v>5.4549999999999994E-2</v>
      </c>
      <c r="G958" s="46">
        <v>2072123893.80531</v>
      </c>
      <c r="H958" s="46">
        <v>1591662000</v>
      </c>
      <c r="I958" s="56">
        <v>1.3018617607289173</v>
      </c>
      <c r="J958" s="125">
        <v>10.25881444023037</v>
      </c>
    </row>
    <row r="959" spans="1:10">
      <c r="A959" s="55">
        <v>4952</v>
      </c>
      <c r="B959" s="45">
        <v>1.24</v>
      </c>
      <c r="C959" s="123">
        <v>0.92105263157894735</v>
      </c>
      <c r="D959" s="121">
        <v>108870967.74193549</v>
      </c>
      <c r="E959" s="241">
        <v>0.38</v>
      </c>
      <c r="F959" s="123">
        <v>4.5724999999999995E-2</v>
      </c>
      <c r="G959" s="46">
        <v>4011895161.2903228</v>
      </c>
      <c r="H959" s="46">
        <v>3081376000</v>
      </c>
      <c r="I959" s="56">
        <v>1.3019816995038329</v>
      </c>
      <c r="J959" s="125">
        <v>8.0662442396313363</v>
      </c>
    </row>
    <row r="960" spans="1:10">
      <c r="A960" s="55">
        <v>3265</v>
      </c>
      <c r="B960" s="114">
        <v>-0.89</v>
      </c>
      <c r="C960" s="122">
        <v>0.73611111111111116</v>
      </c>
      <c r="D960" s="116">
        <v>135955056.17977527</v>
      </c>
      <c r="E960" s="241">
        <v>-0.02</v>
      </c>
      <c r="F960" s="122">
        <v>3.046666666666668E-2</v>
      </c>
      <c r="G960" s="116">
        <v>2318033707.8651686</v>
      </c>
      <c r="H960" s="116">
        <v>1774960000</v>
      </c>
      <c r="I960" s="114">
        <v>1.3059639134770185</v>
      </c>
      <c r="J960" s="116">
        <v>0</v>
      </c>
    </row>
    <row r="961" spans="1:10">
      <c r="A961" s="55">
        <v>8050</v>
      </c>
      <c r="B961" s="45">
        <v>1.4</v>
      </c>
      <c r="C961" s="123">
        <v>0.8046511627906977</v>
      </c>
      <c r="D961" s="121">
        <v>110000000</v>
      </c>
      <c r="E961" s="241">
        <v>0.33</v>
      </c>
      <c r="F961" s="123">
        <v>2.4641666666666662E-2</v>
      </c>
      <c r="G961" s="46">
        <v>5632000000</v>
      </c>
      <c r="H961" s="46">
        <v>4264360000</v>
      </c>
      <c r="I961" s="56">
        <v>1.3207140110122035</v>
      </c>
      <c r="J961" s="125">
        <v>11.362510322047896</v>
      </c>
    </row>
    <row r="962" spans="1:10">
      <c r="A962" s="55">
        <v>5251</v>
      </c>
      <c r="B962" s="45">
        <v>0.56000000000000005</v>
      </c>
      <c r="C962" s="123">
        <v>0</v>
      </c>
      <c r="D962" s="121">
        <v>30357142.857142854</v>
      </c>
      <c r="E962" s="241">
        <v>0.27</v>
      </c>
      <c r="F962" s="123">
        <v>0.13068333333333335</v>
      </c>
      <c r="G962" s="46">
        <v>898571428.57142854</v>
      </c>
      <c r="H962" s="46">
        <v>676248000</v>
      </c>
      <c r="I962" s="56">
        <v>1.3287602012448518</v>
      </c>
      <c r="J962" s="125">
        <v>0</v>
      </c>
    </row>
    <row r="963" spans="1:10">
      <c r="A963" s="55">
        <v>5102</v>
      </c>
      <c r="B963" s="45">
        <v>0.24</v>
      </c>
      <c r="C963" s="123">
        <v>0.8</v>
      </c>
      <c r="D963" s="121">
        <v>66666666.666666672</v>
      </c>
      <c r="E963" s="241">
        <v>0.2</v>
      </c>
      <c r="F963" s="123">
        <v>-4.5325000000000004E-2</v>
      </c>
      <c r="G963" s="46">
        <v>933333333.33333337</v>
      </c>
      <c r="H963" s="46">
        <v>701084000</v>
      </c>
      <c r="I963" s="56">
        <v>1.3312717639160692</v>
      </c>
      <c r="J963" s="125">
        <v>18.229166666666668</v>
      </c>
    </row>
    <row r="964" spans="1:10">
      <c r="A964" s="55">
        <v>3533</v>
      </c>
      <c r="B964" s="114">
        <v>3.3</v>
      </c>
      <c r="C964" s="122">
        <v>0.49742268041237114</v>
      </c>
      <c r="D964" s="116">
        <v>93636363.63636364</v>
      </c>
      <c r="E964" s="241">
        <v>0.33</v>
      </c>
      <c r="F964" s="122">
        <v>1.5024999999999995E-2</v>
      </c>
      <c r="G964" s="116">
        <v>10955454545.454546</v>
      </c>
      <c r="H964" s="116">
        <v>8208138000</v>
      </c>
      <c r="I964" s="114">
        <v>1.3347064273839628</v>
      </c>
      <c r="J964" s="116">
        <v>17.819123881300047</v>
      </c>
    </row>
    <row r="965" spans="1:10">
      <c r="A965" s="55">
        <v>2732</v>
      </c>
      <c r="B965" s="114">
        <v>1.7</v>
      </c>
      <c r="C965" s="122">
        <v>0.69863013698630139</v>
      </c>
      <c r="D965" s="116">
        <v>27647058.823529411</v>
      </c>
      <c r="E965" s="241">
        <v>0.56000000000000005</v>
      </c>
      <c r="F965" s="122">
        <v>9.1583333333333326E-3</v>
      </c>
      <c r="G965" s="116">
        <v>2200705882.352941</v>
      </c>
      <c r="H965" s="116">
        <v>1648611000</v>
      </c>
      <c r="I965" s="114">
        <v>1.3348848711751535</v>
      </c>
      <c r="J965" s="116">
        <v>16.755478662053054</v>
      </c>
    </row>
    <row r="966" spans="1:10">
      <c r="A966" s="55">
        <v>8403</v>
      </c>
      <c r="B966" s="45">
        <v>0.64</v>
      </c>
      <c r="C966" s="123">
        <v>1</v>
      </c>
      <c r="D966" s="121">
        <v>60937500</v>
      </c>
      <c r="E966" s="241">
        <v>0.22</v>
      </c>
      <c r="F966" s="123">
        <v>1.6541666666666666E-2</v>
      </c>
      <c r="G966" s="46">
        <v>2845781250</v>
      </c>
      <c r="H966" s="46">
        <v>2131837000</v>
      </c>
      <c r="I966" s="56">
        <v>1.3348962655212382</v>
      </c>
      <c r="J966" s="125">
        <v>18.2421875</v>
      </c>
    </row>
    <row r="967" spans="1:10">
      <c r="A967" s="55">
        <v>6172</v>
      </c>
      <c r="B967" s="45">
        <v>0.12</v>
      </c>
      <c r="C967" s="123">
        <v>0</v>
      </c>
      <c r="D967" s="121">
        <v>50000000</v>
      </c>
      <c r="E967" s="241">
        <v>0.05</v>
      </c>
      <c r="F967" s="123">
        <v>1.8916666666666655E-2</v>
      </c>
      <c r="G967" s="46">
        <v>366000000</v>
      </c>
      <c r="H967" s="46">
        <v>274012000</v>
      </c>
      <c r="I967" s="56">
        <v>1.3357079252003561</v>
      </c>
      <c r="J967" s="125">
        <v>0</v>
      </c>
    </row>
    <row r="968" spans="1:10">
      <c r="A968" s="55">
        <v>5498</v>
      </c>
      <c r="B968" s="45">
        <v>-0.03</v>
      </c>
      <c r="C968" s="123">
        <v>0</v>
      </c>
      <c r="D968" s="121">
        <v>133333333.33333334</v>
      </c>
      <c r="E968" s="241">
        <v>0.09</v>
      </c>
      <c r="F968" s="123">
        <v>-3.0574999999999995E-2</v>
      </c>
      <c r="G968" s="46">
        <v>1158666666.6666667</v>
      </c>
      <c r="H968" s="46">
        <v>866756000</v>
      </c>
      <c r="I968" s="56">
        <v>1.3367852852090631</v>
      </c>
      <c r="J968" s="125">
        <v>0</v>
      </c>
    </row>
    <row r="969" spans="1:10">
      <c r="A969" s="55">
        <v>2379</v>
      </c>
      <c r="B969" s="114">
        <v>1.19</v>
      </c>
      <c r="C969" s="122">
        <v>0.44559585492227977</v>
      </c>
      <c r="D969" s="116">
        <v>504201680.67226893</v>
      </c>
      <c r="E969" s="241">
        <v>0.42</v>
      </c>
      <c r="F969" s="122">
        <v>2.2691666666666676E-2</v>
      </c>
      <c r="G969" s="116">
        <v>42453781512.605042</v>
      </c>
      <c r="H969" s="116">
        <v>31745809000</v>
      </c>
      <c r="I969" s="114">
        <v>1.3373035008370724</v>
      </c>
      <c r="J969" s="116">
        <v>39.697576705100644</v>
      </c>
    </row>
    <row r="970" spans="1:10">
      <c r="A970" s="55">
        <v>3066</v>
      </c>
      <c r="B970" s="114">
        <v>-0.37</v>
      </c>
      <c r="C970" s="122">
        <v>1</v>
      </c>
      <c r="D970" s="116">
        <v>83783783.783783779</v>
      </c>
      <c r="E970" s="241">
        <v>-0.15</v>
      </c>
      <c r="F970" s="122">
        <v>2.6216666666666666E-2</v>
      </c>
      <c r="G970" s="116">
        <v>670270270.27027023</v>
      </c>
      <c r="H970" s="116">
        <v>498141000</v>
      </c>
      <c r="I970" s="114">
        <v>1.3455432704199619</v>
      </c>
      <c r="J970" s="116">
        <v>0</v>
      </c>
    </row>
    <row r="971" spans="1:10">
      <c r="A971" s="55">
        <v>5301</v>
      </c>
      <c r="B971" s="45">
        <v>-0.23</v>
      </c>
      <c r="C971" s="123">
        <v>0.16666666666666666</v>
      </c>
      <c r="D971" s="121">
        <v>100000000</v>
      </c>
      <c r="E971" s="241">
        <v>0.56999999999999995</v>
      </c>
      <c r="F971" s="123">
        <v>1.8941666666666666E-2</v>
      </c>
      <c r="G971" s="46">
        <v>3140000000</v>
      </c>
      <c r="H971" s="46">
        <v>2332419000</v>
      </c>
      <c r="I971" s="56">
        <v>1.3462418201875392</v>
      </c>
      <c r="J971" s="125">
        <v>0</v>
      </c>
    </row>
    <row r="972" spans="1:10">
      <c r="A972" s="55">
        <v>6217</v>
      </c>
      <c r="B972" s="45">
        <v>1.39</v>
      </c>
      <c r="C972" s="123">
        <v>0.70175438596491224</v>
      </c>
      <c r="D972" s="121">
        <v>58273381.29496403</v>
      </c>
      <c r="E972" s="241">
        <v>0.39</v>
      </c>
      <c r="F972" s="123">
        <v>2.7441666666666666E-2</v>
      </c>
      <c r="G972" s="46">
        <v>2383381294.9640288</v>
      </c>
      <c r="H972" s="46">
        <v>1766310000</v>
      </c>
      <c r="I972" s="56">
        <v>1.3493561690552784</v>
      </c>
      <c r="J972" s="125">
        <v>10.482464028776979</v>
      </c>
    </row>
    <row r="973" spans="1:10">
      <c r="A973" s="55">
        <v>1593</v>
      </c>
      <c r="B973" s="114">
        <v>1.23</v>
      </c>
      <c r="C973" s="122">
        <v>0.69767441860465118</v>
      </c>
      <c r="D973" s="116">
        <v>30081300.81300813</v>
      </c>
      <c r="E973" s="241">
        <v>0.27</v>
      </c>
      <c r="F973" s="122">
        <v>3.871666666666667E-2</v>
      </c>
      <c r="G973" s="116">
        <v>1143089430.894309</v>
      </c>
      <c r="H973" s="116">
        <v>846724000</v>
      </c>
      <c r="I973" s="114">
        <v>1.3500142087555203</v>
      </c>
      <c r="J973" s="116">
        <v>11.070460704607045</v>
      </c>
    </row>
    <row r="974" spans="1:10">
      <c r="A974" s="55">
        <v>3593</v>
      </c>
      <c r="B974" s="114">
        <v>-0.18</v>
      </c>
      <c r="C974" s="122">
        <v>1</v>
      </c>
      <c r="D974" s="116">
        <v>111111111.11111112</v>
      </c>
      <c r="E974" s="241">
        <v>0.04</v>
      </c>
      <c r="F974" s="122">
        <v>0.362925</v>
      </c>
      <c r="G974" s="116">
        <v>927777777.77777779</v>
      </c>
      <c r="H974" s="116">
        <v>686087000</v>
      </c>
      <c r="I974" s="114">
        <v>1.3522742418640461</v>
      </c>
      <c r="J974" s="116">
        <v>0</v>
      </c>
    </row>
    <row r="975" spans="1:10">
      <c r="A975" s="55">
        <v>3498</v>
      </c>
      <c r="B975" s="114">
        <v>2.8</v>
      </c>
      <c r="C975" s="122">
        <v>0.88328075709779175</v>
      </c>
      <c r="D975" s="116">
        <v>76785714.285714284</v>
      </c>
      <c r="E975" s="241">
        <v>0.42</v>
      </c>
      <c r="F975" s="122">
        <v>7.1616666666666662E-2</v>
      </c>
      <c r="G975" s="116">
        <v>4300000000</v>
      </c>
      <c r="H975" s="116">
        <v>3179599000</v>
      </c>
      <c r="I975" s="114">
        <v>1.352371792795255</v>
      </c>
      <c r="J975" s="116">
        <v>5.6607142857142865</v>
      </c>
    </row>
    <row r="976" spans="1:10">
      <c r="A976" s="55">
        <v>9921</v>
      </c>
      <c r="B976" s="45">
        <v>3.24</v>
      </c>
      <c r="C976" s="123">
        <v>0.89853658536585368</v>
      </c>
      <c r="D976" s="121">
        <v>374691358.02469134</v>
      </c>
      <c r="E976" s="241">
        <v>0.21</v>
      </c>
      <c r="F976" s="123">
        <v>2.783333333333336E-3</v>
      </c>
      <c r="G976" s="46">
        <v>81870061728.395065</v>
      </c>
      <c r="H976" s="46">
        <v>60371131000</v>
      </c>
      <c r="I976" s="56">
        <v>1.3561127706617766</v>
      </c>
      <c r="J976" s="125">
        <v>18.763362756531414</v>
      </c>
    </row>
    <row r="977" spans="1:10">
      <c r="A977" s="55">
        <v>1584</v>
      </c>
      <c r="B977" s="114">
        <v>-0.24</v>
      </c>
      <c r="C977" s="122">
        <v>1</v>
      </c>
      <c r="D977" s="116">
        <v>104166666.66666667</v>
      </c>
      <c r="E977" s="241">
        <v>-0.01</v>
      </c>
      <c r="F977" s="122">
        <v>1.3324999999999991E-2</v>
      </c>
      <c r="G977" s="116">
        <v>1364583333.3333333</v>
      </c>
      <c r="H977" s="116">
        <v>1005688000</v>
      </c>
      <c r="I977" s="114">
        <v>1.3568654824690494</v>
      </c>
      <c r="J977" s="116">
        <v>0</v>
      </c>
    </row>
    <row r="978" spans="1:10">
      <c r="A978" s="55">
        <v>1541</v>
      </c>
      <c r="B978" s="114">
        <v>1.91</v>
      </c>
      <c r="C978" s="122">
        <v>0.64210526315789473</v>
      </c>
      <c r="D978" s="116">
        <v>78534031.413612574</v>
      </c>
      <c r="E978" s="241">
        <v>0.21</v>
      </c>
      <c r="F978" s="122">
        <v>4.2924999999999998E-2</v>
      </c>
      <c r="G978" s="116">
        <v>3926701570.6806288</v>
      </c>
      <c r="H978" s="116">
        <v>2887895000</v>
      </c>
      <c r="I978" s="114">
        <v>1.3597106441475983</v>
      </c>
      <c r="J978" s="116">
        <v>10.192258175263927</v>
      </c>
    </row>
    <row r="979" spans="1:10">
      <c r="A979" s="55">
        <v>4999</v>
      </c>
      <c r="B979" s="45">
        <v>2.06</v>
      </c>
      <c r="C979" s="123">
        <v>0.76328502415458932</v>
      </c>
      <c r="D979" s="121">
        <v>74271844.660194173</v>
      </c>
      <c r="E979" s="241">
        <v>0.34</v>
      </c>
      <c r="F979" s="123">
        <v>2.063333333333334E-2</v>
      </c>
      <c r="G979" s="46">
        <v>2956019417.475728</v>
      </c>
      <c r="H979" s="46">
        <v>2155280000</v>
      </c>
      <c r="I979" s="56">
        <v>1.371524543203541</v>
      </c>
      <c r="J979" s="125">
        <v>6.3280385891606246</v>
      </c>
    </row>
    <row r="980" spans="1:10">
      <c r="A980" s="55">
        <v>2316</v>
      </c>
      <c r="B980" s="114">
        <v>1.06</v>
      </c>
      <c r="C980" s="122">
        <v>0</v>
      </c>
      <c r="D980" s="116">
        <v>316981132.0754717</v>
      </c>
      <c r="E980" s="241">
        <v>0.1</v>
      </c>
      <c r="F980" s="122">
        <v>-3.5666666666666611E-3</v>
      </c>
      <c r="G980" s="116">
        <v>8463396226.4150944</v>
      </c>
      <c r="H980" s="116">
        <v>6159545000</v>
      </c>
      <c r="I980" s="114">
        <v>1.3740294496452408</v>
      </c>
      <c r="J980" s="116">
        <v>0</v>
      </c>
    </row>
    <row r="981" spans="1:10">
      <c r="A981" s="55">
        <v>5487</v>
      </c>
      <c r="B981" s="45">
        <v>0.47</v>
      </c>
      <c r="C981" s="123">
        <v>0.57894736842105265</v>
      </c>
      <c r="D981" s="121">
        <v>21276595.744680852</v>
      </c>
      <c r="E981" s="241">
        <v>0.35</v>
      </c>
      <c r="F981" s="123">
        <v>6.782500000000001E-2</v>
      </c>
      <c r="G981" s="46">
        <v>442553191.4893617</v>
      </c>
      <c r="H981" s="46">
        <v>321828000</v>
      </c>
      <c r="I981" s="56">
        <v>1.3751233313737825</v>
      </c>
      <c r="J981" s="125">
        <v>19.110251450676984</v>
      </c>
    </row>
    <row r="982" spans="1:10">
      <c r="A982" s="55">
        <v>4138</v>
      </c>
      <c r="B982" s="45">
        <v>1.08</v>
      </c>
      <c r="C982" s="123">
        <v>0.88235294117647056</v>
      </c>
      <c r="D982" s="121">
        <v>29629629.629629627</v>
      </c>
      <c r="E982" s="241">
        <v>0.3</v>
      </c>
      <c r="F982" s="123">
        <v>-8.9916666666666669E-3</v>
      </c>
      <c r="G982" s="46">
        <v>1783703703.7037036</v>
      </c>
      <c r="H982" s="46">
        <v>1293390000</v>
      </c>
      <c r="I982" s="56">
        <v>1.3790919240938182</v>
      </c>
      <c r="J982" s="125">
        <v>15.793209876543211</v>
      </c>
    </row>
    <row r="983" spans="1:10">
      <c r="A983" s="55">
        <v>3014</v>
      </c>
      <c r="B983" s="114">
        <v>0.74</v>
      </c>
      <c r="C983" s="122">
        <v>1</v>
      </c>
      <c r="D983" s="116">
        <v>154054054.05405405</v>
      </c>
      <c r="E983" s="241">
        <v>0.48</v>
      </c>
      <c r="F983" s="122">
        <v>2.0758333333333333E-2</v>
      </c>
      <c r="G983" s="116">
        <v>4259594594.5945945</v>
      </c>
      <c r="H983" s="116">
        <v>3084419000</v>
      </c>
      <c r="I983" s="114">
        <v>1.3810038761253236</v>
      </c>
      <c r="J983" s="116">
        <v>9.3412162162162158</v>
      </c>
    </row>
    <row r="984" spans="1:10">
      <c r="A984" s="55">
        <v>3189</v>
      </c>
      <c r="B984" s="114">
        <v>1.73</v>
      </c>
      <c r="C984" s="122">
        <v>0.95116618075801751</v>
      </c>
      <c r="D984" s="116">
        <v>445664739.8843931</v>
      </c>
      <c r="E984" s="241">
        <v>0.26</v>
      </c>
      <c r="F984" s="122">
        <v>1.9149999999999997E-2</v>
      </c>
      <c r="G984" s="116">
        <v>31865028901.734108</v>
      </c>
      <c r="H984" s="116">
        <v>23061311000</v>
      </c>
      <c r="I984" s="114">
        <v>1.3817527070223419</v>
      </c>
      <c r="J984" s="116">
        <v>10.86284410781122</v>
      </c>
    </row>
    <row r="985" spans="1:10">
      <c r="A985" s="55">
        <v>5317</v>
      </c>
      <c r="B985" s="45">
        <v>0.18</v>
      </c>
      <c r="C985" s="123">
        <v>0.59459459459459463</v>
      </c>
      <c r="D985" s="121">
        <v>133333333.33333334</v>
      </c>
      <c r="E985" s="241">
        <v>0.2</v>
      </c>
      <c r="F985" s="123">
        <v>1.279166666666666E-2</v>
      </c>
      <c r="G985" s="46">
        <v>2253333333.3333335</v>
      </c>
      <c r="H985" s="46">
        <v>1623943000</v>
      </c>
      <c r="I985" s="56">
        <v>1.3875692270808357</v>
      </c>
      <c r="J985" s="125">
        <v>39.476010101010097</v>
      </c>
    </row>
    <row r="986" spans="1:10">
      <c r="A986" s="55">
        <v>6203</v>
      </c>
      <c r="B986" s="45">
        <v>1.18</v>
      </c>
      <c r="C986" s="123">
        <v>0.4247787610619469</v>
      </c>
      <c r="D986" s="121">
        <v>80508474.576271191</v>
      </c>
      <c r="E986" s="241">
        <v>0.26</v>
      </c>
      <c r="F986" s="123">
        <v>-2.5833333333333378E-4</v>
      </c>
      <c r="G986" s="46">
        <v>2423305084.7457628</v>
      </c>
      <c r="H986" s="46">
        <v>1738394000</v>
      </c>
      <c r="I986" s="56">
        <v>1.3939907090945798</v>
      </c>
      <c r="J986" s="125">
        <v>15.012800141242941</v>
      </c>
    </row>
    <row r="987" spans="1:10">
      <c r="A987" s="55">
        <v>1256</v>
      </c>
      <c r="B987" s="114">
        <v>2.58</v>
      </c>
      <c r="C987" s="122">
        <v>1</v>
      </c>
      <c r="D987" s="116">
        <v>27131782.945736434</v>
      </c>
      <c r="E987" s="241">
        <v>0.27</v>
      </c>
      <c r="F987" s="122">
        <v>0.11876666666666665</v>
      </c>
      <c r="G987" s="116">
        <v>3364341085.271318</v>
      </c>
      <c r="H987" s="116">
        <v>2413375000</v>
      </c>
      <c r="I987" s="114">
        <v>1.3940399172409252</v>
      </c>
      <c r="J987" s="116">
        <v>12.015503875968992</v>
      </c>
    </row>
    <row r="988" spans="1:10">
      <c r="A988" s="55">
        <v>8091</v>
      </c>
      <c r="B988" s="45">
        <v>1.62</v>
      </c>
      <c r="C988" s="123">
        <v>0.87179487179487181</v>
      </c>
      <c r="D988" s="121">
        <v>59876543.209876537</v>
      </c>
      <c r="E988" s="241">
        <v>0.27</v>
      </c>
      <c r="F988" s="123">
        <v>0.17447500000000002</v>
      </c>
      <c r="G988" s="46">
        <v>3556666666.666666</v>
      </c>
      <c r="H988" s="46">
        <v>2549466000</v>
      </c>
      <c r="I988" s="56">
        <v>1.3950633845152931</v>
      </c>
      <c r="J988" s="125">
        <v>10.51470588235294</v>
      </c>
    </row>
    <row r="989" spans="1:10">
      <c r="A989" s="55">
        <v>6204</v>
      </c>
      <c r="B989" s="45">
        <v>0.5</v>
      </c>
      <c r="C989" s="123">
        <v>0.41176470588235292</v>
      </c>
      <c r="D989" s="121">
        <v>36000000</v>
      </c>
      <c r="E989" s="241">
        <v>0.28999999999999998</v>
      </c>
      <c r="F989" s="123">
        <v>2.9841666666666666E-2</v>
      </c>
      <c r="G989" s="46">
        <v>837000000</v>
      </c>
      <c r="H989" s="46">
        <v>599031000</v>
      </c>
      <c r="I989" s="56">
        <v>1.3972565693595156</v>
      </c>
      <c r="J989" s="125">
        <v>28.232142857142858</v>
      </c>
    </row>
    <row r="990" spans="1:10">
      <c r="A990" s="55">
        <v>1597</v>
      </c>
      <c r="B990" s="114">
        <v>0.78</v>
      </c>
      <c r="C990" s="122">
        <v>0.66666666666666663</v>
      </c>
      <c r="D990" s="116">
        <v>56410256.410256408</v>
      </c>
      <c r="E990" s="241">
        <v>0.3</v>
      </c>
      <c r="F990" s="122">
        <v>3.2558333333333342E-2</v>
      </c>
      <c r="G990" s="116">
        <v>1432820512.8205128</v>
      </c>
      <c r="H990" s="116">
        <v>1021982000</v>
      </c>
      <c r="I990" s="114">
        <v>1.4020017112048087</v>
      </c>
      <c r="J990" s="116">
        <v>12.21153846153846</v>
      </c>
    </row>
    <row r="991" spans="1:10">
      <c r="A991" s="55">
        <v>3050</v>
      </c>
      <c r="B991" s="114">
        <v>0.14000000000000001</v>
      </c>
      <c r="C991" s="122">
        <v>1.3157894736842105E-2</v>
      </c>
      <c r="D991" s="116">
        <v>171428571.4285714</v>
      </c>
      <c r="E991" s="241">
        <v>0.28999999999999998</v>
      </c>
      <c r="F991" s="122">
        <v>3.1E-2</v>
      </c>
      <c r="G991" s="116">
        <v>1333714285.7142856</v>
      </c>
      <c r="H991" s="116">
        <v>951160000</v>
      </c>
      <c r="I991" s="114">
        <v>1.4021976173454367</v>
      </c>
      <c r="J991" s="116">
        <v>50</v>
      </c>
    </row>
    <row r="992" spans="1:10">
      <c r="A992" s="55">
        <v>2305</v>
      </c>
      <c r="B992" s="114">
        <v>-0.14000000000000001</v>
      </c>
      <c r="C992" s="122">
        <v>1</v>
      </c>
      <c r="D992" s="116">
        <v>207142857.14285713</v>
      </c>
      <c r="E992" s="241">
        <v>0.38</v>
      </c>
      <c r="F992" s="122">
        <v>8.1700000000000009E-2</v>
      </c>
      <c r="G992" s="116">
        <v>1137214285.7142856</v>
      </c>
      <c r="H992" s="116">
        <v>809073000</v>
      </c>
      <c r="I992" s="114">
        <v>1.405576858595313</v>
      </c>
      <c r="J992" s="116">
        <v>0</v>
      </c>
    </row>
    <row r="993" spans="1:11">
      <c r="A993" s="55">
        <v>3617</v>
      </c>
      <c r="B993" s="114">
        <v>3.66</v>
      </c>
      <c r="C993" s="122">
        <v>0.7220902612826603</v>
      </c>
      <c r="D993" s="116">
        <v>80874316.939890712</v>
      </c>
      <c r="E993" s="241">
        <v>0.44</v>
      </c>
      <c r="F993" s="122">
        <v>5.0616666666666671E-2</v>
      </c>
      <c r="G993" s="116">
        <v>9017486338.7978153</v>
      </c>
      <c r="H993" s="116">
        <v>6399124000</v>
      </c>
      <c r="I993" s="114">
        <v>1.4091751212818842</v>
      </c>
      <c r="J993" s="116">
        <v>10.547324381650849</v>
      </c>
    </row>
    <row r="994" spans="1:11">
      <c r="A994" s="55">
        <v>5201</v>
      </c>
      <c r="B994" s="45">
        <v>0.62</v>
      </c>
      <c r="C994" s="123">
        <v>0</v>
      </c>
      <c r="D994" s="121">
        <v>29032258.064516131</v>
      </c>
      <c r="E994" s="241">
        <v>0.48</v>
      </c>
      <c r="F994" s="123">
        <v>1.7483333333333326E-2</v>
      </c>
      <c r="G994" s="46">
        <v>365806451.61290324</v>
      </c>
      <c r="H994" s="46">
        <v>258255000</v>
      </c>
      <c r="I994" s="56">
        <v>1.4164544795372915</v>
      </c>
      <c r="J994" s="125">
        <v>0</v>
      </c>
    </row>
    <row r="995" spans="1:11">
      <c r="A995" s="55">
        <v>1558</v>
      </c>
      <c r="B995" s="114">
        <v>6.15</v>
      </c>
      <c r="C995" s="122">
        <v>0.70265486725663717</v>
      </c>
      <c r="D995" s="116">
        <v>60487804.878048778</v>
      </c>
      <c r="E995" s="241">
        <v>0.27</v>
      </c>
      <c r="F995" s="122">
        <v>4.5916666666666606E-3</v>
      </c>
      <c r="G995" s="116">
        <v>8528780487.8048773</v>
      </c>
      <c r="H995" s="116">
        <v>6017443000</v>
      </c>
      <c r="I995" s="114">
        <v>1.4173429624185683</v>
      </c>
      <c r="J995" s="116">
        <v>8.1572157031393981</v>
      </c>
    </row>
    <row r="996" spans="1:11">
      <c r="A996" s="55">
        <v>1264</v>
      </c>
      <c r="B996" s="114">
        <v>3.14</v>
      </c>
      <c r="C996" s="122">
        <v>1</v>
      </c>
      <c r="D996" s="116">
        <v>30573248.407643311</v>
      </c>
      <c r="E996" s="241">
        <v>0.35</v>
      </c>
      <c r="F996" s="122">
        <v>2.384166666666666E-2</v>
      </c>
      <c r="G996" s="116">
        <v>5518471337.5796175</v>
      </c>
      <c r="H996" s="116">
        <v>3893307000</v>
      </c>
      <c r="I996" s="114">
        <v>1.4174251703191187</v>
      </c>
      <c r="J996" s="116">
        <v>14.371019108280255</v>
      </c>
    </row>
    <row r="997" spans="1:11">
      <c r="A997" s="55">
        <v>8261</v>
      </c>
      <c r="B997" s="45">
        <v>0.33</v>
      </c>
      <c r="C997" s="123">
        <v>0.72727272727272729</v>
      </c>
      <c r="D997" s="121">
        <v>96969696.969696969</v>
      </c>
      <c r="E997" s="241">
        <v>0.21</v>
      </c>
      <c r="F997" s="123">
        <v>-2.1824999999999997E-2</v>
      </c>
      <c r="G997" s="46">
        <v>2210909090.909091</v>
      </c>
      <c r="H997" s="46">
        <v>1555625000</v>
      </c>
      <c r="I997" s="56">
        <v>1.4212352532963222</v>
      </c>
      <c r="J997" s="125">
        <v>23.75</v>
      </c>
    </row>
    <row r="998" spans="1:11">
      <c r="A998" s="55">
        <v>8081</v>
      </c>
      <c r="B998" s="45">
        <v>1.77</v>
      </c>
      <c r="C998" s="123">
        <v>0.72222222222222221</v>
      </c>
      <c r="D998" s="121">
        <v>85310734.463276833</v>
      </c>
      <c r="E998" s="241">
        <v>0.36</v>
      </c>
      <c r="F998" s="123">
        <v>1.1616666666666666E-2</v>
      </c>
      <c r="G998" s="46">
        <v>4939491525.4237289</v>
      </c>
      <c r="H998" s="46">
        <v>3473325000</v>
      </c>
      <c r="I998" s="56">
        <v>1.4221218934086874</v>
      </c>
      <c r="J998" s="125">
        <v>11.323337679269882</v>
      </c>
    </row>
    <row r="999" spans="1:11">
      <c r="A999" s="55">
        <v>3551</v>
      </c>
      <c r="B999" s="114">
        <v>1.1000000000000001</v>
      </c>
      <c r="C999" s="122">
        <v>0.86178861788617889</v>
      </c>
      <c r="D999" s="116">
        <v>57272727.272727266</v>
      </c>
      <c r="E999" s="241">
        <v>0.37</v>
      </c>
      <c r="F999" s="122">
        <v>1.6833333333333346E-3</v>
      </c>
      <c r="G999" s="116">
        <v>1947272727.272727</v>
      </c>
      <c r="H999" s="116">
        <v>1368923000</v>
      </c>
      <c r="I999" s="114">
        <v>1.4224852144881246</v>
      </c>
      <c r="J999" s="116">
        <v>8.9665523156089186</v>
      </c>
    </row>
    <row r="1000" spans="1:11">
      <c r="A1000" s="55">
        <v>6449</v>
      </c>
      <c r="B1000" s="45">
        <v>0.94</v>
      </c>
      <c r="C1000" s="123">
        <v>0.66355140186915884</v>
      </c>
      <c r="D1000" s="121">
        <v>72340425.531914905</v>
      </c>
      <c r="E1000" s="241">
        <v>0.3</v>
      </c>
      <c r="F1000" s="123">
        <v>3.2391666666666673E-2</v>
      </c>
      <c r="G1000" s="46">
        <v>2079787234.0425534</v>
      </c>
      <c r="H1000" s="46">
        <v>1452142000</v>
      </c>
      <c r="I1000" s="56">
        <v>1.432220288403306</v>
      </c>
      <c r="J1000" s="125">
        <v>11.523261911896915</v>
      </c>
    </row>
    <row r="1001" spans="1:11">
      <c r="A1001" s="55">
        <v>1540</v>
      </c>
      <c r="B1001" s="119">
        <v>0.44</v>
      </c>
      <c r="C1001" s="122">
        <v>0.27906976744186046</v>
      </c>
      <c r="D1001" s="120">
        <v>79545454.545454547</v>
      </c>
      <c r="E1001" s="241">
        <v>0.14000000000000001</v>
      </c>
      <c r="F1001" s="122">
        <v>-7.5074999999999989E-2</v>
      </c>
      <c r="G1001" s="120">
        <v>1201136363.6363637</v>
      </c>
      <c r="H1001" s="120">
        <v>836944000</v>
      </c>
      <c r="I1001" s="119">
        <v>1.4351454382089648</v>
      </c>
      <c r="J1001" s="120">
        <v>30.743371212121211</v>
      </c>
    </row>
    <row r="1002" spans="1:11">
      <c r="A1002" s="55">
        <v>5210</v>
      </c>
      <c r="B1002" s="45">
        <v>-0.3</v>
      </c>
      <c r="C1002" s="123">
        <v>0</v>
      </c>
      <c r="D1002" s="121">
        <v>66666666.666666672</v>
      </c>
      <c r="E1002" s="241">
        <v>0.63</v>
      </c>
      <c r="F1002" s="123">
        <v>6.8199999999999983E-2</v>
      </c>
      <c r="G1002" s="46">
        <v>440000000</v>
      </c>
      <c r="H1002" s="46">
        <v>305722000</v>
      </c>
      <c r="I1002" s="56">
        <v>1.4392160197826784</v>
      </c>
      <c r="J1002" s="125">
        <v>0</v>
      </c>
    </row>
    <row r="1003" spans="1:11">
      <c r="A1003" s="55">
        <v>8150</v>
      </c>
      <c r="B1003" s="45">
        <v>0.65</v>
      </c>
      <c r="C1003" s="123">
        <v>0.83149171270718236</v>
      </c>
      <c r="D1003" s="121">
        <v>896923076.92307687</v>
      </c>
      <c r="E1003" s="241">
        <v>0.18</v>
      </c>
      <c r="F1003" s="123">
        <v>-1.5058333333333333E-2</v>
      </c>
      <c r="G1003" s="46">
        <v>28701538461.53846</v>
      </c>
      <c r="H1003" s="46">
        <v>19869391000</v>
      </c>
      <c r="I1003" s="56">
        <v>1.4445102248749577</v>
      </c>
      <c r="J1003" s="125">
        <v>14.801942243802706</v>
      </c>
    </row>
    <row r="1004" spans="1:11">
      <c r="A1004" s="55">
        <v>1817</v>
      </c>
      <c r="B1004" s="114">
        <v>0.97</v>
      </c>
      <c r="C1004" s="122">
        <v>0.98290598290598286</v>
      </c>
      <c r="D1004" s="116">
        <v>72164948.453608245</v>
      </c>
      <c r="E1004" s="241">
        <v>0.33</v>
      </c>
      <c r="F1004" s="122">
        <v>5.6966666666666659E-2</v>
      </c>
      <c r="G1004" s="116">
        <v>3186082474.2268038</v>
      </c>
      <c r="H1004" s="116">
        <v>2203487000</v>
      </c>
      <c r="I1004" s="114">
        <v>1.4459275113612216</v>
      </c>
      <c r="J1004" s="116">
        <v>11.57675930076199</v>
      </c>
      <c r="K1004" s="26"/>
    </row>
    <row r="1005" spans="1:11">
      <c r="A1005" s="55">
        <v>8906</v>
      </c>
      <c r="B1005" s="45">
        <v>-0.02</v>
      </c>
      <c r="C1005" s="123">
        <v>1</v>
      </c>
      <c r="D1005" s="121">
        <v>50000000</v>
      </c>
      <c r="E1005" s="241">
        <v>0.12</v>
      </c>
      <c r="F1005" s="123">
        <v>2.0850000000000004E-2</v>
      </c>
      <c r="G1005" s="46">
        <v>314000000</v>
      </c>
      <c r="H1005" s="46">
        <v>217007000</v>
      </c>
      <c r="I1005" s="56">
        <v>1.4469579322326007</v>
      </c>
      <c r="J1005" s="125">
        <v>0</v>
      </c>
    </row>
    <row r="1006" spans="1:11">
      <c r="A1006" s="55">
        <v>1726</v>
      </c>
      <c r="B1006" s="114">
        <v>1.65</v>
      </c>
      <c r="C1006" s="122">
        <v>0.91832669322709159</v>
      </c>
      <c r="D1006" s="116">
        <v>161818181.81818181</v>
      </c>
      <c r="E1006" s="241">
        <v>0.28000000000000003</v>
      </c>
      <c r="F1006" s="122">
        <v>1.4100000000000001E-2</v>
      </c>
      <c r="G1006" s="116">
        <v>11699454545.454544</v>
      </c>
      <c r="H1006" s="116">
        <v>8063345000</v>
      </c>
      <c r="I1006" s="114">
        <v>1.4509430695889292</v>
      </c>
      <c r="J1006" s="116">
        <v>11.928810885426939</v>
      </c>
    </row>
    <row r="1007" spans="1:11">
      <c r="A1007" s="55">
        <v>4303</v>
      </c>
      <c r="B1007" s="45">
        <v>0.36</v>
      </c>
      <c r="C1007" s="123">
        <v>0.6</v>
      </c>
      <c r="D1007" s="121">
        <v>72222222.222222224</v>
      </c>
      <c r="E1007" s="241">
        <v>0.24</v>
      </c>
      <c r="F1007" s="123">
        <v>3.8099999999999995E-2</v>
      </c>
      <c r="G1007" s="46">
        <v>928055555.55555558</v>
      </c>
      <c r="H1007" s="46">
        <v>637685000</v>
      </c>
      <c r="I1007" s="56">
        <v>1.4553510833021877</v>
      </c>
      <c r="J1007" s="125">
        <v>14.872685185185185</v>
      </c>
    </row>
    <row r="1008" spans="1:11">
      <c r="A1008" s="55">
        <v>4144</v>
      </c>
      <c r="B1008" s="45">
        <v>0.85</v>
      </c>
      <c r="C1008" s="123">
        <v>0.75342465753424659</v>
      </c>
      <c r="D1008" s="121">
        <v>77647058.823529407</v>
      </c>
      <c r="E1008" s="241">
        <v>0.54</v>
      </c>
      <c r="F1008" s="123">
        <v>5.3500000000000013E-2</v>
      </c>
      <c r="G1008" s="46">
        <v>3998823529.4117646</v>
      </c>
      <c r="H1008" s="46">
        <v>2746573000</v>
      </c>
      <c r="I1008" s="56">
        <v>1.4559320030495329</v>
      </c>
      <c r="J1008" s="125">
        <v>20.104278074866311</v>
      </c>
    </row>
    <row r="1009" spans="1:10">
      <c r="A1009" s="55">
        <v>3454</v>
      </c>
      <c r="B1009" s="114">
        <v>2.0499999999999998</v>
      </c>
      <c r="C1009" s="122">
        <v>0.83860759493670889</v>
      </c>
      <c r="D1009" s="116">
        <v>76585365.853658542</v>
      </c>
      <c r="E1009" s="241">
        <v>0.44</v>
      </c>
      <c r="F1009" s="122">
        <v>5.2758333333333331E-2</v>
      </c>
      <c r="G1009" s="116">
        <v>6050243902.4390249</v>
      </c>
      <c r="H1009" s="116">
        <v>4138752000</v>
      </c>
      <c r="I1009" s="114">
        <v>1.4618522449373688</v>
      </c>
      <c r="J1009" s="116">
        <v>11.488265071329959</v>
      </c>
    </row>
    <row r="1010" spans="1:10">
      <c r="A1010" s="55">
        <v>2641</v>
      </c>
      <c r="B1010" s="114">
        <v>0.02</v>
      </c>
      <c r="C1010" s="122">
        <v>1</v>
      </c>
      <c r="D1010" s="116">
        <v>150000000</v>
      </c>
      <c r="E1010" s="241">
        <v>0.13</v>
      </c>
      <c r="F1010" s="122">
        <v>-2.1116666666666662E-2</v>
      </c>
      <c r="G1010" s="116">
        <v>1060500000</v>
      </c>
      <c r="H1010" s="116">
        <v>725244000</v>
      </c>
      <c r="I1010" s="114">
        <v>1.4622664923804953</v>
      </c>
      <c r="J1010" s="116">
        <v>50</v>
      </c>
    </row>
    <row r="1011" spans="1:10">
      <c r="A1011" s="55">
        <v>2723</v>
      </c>
      <c r="B1011" s="114">
        <v>2.93</v>
      </c>
      <c r="C1011" s="122">
        <v>1</v>
      </c>
      <c r="D1011" s="116">
        <v>141296928.32764503</v>
      </c>
      <c r="E1011" s="241">
        <v>0.56000000000000005</v>
      </c>
      <c r="F1011" s="122">
        <v>1.0333333333333335E-2</v>
      </c>
      <c r="G1011" s="116">
        <v>29954948805.460747</v>
      </c>
      <c r="H1011" s="116">
        <v>20461526000</v>
      </c>
      <c r="I1011" s="114">
        <v>1.4639645550122091</v>
      </c>
      <c r="J1011" s="116">
        <v>18.088737201365188</v>
      </c>
    </row>
    <row r="1012" spans="1:10">
      <c r="A1012" s="55">
        <v>2454</v>
      </c>
      <c r="B1012" s="114">
        <v>5.09</v>
      </c>
      <c r="C1012" s="122">
        <v>0.86066834451901564</v>
      </c>
      <c r="D1012" s="116">
        <v>1562671905.6974461</v>
      </c>
      <c r="E1012" s="241">
        <v>0.43</v>
      </c>
      <c r="F1012" s="122">
        <v>5.4541666666666662E-2</v>
      </c>
      <c r="G1012" s="116">
        <v>312534381139.4892</v>
      </c>
      <c r="H1012" s="116">
        <v>213255240000</v>
      </c>
      <c r="I1012" s="114">
        <v>1.465541391336922</v>
      </c>
      <c r="J1012" s="116">
        <v>11.413435586141039</v>
      </c>
    </row>
    <row r="1013" spans="1:10">
      <c r="A1013" s="55">
        <v>2729</v>
      </c>
      <c r="B1013" s="114">
        <v>3.13</v>
      </c>
      <c r="C1013" s="122">
        <v>0.95512820512820518</v>
      </c>
      <c r="D1013" s="116">
        <v>23322683.706070289</v>
      </c>
      <c r="E1013" s="241">
        <v>0.52</v>
      </c>
      <c r="F1013" s="122">
        <v>2.9541666666666671E-2</v>
      </c>
      <c r="G1013" s="116">
        <v>5061022364.2172527</v>
      </c>
      <c r="H1013" s="116">
        <v>3449215000</v>
      </c>
      <c r="I1013" s="114">
        <v>1.4672968673211884</v>
      </c>
      <c r="J1013" s="116">
        <v>18.146536012179173</v>
      </c>
    </row>
    <row r="1014" spans="1:10">
      <c r="A1014" s="55">
        <v>2105</v>
      </c>
      <c r="B1014" s="114">
        <v>0.94</v>
      </c>
      <c r="C1014" s="122">
        <v>1</v>
      </c>
      <c r="D1014" s="116">
        <v>3244680851.0638299</v>
      </c>
      <c r="E1014" s="241">
        <v>0.31</v>
      </c>
      <c r="F1014" s="122">
        <v>4.1666666666666657E-3</v>
      </c>
      <c r="G1014" s="116">
        <v>171968085106.383</v>
      </c>
      <c r="H1014" s="116">
        <v>117125415000</v>
      </c>
      <c r="I1014" s="114">
        <v>1.4682388541067966</v>
      </c>
      <c r="J1014" s="116">
        <v>14.095744680851064</v>
      </c>
    </row>
    <row r="1015" spans="1:10">
      <c r="A1015" s="55">
        <v>5230</v>
      </c>
      <c r="B1015" s="45">
        <v>0.72</v>
      </c>
      <c r="C1015" s="123">
        <v>1</v>
      </c>
      <c r="D1015" s="121">
        <v>47222222.222222224</v>
      </c>
      <c r="E1015" s="241">
        <v>0.38</v>
      </c>
      <c r="F1015" s="123">
        <v>4.2158333333333332E-2</v>
      </c>
      <c r="G1015" s="46">
        <v>2129722222.2222223</v>
      </c>
      <c r="H1015" s="46">
        <v>1446209000</v>
      </c>
      <c r="I1015" s="56">
        <v>1.4726240966708286</v>
      </c>
      <c r="J1015" s="125">
        <v>15.659722222222223</v>
      </c>
    </row>
    <row r="1016" spans="1:10">
      <c r="A1016" s="55">
        <v>2338</v>
      </c>
      <c r="B1016" s="114">
        <v>0.15</v>
      </c>
      <c r="C1016" s="122">
        <v>0.38095238095238093</v>
      </c>
      <c r="D1016" s="116">
        <v>240000000</v>
      </c>
      <c r="E1016" s="241">
        <v>0.2</v>
      </c>
      <c r="F1016" s="122">
        <v>4.3691666666666663E-2</v>
      </c>
      <c r="G1016" s="116">
        <v>2196000000</v>
      </c>
      <c r="H1016" s="116">
        <v>1483715000</v>
      </c>
      <c r="I1016" s="114">
        <v>1.4800686115594976</v>
      </c>
      <c r="J1016" s="116">
        <v>40.031250000000007</v>
      </c>
    </row>
    <row r="1017" spans="1:10">
      <c r="A1017" s="55">
        <v>3558</v>
      </c>
      <c r="B1017" s="114">
        <v>5.14</v>
      </c>
      <c r="C1017" s="122">
        <v>0.7321428571428571</v>
      </c>
      <c r="D1017" s="116">
        <v>49027237.354085609</v>
      </c>
      <c r="E1017" s="241">
        <v>0.27</v>
      </c>
      <c r="F1017" s="122">
        <v>-3.450000000000003E-3</v>
      </c>
      <c r="G1017" s="116">
        <v>11251750972.762648</v>
      </c>
      <c r="H1017" s="116">
        <v>7584017000</v>
      </c>
      <c r="I1017" s="114">
        <v>1.483613627548916</v>
      </c>
      <c r="J1017" s="116">
        <v>15.246275030843696</v>
      </c>
    </row>
    <row r="1018" spans="1:10">
      <c r="A1018" s="55">
        <v>3559</v>
      </c>
      <c r="B1018" s="114">
        <v>0.65</v>
      </c>
      <c r="C1018" s="122">
        <v>0.93877551020408168</v>
      </c>
      <c r="D1018" s="116">
        <v>120000000</v>
      </c>
      <c r="E1018" s="241">
        <v>0.35</v>
      </c>
      <c r="F1018" s="122">
        <v>2.7166666666666658E-3</v>
      </c>
      <c r="G1018" s="116">
        <v>2268000000</v>
      </c>
      <c r="H1018" s="116">
        <v>1525507000</v>
      </c>
      <c r="I1018" s="114">
        <v>1.486718841670343</v>
      </c>
      <c r="J1018" s="116">
        <v>7.7433110367892954</v>
      </c>
    </row>
    <row r="1019" spans="1:10">
      <c r="A1019" s="55">
        <v>3630</v>
      </c>
      <c r="B1019" s="114">
        <v>-1.51</v>
      </c>
      <c r="C1019" s="122">
        <v>1</v>
      </c>
      <c r="D1019" s="116">
        <v>101324503.31125827</v>
      </c>
      <c r="E1019" s="241">
        <v>-0.3</v>
      </c>
      <c r="F1019" s="122">
        <v>4.4000000000000004E-2</v>
      </c>
      <c r="G1019" s="116">
        <v>1479337748.3443708</v>
      </c>
      <c r="H1019" s="116">
        <v>993935000</v>
      </c>
      <c r="I1019" s="114">
        <v>1.4883646801293553</v>
      </c>
      <c r="J1019" s="116">
        <v>0</v>
      </c>
    </row>
    <row r="1020" spans="1:10">
      <c r="A1020" s="55">
        <v>3567</v>
      </c>
      <c r="B1020" s="114">
        <v>0.38</v>
      </c>
      <c r="C1020" s="122">
        <v>0.90909090909090906</v>
      </c>
      <c r="D1020" s="116">
        <v>36842105.263157897</v>
      </c>
      <c r="E1020" s="241">
        <v>0.35</v>
      </c>
      <c r="F1020" s="122">
        <v>5.5416666666666661E-3</v>
      </c>
      <c r="G1020" s="116">
        <v>497368421.05263162</v>
      </c>
      <c r="H1020" s="116">
        <v>333660000</v>
      </c>
      <c r="I1020" s="114">
        <v>1.4906444316149123</v>
      </c>
      <c r="J1020" s="116">
        <v>9.7697368421052637</v>
      </c>
    </row>
    <row r="1021" spans="1:10">
      <c r="A1021" s="55">
        <v>1452</v>
      </c>
      <c r="B1021" s="114">
        <v>0.69</v>
      </c>
      <c r="C1021" s="122">
        <v>0.31578947368421051</v>
      </c>
      <c r="D1021" s="116">
        <v>131884057.9710145</v>
      </c>
      <c r="E1021" s="241">
        <v>0.15</v>
      </c>
      <c r="F1021" s="122">
        <v>-1.3125000000000003E-2</v>
      </c>
      <c r="G1021" s="116">
        <v>2894855072.463768</v>
      </c>
      <c r="H1021" s="116">
        <v>1936928000</v>
      </c>
      <c r="I1021" s="114">
        <v>1.4945599797533868</v>
      </c>
      <c r="J1021" s="116">
        <v>25.184178743961358</v>
      </c>
    </row>
    <row r="1022" spans="1:10">
      <c r="A1022" s="55">
        <v>8048</v>
      </c>
      <c r="B1022" s="45">
        <v>1.49</v>
      </c>
      <c r="C1022" s="123">
        <v>0.80314960629921262</v>
      </c>
      <c r="D1022" s="121">
        <v>51677852.348993286</v>
      </c>
      <c r="E1022" s="241">
        <v>0.24</v>
      </c>
      <c r="F1022" s="123">
        <v>4.3124999999999997E-2</v>
      </c>
      <c r="G1022" s="46">
        <v>2405604026.8456373</v>
      </c>
      <c r="H1022" s="46">
        <v>1609116000</v>
      </c>
      <c r="I1022" s="56">
        <v>1.4949848406489261</v>
      </c>
      <c r="J1022" s="125">
        <v>9.7247170680352664</v>
      </c>
    </row>
    <row r="1023" spans="1:10">
      <c r="A1023" s="55">
        <v>4536</v>
      </c>
      <c r="B1023" s="45">
        <v>2.67</v>
      </c>
      <c r="C1023" s="123">
        <v>0.50855745721271395</v>
      </c>
      <c r="D1023" s="121">
        <v>90636704.119850188</v>
      </c>
      <c r="E1023" s="241">
        <v>0.26</v>
      </c>
      <c r="F1023" s="123">
        <v>1.3583333333333312E-3</v>
      </c>
      <c r="G1023" s="46">
        <v>9970037453.1835213</v>
      </c>
      <c r="H1023" s="46">
        <v>6650842000</v>
      </c>
      <c r="I1023" s="56">
        <v>1.4990639460663058</v>
      </c>
      <c r="J1023" s="125">
        <v>20.252628925381732</v>
      </c>
    </row>
    <row r="1024" spans="1:10">
      <c r="A1024" s="55">
        <v>1233</v>
      </c>
      <c r="B1024" s="114">
        <v>0.48</v>
      </c>
      <c r="C1024" s="122">
        <v>0.7142857142857143</v>
      </c>
      <c r="D1024" s="116">
        <v>89583333.333333343</v>
      </c>
      <c r="E1024" s="241">
        <v>0.56999999999999995</v>
      </c>
      <c r="F1024" s="122">
        <v>4.1666666666666683E-3</v>
      </c>
      <c r="G1024" s="116">
        <v>3220520833.333334</v>
      </c>
      <c r="H1024" s="116">
        <v>2139346000</v>
      </c>
      <c r="I1024" s="114">
        <v>1.5053763315206301</v>
      </c>
      <c r="J1024" s="116">
        <v>26.213541666666668</v>
      </c>
    </row>
    <row r="1025" spans="1:10">
      <c r="A1025" s="55">
        <v>5264</v>
      </c>
      <c r="B1025" s="45">
        <v>4.75</v>
      </c>
      <c r="C1025" s="123">
        <v>0.64749319860085508</v>
      </c>
      <c r="D1025" s="121">
        <v>339789473.68421054</v>
      </c>
      <c r="E1025" s="241">
        <v>0.27</v>
      </c>
      <c r="F1025" s="123">
        <v>3.5883333333333323E-2</v>
      </c>
      <c r="G1025" s="46">
        <v>58443789473.684212</v>
      </c>
      <c r="H1025" s="46">
        <v>38757578000</v>
      </c>
      <c r="I1025" s="56">
        <v>1.5079319320129914</v>
      </c>
      <c r="J1025" s="125">
        <v>13.981045049598785</v>
      </c>
    </row>
    <row r="1026" spans="1:10">
      <c r="A1026" s="55">
        <v>5288</v>
      </c>
      <c r="B1026" s="45">
        <v>2.42</v>
      </c>
      <c r="C1026" s="123">
        <v>0.74042553191489358</v>
      </c>
      <c r="D1026" s="121">
        <v>64462809.917355374</v>
      </c>
      <c r="E1026" s="241">
        <v>0.2</v>
      </c>
      <c r="F1026" s="123">
        <v>1.8599999999999995E-2</v>
      </c>
      <c r="G1026" s="46">
        <v>6053057851.2396698</v>
      </c>
      <c r="H1026" s="46">
        <v>4007761000</v>
      </c>
      <c r="I1026" s="56">
        <v>1.5103340371942513</v>
      </c>
      <c r="J1026" s="125">
        <v>13.101132801367914</v>
      </c>
    </row>
    <row r="1027" spans="1:10">
      <c r="A1027" s="55">
        <v>3049</v>
      </c>
      <c r="B1027" s="114">
        <v>0.25</v>
      </c>
      <c r="C1027" s="122">
        <v>1</v>
      </c>
      <c r="D1027" s="116">
        <v>732000000</v>
      </c>
      <c r="E1027" s="241">
        <v>0.23</v>
      </c>
      <c r="F1027" s="122">
        <v>3.0858333333333335E-2</v>
      </c>
      <c r="G1027" s="116">
        <v>6287880000</v>
      </c>
      <c r="H1027" s="116">
        <v>4158704000</v>
      </c>
      <c r="I1027" s="114">
        <v>1.5119806555119095</v>
      </c>
      <c r="J1027" s="116">
        <v>8.59</v>
      </c>
    </row>
    <row r="1028" spans="1:10">
      <c r="A1028" s="55">
        <v>1516</v>
      </c>
      <c r="B1028" s="114">
        <v>-0.08</v>
      </c>
      <c r="C1028" s="122">
        <v>0</v>
      </c>
      <c r="D1028" s="116">
        <v>25000000</v>
      </c>
      <c r="E1028" s="241">
        <v>0.01</v>
      </c>
      <c r="F1028" s="122">
        <v>12.495666666666663</v>
      </c>
      <c r="G1028" s="116">
        <v>522499999.99999994</v>
      </c>
      <c r="H1028" s="116">
        <v>345288000</v>
      </c>
      <c r="I1028" s="114">
        <v>1.5132295359236345</v>
      </c>
      <c r="J1028" s="116">
        <v>0</v>
      </c>
    </row>
    <row r="1029" spans="1:10">
      <c r="A1029" s="55">
        <v>4111</v>
      </c>
      <c r="B1029" s="45">
        <v>0.32</v>
      </c>
      <c r="C1029" s="123">
        <v>0.83870967741935487</v>
      </c>
      <c r="D1029" s="121">
        <v>56250000</v>
      </c>
      <c r="E1029" s="241">
        <v>0.31</v>
      </c>
      <c r="F1029" s="123">
        <v>5.0916666666666653E-3</v>
      </c>
      <c r="G1029" s="46">
        <v>1411875000</v>
      </c>
      <c r="H1029" s="46">
        <v>931937000</v>
      </c>
      <c r="I1029" s="56">
        <v>1.5149897471610205</v>
      </c>
      <c r="J1029" s="125">
        <v>23.380408653846153</v>
      </c>
    </row>
    <row r="1030" spans="1:10">
      <c r="A1030" s="55">
        <v>4106</v>
      </c>
      <c r="B1030" s="45">
        <v>0.2</v>
      </c>
      <c r="C1030" s="123">
        <v>0.87692307692307692</v>
      </c>
      <c r="D1030" s="121">
        <v>80000000</v>
      </c>
      <c r="E1030" s="241">
        <v>0.44</v>
      </c>
      <c r="F1030" s="123">
        <v>2.0233333333333339E-2</v>
      </c>
      <c r="G1030" s="46">
        <v>3080000000</v>
      </c>
      <c r="H1030" s="46">
        <v>2017617000</v>
      </c>
      <c r="I1030" s="56">
        <v>1.5265533547744692</v>
      </c>
      <c r="J1030" s="125">
        <v>50</v>
      </c>
    </row>
    <row r="1031" spans="1:10">
      <c r="A1031" s="55">
        <v>2924</v>
      </c>
      <c r="B1031" s="114">
        <v>0.15</v>
      </c>
      <c r="C1031" s="122">
        <v>0</v>
      </c>
      <c r="D1031" s="116">
        <v>33333333.333333336</v>
      </c>
      <c r="E1031" s="241">
        <v>0.64</v>
      </c>
      <c r="F1031" s="122">
        <v>-1.2008333333333336E-2</v>
      </c>
      <c r="G1031" s="116">
        <v>1996666666.6666667</v>
      </c>
      <c r="H1031" s="116">
        <v>1307258000</v>
      </c>
      <c r="I1031" s="114">
        <v>1.5273700116324909</v>
      </c>
      <c r="J1031" s="116">
        <v>0</v>
      </c>
    </row>
    <row r="1032" spans="1:10">
      <c r="A1032" s="55">
        <v>2449</v>
      </c>
      <c r="B1032" s="114">
        <v>0.46</v>
      </c>
      <c r="C1032" s="122">
        <v>0.92459016393442628</v>
      </c>
      <c r="D1032" s="116">
        <v>1173913043.4782608</v>
      </c>
      <c r="E1032" s="241">
        <v>0.27</v>
      </c>
      <c r="F1032" s="122">
        <v>3.5666666666666672E-3</v>
      </c>
      <c r="G1032" s="116">
        <v>26236956521.739128</v>
      </c>
      <c r="H1032" s="116">
        <v>17163997000</v>
      </c>
      <c r="I1032" s="114">
        <v>1.5286041195264208</v>
      </c>
      <c r="J1032" s="116">
        <v>13.137430619796485</v>
      </c>
    </row>
    <row r="1033" spans="1:10">
      <c r="A1033" s="55">
        <v>2485</v>
      </c>
      <c r="B1033" s="114">
        <v>1.1599999999999999</v>
      </c>
      <c r="C1033" s="122">
        <v>0.39462809917355374</v>
      </c>
      <c r="D1033" s="116">
        <v>317241379.31034487</v>
      </c>
      <c r="E1033" s="241">
        <v>0.15</v>
      </c>
      <c r="F1033" s="122">
        <v>7.3066666666666669E-2</v>
      </c>
      <c r="G1033" s="116">
        <v>17257931034.482761</v>
      </c>
      <c r="H1033" s="116">
        <v>11271199000</v>
      </c>
      <c r="I1033" s="114">
        <v>1.5311530773685</v>
      </c>
      <c r="J1033" s="116">
        <v>29.709333814768009</v>
      </c>
    </row>
    <row r="1034" spans="1:10">
      <c r="A1034" s="55">
        <v>4103</v>
      </c>
      <c r="B1034" s="45">
        <v>2.8</v>
      </c>
      <c r="C1034" s="123">
        <v>0.78328981723237601</v>
      </c>
      <c r="D1034" s="121">
        <v>110000000</v>
      </c>
      <c r="E1034" s="241">
        <v>0.33</v>
      </c>
      <c r="F1034" s="123">
        <v>3.1516666666666658E-2</v>
      </c>
      <c r="G1034" s="46">
        <v>9416000000</v>
      </c>
      <c r="H1034" s="46">
        <v>6147274000</v>
      </c>
      <c r="I1034" s="56">
        <v>1.5317358556003848</v>
      </c>
      <c r="J1034" s="125">
        <v>9.7573809523809523</v>
      </c>
    </row>
    <row r="1035" spans="1:10">
      <c r="A1035" s="55">
        <v>4987</v>
      </c>
      <c r="B1035" s="45">
        <v>2.94</v>
      </c>
      <c r="C1035" s="123">
        <v>0.79487179487179482</v>
      </c>
      <c r="D1035" s="121">
        <v>25170068.027210884</v>
      </c>
      <c r="E1035" s="241">
        <v>0.41</v>
      </c>
      <c r="F1035" s="123">
        <v>-2.1824999999999997E-2</v>
      </c>
      <c r="G1035" s="46">
        <v>1676326530.6122446</v>
      </c>
      <c r="H1035" s="46">
        <v>1093435000</v>
      </c>
      <c r="I1035" s="56">
        <v>1.5330829272999718</v>
      </c>
      <c r="J1035" s="125">
        <v>7.1247531270572741</v>
      </c>
    </row>
    <row r="1036" spans="1:10">
      <c r="A1036" s="55">
        <v>6210</v>
      </c>
      <c r="B1036" s="45">
        <v>1.44</v>
      </c>
      <c r="C1036" s="123">
        <v>0.83950617283950613</v>
      </c>
      <c r="D1036" s="121">
        <v>34722222.222222224</v>
      </c>
      <c r="E1036" s="241">
        <v>0.35</v>
      </c>
      <c r="F1036" s="123">
        <v>6.2916666666666633E-3</v>
      </c>
      <c r="G1036" s="46">
        <v>1515625000</v>
      </c>
      <c r="H1036" s="46">
        <v>985854000</v>
      </c>
      <c r="I1036" s="56">
        <v>1.5373726738442</v>
      </c>
      <c r="J1036" s="125">
        <v>9.026884191176471</v>
      </c>
    </row>
    <row r="1037" spans="1:10">
      <c r="A1037" s="55">
        <v>1303</v>
      </c>
      <c r="B1037" s="114">
        <v>1.27</v>
      </c>
      <c r="C1037" s="122">
        <v>0.23281547381932458</v>
      </c>
      <c r="D1037" s="116">
        <v>7901574803.1496058</v>
      </c>
      <c r="E1037" s="241">
        <v>0.1</v>
      </c>
      <c r="F1037" s="122">
        <v>-1.6441666666666667E-2</v>
      </c>
      <c r="G1037" s="116">
        <v>464612598425.19678</v>
      </c>
      <c r="H1037" s="116">
        <v>299791835000</v>
      </c>
      <c r="I1037" s="114">
        <v>1.5497840307265098</v>
      </c>
      <c r="J1037" s="116">
        <v>49.71664022035268</v>
      </c>
    </row>
    <row r="1038" spans="1:10">
      <c r="A1038" s="55">
        <v>1537</v>
      </c>
      <c r="B1038" s="114">
        <v>3.08</v>
      </c>
      <c r="C1038" s="122">
        <v>0.82926829268292679</v>
      </c>
      <c r="D1038" s="116">
        <v>81493506.493506491</v>
      </c>
      <c r="E1038" s="241">
        <v>0.21</v>
      </c>
      <c r="F1038" s="122">
        <v>3.8750000000000013E-3</v>
      </c>
      <c r="G1038" s="116">
        <v>10797889610.38961</v>
      </c>
      <c r="H1038" s="116">
        <v>6950488000</v>
      </c>
      <c r="I1038" s="114">
        <v>1.553544097966878</v>
      </c>
      <c r="J1038" s="116">
        <v>12.969108097784568</v>
      </c>
    </row>
    <row r="1039" spans="1:10">
      <c r="A1039" s="55">
        <v>9914</v>
      </c>
      <c r="B1039" s="45">
        <v>3.72</v>
      </c>
      <c r="C1039" s="123">
        <v>0.66097704532077695</v>
      </c>
      <c r="D1039" s="121">
        <v>299193548.38709676</v>
      </c>
      <c r="E1039" s="241">
        <v>0.17</v>
      </c>
      <c r="F1039" s="123">
        <v>7.5083333333333252E-3</v>
      </c>
      <c r="G1039" s="46">
        <v>43682258064.516129</v>
      </c>
      <c r="H1039" s="46">
        <v>28104026000</v>
      </c>
      <c r="I1039" s="56">
        <v>1.5543060650639922</v>
      </c>
      <c r="J1039" s="125">
        <v>14.844430720324782</v>
      </c>
    </row>
    <row r="1040" spans="1:10">
      <c r="A1040" s="55">
        <v>3016</v>
      </c>
      <c r="B1040" s="114">
        <v>0.26</v>
      </c>
      <c r="C1040" s="122">
        <v>0.30303030303030304</v>
      </c>
      <c r="D1040" s="116">
        <v>92307692.307692304</v>
      </c>
      <c r="E1040" s="241">
        <v>0.12</v>
      </c>
      <c r="F1040" s="122">
        <v>-3.0883333333333329E-2</v>
      </c>
      <c r="G1040" s="116">
        <v>1218461538.4615383</v>
      </c>
      <c r="H1040" s="116">
        <v>779273000</v>
      </c>
      <c r="I1040" s="114">
        <v>1.5635875212685906</v>
      </c>
      <c r="J1040" s="116">
        <v>41.88461538461538</v>
      </c>
    </row>
    <row r="1041" spans="1:10">
      <c r="A1041" s="55">
        <v>6166</v>
      </c>
      <c r="B1041" s="45">
        <v>0.78</v>
      </c>
      <c r="C1041" s="123">
        <v>0.90342679127725856</v>
      </c>
      <c r="D1041" s="121">
        <v>201282051.28205127</v>
      </c>
      <c r="E1041" s="241">
        <v>0.39</v>
      </c>
      <c r="F1041" s="123">
        <v>2.4524999999999991E-2</v>
      </c>
      <c r="G1041" s="46">
        <v>14210512820.512817</v>
      </c>
      <c r="H1041" s="46">
        <v>9068123000</v>
      </c>
      <c r="I1041" s="56">
        <v>1.5670842599414252</v>
      </c>
      <c r="J1041" s="125">
        <v>25.047082228116707</v>
      </c>
    </row>
    <row r="1042" spans="1:10">
      <c r="A1042" s="55">
        <v>3034</v>
      </c>
      <c r="B1042" s="114">
        <v>2.79</v>
      </c>
      <c r="C1042" s="122">
        <v>0.90040841972981467</v>
      </c>
      <c r="D1042" s="116">
        <v>608602150.53763437</v>
      </c>
      <c r="E1042" s="241">
        <v>0.28000000000000003</v>
      </c>
      <c r="F1042" s="122">
        <v>-9.8249999999999987E-3</v>
      </c>
      <c r="G1042" s="116">
        <v>79726881720.430099</v>
      </c>
      <c r="H1042" s="116">
        <v>50870128000</v>
      </c>
      <c r="I1042" s="114">
        <v>1.5672632418072567</v>
      </c>
      <c r="J1042" s="116">
        <v>13.036696456040037</v>
      </c>
    </row>
    <row r="1043" spans="1:10">
      <c r="A1043" s="55">
        <v>4432</v>
      </c>
      <c r="B1043" s="45">
        <v>2.16</v>
      </c>
      <c r="C1043" s="123">
        <v>0.65306122448979587</v>
      </c>
      <c r="D1043" s="121">
        <v>50462962.962962963</v>
      </c>
      <c r="E1043" s="241">
        <v>0.21</v>
      </c>
      <c r="F1043" s="123">
        <v>2.2000000000000002E-2</v>
      </c>
      <c r="G1043" s="46">
        <v>3724166666.6666665</v>
      </c>
      <c r="H1043" s="46">
        <v>2367591000</v>
      </c>
      <c r="I1043" s="56">
        <v>1.5729772020026545</v>
      </c>
      <c r="J1043" s="125">
        <v>13.079427083333332</v>
      </c>
    </row>
    <row r="1044" spans="1:10">
      <c r="A1044" s="55">
        <v>2612</v>
      </c>
      <c r="B1044" s="114">
        <v>0.39</v>
      </c>
      <c r="C1044" s="122">
        <v>1</v>
      </c>
      <c r="D1044" s="116">
        <v>258974358.97435898</v>
      </c>
      <c r="E1044" s="241">
        <v>0.28999999999999998</v>
      </c>
      <c r="F1044" s="122">
        <v>-2.6833333333333344E-3</v>
      </c>
      <c r="G1044" s="116">
        <v>5308974358.9743586</v>
      </c>
      <c r="H1044" s="116">
        <v>3365912000</v>
      </c>
      <c r="I1044" s="114">
        <v>1.5772766367553157</v>
      </c>
      <c r="J1044" s="116">
        <v>13.141025641025641</v>
      </c>
    </row>
    <row r="1045" spans="1:10">
      <c r="A1045" s="55">
        <v>2640</v>
      </c>
      <c r="B1045" s="114">
        <v>1.06</v>
      </c>
      <c r="C1045" s="122">
        <v>1</v>
      </c>
      <c r="D1045" s="116">
        <v>44339622.641509429</v>
      </c>
      <c r="E1045" s="241">
        <v>0.47</v>
      </c>
      <c r="F1045" s="122">
        <v>-1.6666666666666728E-3</v>
      </c>
      <c r="G1045" s="116">
        <v>2576132075.4716978</v>
      </c>
      <c r="H1045" s="116">
        <v>1631998000</v>
      </c>
      <c r="I1045" s="114">
        <v>1.5785142356005937</v>
      </c>
      <c r="J1045" s="116">
        <v>13.702830188679245</v>
      </c>
    </row>
    <row r="1046" spans="1:10">
      <c r="A1046" s="55">
        <v>4304</v>
      </c>
      <c r="B1046" s="45">
        <v>-0.38</v>
      </c>
      <c r="C1046" s="123">
        <v>1</v>
      </c>
      <c r="D1046" s="121">
        <v>52631578.947368421</v>
      </c>
      <c r="E1046" s="241">
        <v>7.0000000000000007E-2</v>
      </c>
      <c r="F1046" s="123">
        <v>2.6374999999999999E-2</v>
      </c>
      <c r="G1046" s="46">
        <v>642105263.15789473</v>
      </c>
      <c r="H1046" s="46">
        <v>406706000</v>
      </c>
      <c r="I1046" s="56">
        <v>1.5787946653304714</v>
      </c>
      <c r="J1046" s="125">
        <v>0</v>
      </c>
    </row>
    <row r="1047" spans="1:10">
      <c r="A1047" s="55">
        <v>4541</v>
      </c>
      <c r="B1047" s="45">
        <v>0.37</v>
      </c>
      <c r="C1047" s="123">
        <v>0.72222222222222221</v>
      </c>
      <c r="D1047" s="121">
        <v>54054054.054054052</v>
      </c>
      <c r="E1047" s="241">
        <v>0.24</v>
      </c>
      <c r="F1047" s="123">
        <v>-5.416666666666648E-4</v>
      </c>
      <c r="G1047" s="46">
        <v>1648648648.6486485</v>
      </c>
      <c r="H1047" s="46">
        <v>1044193000</v>
      </c>
      <c r="I1047" s="56">
        <v>1.5788734923990571</v>
      </c>
      <c r="J1047" s="125">
        <v>28.534303534303536</v>
      </c>
    </row>
    <row r="1048" spans="1:10">
      <c r="A1048" s="55">
        <v>3374</v>
      </c>
      <c r="B1048" s="114">
        <v>-7.0000000000000007E-2</v>
      </c>
      <c r="C1048" s="122">
        <v>1</v>
      </c>
      <c r="D1048" s="116">
        <v>257142857.1428571</v>
      </c>
      <c r="E1048" s="241">
        <v>0.05</v>
      </c>
      <c r="F1048" s="122">
        <v>-4.3674999999999999E-2</v>
      </c>
      <c r="G1048" s="116">
        <v>7714285714.2857132</v>
      </c>
      <c r="H1048" s="116">
        <v>4878088000</v>
      </c>
      <c r="I1048" s="114">
        <v>1.5814158568450822</v>
      </c>
      <c r="J1048" s="116">
        <v>0</v>
      </c>
    </row>
    <row r="1049" spans="1:10">
      <c r="A1049" s="55">
        <v>6257</v>
      </c>
      <c r="B1049" s="45">
        <v>0.59</v>
      </c>
      <c r="C1049" s="123">
        <v>0.90322580645161288</v>
      </c>
      <c r="D1049" s="121">
        <v>361016949.15254241</v>
      </c>
      <c r="E1049" s="241">
        <v>0.28000000000000003</v>
      </c>
      <c r="F1049" s="123">
        <v>7.6749999999999987E-3</v>
      </c>
      <c r="G1049" s="46">
        <v>7996525423.7288141</v>
      </c>
      <c r="H1049" s="46">
        <v>5054283000</v>
      </c>
      <c r="I1049" s="56">
        <v>1.5821285479520664</v>
      </c>
      <c r="J1049" s="125">
        <v>10.391192493946733</v>
      </c>
    </row>
    <row r="1050" spans="1:10">
      <c r="A1050" s="55">
        <v>4984</v>
      </c>
      <c r="B1050" s="45">
        <v>1.49</v>
      </c>
      <c r="C1050" s="123">
        <v>0.75862068965517238</v>
      </c>
      <c r="D1050" s="121">
        <v>45637583.892617449</v>
      </c>
      <c r="E1050" s="241">
        <v>0.44</v>
      </c>
      <c r="F1050" s="123">
        <v>3.3416666666666657E-2</v>
      </c>
      <c r="G1050" s="46">
        <v>1971543624.1610739</v>
      </c>
      <c r="H1050" s="46">
        <v>1246119000</v>
      </c>
      <c r="I1050" s="56">
        <v>1.5821471497995567</v>
      </c>
      <c r="J1050" s="125">
        <v>9.5546064673581466</v>
      </c>
    </row>
    <row r="1051" spans="1:10">
      <c r="A1051" s="55">
        <v>2451</v>
      </c>
      <c r="B1051" s="114">
        <v>2.52</v>
      </c>
      <c r="C1051" s="122">
        <v>0.67152821813570074</v>
      </c>
      <c r="D1051" s="116">
        <v>430952380.95238096</v>
      </c>
      <c r="E1051" s="241">
        <v>0.17</v>
      </c>
      <c r="F1051" s="122">
        <v>3.6333333333333287E-3</v>
      </c>
      <c r="G1051" s="116">
        <v>39432142857.14286</v>
      </c>
      <c r="H1051" s="116">
        <v>24913287000</v>
      </c>
      <c r="I1051" s="114">
        <v>1.5827756031206504</v>
      </c>
      <c r="J1051" s="116">
        <v>13.517497414452087</v>
      </c>
    </row>
    <row r="1052" spans="1:10">
      <c r="A1052" s="55">
        <v>8072</v>
      </c>
      <c r="B1052" s="45">
        <v>0.57999999999999996</v>
      </c>
      <c r="C1052" s="123">
        <v>6.25E-2</v>
      </c>
      <c r="D1052" s="121">
        <v>100000000</v>
      </c>
      <c r="E1052" s="241">
        <v>0.2</v>
      </c>
      <c r="F1052" s="123">
        <v>-1.6991666666666665E-2</v>
      </c>
      <c r="G1052" s="46">
        <v>2490000000</v>
      </c>
      <c r="H1052" s="46">
        <v>1571887000</v>
      </c>
      <c r="I1052" s="56">
        <v>1.5840833342345855</v>
      </c>
      <c r="J1052" s="125">
        <v>50</v>
      </c>
    </row>
    <row r="1053" spans="1:10">
      <c r="A1053" s="55">
        <v>2308</v>
      </c>
      <c r="B1053" s="114">
        <v>2.42</v>
      </c>
      <c r="C1053" s="122">
        <v>0.76958002270147563</v>
      </c>
      <c r="D1053" s="116">
        <v>2436363636.3636365</v>
      </c>
      <c r="E1053" s="241">
        <v>0.28000000000000003</v>
      </c>
      <c r="F1053" s="122">
        <v>1.89E-2</v>
      </c>
      <c r="G1053" s="116">
        <v>322818181818.18182</v>
      </c>
      <c r="H1053" s="116">
        <v>203440608000</v>
      </c>
      <c r="I1053" s="114">
        <v>1.5867932414858976</v>
      </c>
      <c r="J1053" s="116">
        <v>17.786345961627539</v>
      </c>
    </row>
    <row r="1054" spans="1:10">
      <c r="A1054" s="55">
        <v>3229</v>
      </c>
      <c r="B1054" s="114">
        <v>-0.19</v>
      </c>
      <c r="C1054" s="122">
        <v>0.91304347826086951</v>
      </c>
      <c r="D1054" s="116">
        <v>94736842.105263159</v>
      </c>
      <c r="E1054" s="241">
        <v>0.15</v>
      </c>
      <c r="F1054" s="122">
        <v>3.6241666666666679E-2</v>
      </c>
      <c r="G1054" s="116">
        <v>1212631578.9473684</v>
      </c>
      <c r="H1054" s="116">
        <v>760827000</v>
      </c>
      <c r="I1054" s="114">
        <v>1.5938335245034263</v>
      </c>
      <c r="J1054" s="116">
        <v>0</v>
      </c>
    </row>
    <row r="1055" spans="1:10">
      <c r="A1055" s="55">
        <v>9929</v>
      </c>
      <c r="B1055" s="45">
        <v>-0.32</v>
      </c>
      <c r="C1055" s="123">
        <v>0.83333333333333337</v>
      </c>
      <c r="D1055" s="121">
        <v>131250000</v>
      </c>
      <c r="E1055" s="241">
        <v>-0.03</v>
      </c>
      <c r="F1055" s="123">
        <v>1.5150000000000002E-2</v>
      </c>
      <c r="G1055" s="46">
        <v>1817812500</v>
      </c>
      <c r="H1055" s="46">
        <v>1138907000</v>
      </c>
      <c r="I1055" s="56">
        <v>1.5961026668551515</v>
      </c>
      <c r="J1055" s="125">
        <v>0</v>
      </c>
    </row>
    <row r="1056" spans="1:10">
      <c r="A1056" s="55">
        <v>5309</v>
      </c>
      <c r="B1056" s="45">
        <v>0.15</v>
      </c>
      <c r="C1056" s="123">
        <v>0</v>
      </c>
      <c r="D1056" s="121">
        <v>186666666.66666669</v>
      </c>
      <c r="E1056" s="241">
        <v>0.13</v>
      </c>
      <c r="F1056" s="123">
        <v>4.8441666666666681E-2</v>
      </c>
      <c r="G1056" s="46">
        <v>2930666666.666667</v>
      </c>
      <c r="H1056" s="46">
        <v>1836089000</v>
      </c>
      <c r="I1056" s="56">
        <v>1.5961463015500159</v>
      </c>
      <c r="J1056" s="125">
        <v>0</v>
      </c>
    </row>
    <row r="1057" spans="1:10">
      <c r="A1057" s="55">
        <v>1315</v>
      </c>
      <c r="B1057" s="114">
        <v>0.96</v>
      </c>
      <c r="C1057" s="122">
        <v>0.11483253588516747</v>
      </c>
      <c r="D1057" s="116">
        <v>190625000</v>
      </c>
      <c r="E1057" s="241">
        <v>0.17</v>
      </c>
      <c r="F1057" s="122">
        <v>5.2249999999999979E-3</v>
      </c>
      <c r="G1057" s="116">
        <v>4365312500</v>
      </c>
      <c r="H1057" s="116">
        <v>2727253000</v>
      </c>
      <c r="I1057" s="114">
        <v>1.6006261611958994</v>
      </c>
      <c r="J1057" s="116">
        <v>50</v>
      </c>
    </row>
    <row r="1058" spans="1:10">
      <c r="A1058" s="55">
        <v>3455</v>
      </c>
      <c r="B1058" s="114">
        <v>1.32</v>
      </c>
      <c r="C1058" s="122">
        <v>0.56000000000000005</v>
      </c>
      <c r="D1058" s="116">
        <v>61363636.36363636</v>
      </c>
      <c r="E1058" s="241">
        <v>0.53</v>
      </c>
      <c r="F1058" s="122">
        <v>0.12969166666666668</v>
      </c>
      <c r="G1058" s="116">
        <v>2270454545.4545455</v>
      </c>
      <c r="H1058" s="116">
        <v>1417002000</v>
      </c>
      <c r="I1058" s="114">
        <v>1.6022945242522915</v>
      </c>
      <c r="J1058" s="116">
        <v>12.513528138528137</v>
      </c>
    </row>
    <row r="1059" spans="1:10">
      <c r="A1059" s="55">
        <v>1533</v>
      </c>
      <c r="B1059" s="114">
        <v>0.79</v>
      </c>
      <c r="C1059" s="122">
        <v>0.50495049504950495</v>
      </c>
      <c r="D1059" s="116">
        <v>94936708.860759497</v>
      </c>
      <c r="E1059" s="241">
        <v>0.35</v>
      </c>
      <c r="F1059" s="122">
        <v>1.2999999999999999E-2</v>
      </c>
      <c r="G1059" s="116">
        <v>3949367088.607595</v>
      </c>
      <c r="H1059" s="116">
        <v>2460845000</v>
      </c>
      <c r="I1059" s="114">
        <v>1.6048825052401086</v>
      </c>
      <c r="J1059" s="116">
        <v>26.070985356167782</v>
      </c>
    </row>
    <row r="1060" spans="1:10">
      <c r="A1060" s="55">
        <v>8424</v>
      </c>
      <c r="B1060" s="45">
        <v>0.96</v>
      </c>
      <c r="C1060" s="123">
        <v>0.87323943661971826</v>
      </c>
      <c r="D1060" s="121">
        <v>36458333.333333336</v>
      </c>
      <c r="E1060" s="241">
        <v>0.25</v>
      </c>
      <c r="F1060" s="123">
        <v>1.5416666666666662E-2</v>
      </c>
      <c r="G1060" s="46">
        <v>1367187500</v>
      </c>
      <c r="H1060" s="46">
        <v>849776000</v>
      </c>
      <c r="I1060" s="56">
        <v>1.6088798695185555</v>
      </c>
      <c r="J1060" s="125">
        <v>11.183215725806452</v>
      </c>
    </row>
    <row r="1061" spans="1:10">
      <c r="A1061" s="55">
        <v>6261</v>
      </c>
      <c r="B1061" s="45">
        <v>0.8</v>
      </c>
      <c r="C1061" s="123">
        <v>0.94979079497907948</v>
      </c>
      <c r="D1061" s="121">
        <v>127500000</v>
      </c>
      <c r="E1061" s="241">
        <v>0.24</v>
      </c>
      <c r="F1061" s="123">
        <v>5.2500000000000038E-3</v>
      </c>
      <c r="G1061" s="46">
        <v>5992500000</v>
      </c>
      <c r="H1061" s="46">
        <v>3714804000</v>
      </c>
      <c r="I1061" s="56">
        <v>1.613140289501142</v>
      </c>
      <c r="J1061" s="125">
        <v>15.463931718061673</v>
      </c>
    </row>
    <row r="1062" spans="1:10">
      <c r="A1062" s="55">
        <v>3218</v>
      </c>
      <c r="B1062" s="114">
        <v>0.37</v>
      </c>
      <c r="C1062" s="122">
        <v>0.66666666666666663</v>
      </c>
      <c r="D1062" s="116">
        <v>67567567.567567572</v>
      </c>
      <c r="E1062" s="241">
        <v>0.53</v>
      </c>
      <c r="F1062" s="122">
        <v>1.069166666666667E-2</v>
      </c>
      <c r="G1062" s="116">
        <v>1641891891.891892</v>
      </c>
      <c r="H1062" s="116">
        <v>1016317000</v>
      </c>
      <c r="I1062" s="114">
        <v>1.6155312681888545</v>
      </c>
      <c r="J1062" s="116">
        <v>24.628378378378383</v>
      </c>
    </row>
    <row r="1063" spans="1:10">
      <c r="A1063" s="55">
        <v>6488</v>
      </c>
      <c r="B1063" s="45">
        <v>1.69</v>
      </c>
      <c r="C1063" s="123">
        <v>0.89059674502712483</v>
      </c>
      <c r="D1063" s="121">
        <v>351479289.94082844</v>
      </c>
      <c r="E1063" s="241">
        <v>0.3</v>
      </c>
      <c r="F1063" s="123">
        <v>-1.4416666666666666E-2</v>
      </c>
      <c r="G1063" s="46">
        <v>24779289940.828403</v>
      </c>
      <c r="H1063" s="46">
        <v>15310461000</v>
      </c>
      <c r="I1063" s="56">
        <v>1.618454855201839</v>
      </c>
      <c r="J1063" s="125">
        <v>11.710119244285584</v>
      </c>
    </row>
    <row r="1064" spans="1:10">
      <c r="A1064" s="55">
        <v>6128</v>
      </c>
      <c r="B1064" s="45">
        <v>1</v>
      </c>
      <c r="C1064" s="123">
        <v>0.92121212121212126</v>
      </c>
      <c r="D1064" s="121">
        <v>91000000</v>
      </c>
      <c r="E1064" s="241">
        <v>0.43</v>
      </c>
      <c r="F1064" s="123">
        <v>-9.833333333333315E-4</v>
      </c>
      <c r="G1064" s="46">
        <v>3094000000</v>
      </c>
      <c r="H1064" s="46">
        <v>1908846000</v>
      </c>
      <c r="I1064" s="56">
        <v>1.6208746017227162</v>
      </c>
      <c r="J1064" s="125">
        <v>9.2269736842105257</v>
      </c>
    </row>
    <row r="1065" spans="1:10">
      <c r="A1065" s="55">
        <v>3450</v>
      </c>
      <c r="B1065" s="114">
        <v>3.57</v>
      </c>
      <c r="C1065" s="122">
        <v>0.86454849498327757</v>
      </c>
      <c r="D1065" s="116">
        <v>91876750.700280115</v>
      </c>
      <c r="E1065" s="241">
        <v>0.32</v>
      </c>
      <c r="F1065" s="122">
        <v>2.4774999999999995E-2</v>
      </c>
      <c r="G1065" s="116">
        <v>11576470588.235294</v>
      </c>
      <c r="H1065" s="116">
        <v>7124193000</v>
      </c>
      <c r="I1065" s="114">
        <v>1.6249518490354338</v>
      </c>
      <c r="J1065" s="116">
        <v>10.205939242234612</v>
      </c>
    </row>
    <row r="1066" spans="1:10">
      <c r="A1066" s="55">
        <v>3546</v>
      </c>
      <c r="B1066" s="114">
        <v>0.28000000000000003</v>
      </c>
      <c r="C1066" s="122">
        <v>1</v>
      </c>
      <c r="D1066" s="116">
        <v>32142857.142857138</v>
      </c>
      <c r="E1066" s="241">
        <v>0.96</v>
      </c>
      <c r="F1066" s="122">
        <v>1.010833333333333E-2</v>
      </c>
      <c r="G1066" s="116">
        <v>1043035714.2857143</v>
      </c>
      <c r="H1066" s="116">
        <v>641885000</v>
      </c>
      <c r="I1066" s="114">
        <v>1.6249572965339809</v>
      </c>
      <c r="J1066" s="116">
        <v>28.973214285714285</v>
      </c>
    </row>
    <row r="1067" spans="1:10">
      <c r="A1067" s="55">
        <v>5871</v>
      </c>
      <c r="B1067" s="45">
        <v>1.52</v>
      </c>
      <c r="C1067" s="123">
        <v>0.81942425123582441</v>
      </c>
      <c r="D1067" s="121">
        <v>1139473684.2105262</v>
      </c>
      <c r="E1067" s="241">
        <v>0.6</v>
      </c>
      <c r="F1067" s="123">
        <v>2.2066666666666668E-2</v>
      </c>
      <c r="G1067" s="46">
        <v>59936315789.473679</v>
      </c>
      <c r="H1067" s="46">
        <v>36843526000</v>
      </c>
      <c r="I1067" s="56">
        <v>1.6267801238533379</v>
      </c>
      <c r="J1067" s="125">
        <v>10.557798083747338</v>
      </c>
    </row>
    <row r="1068" spans="1:10">
      <c r="A1068" s="55">
        <v>2397</v>
      </c>
      <c r="B1068" s="114">
        <v>1.05</v>
      </c>
      <c r="C1068" s="122">
        <v>0.77142857142857146</v>
      </c>
      <c r="D1068" s="116">
        <v>114285714.28571428</v>
      </c>
      <c r="E1068" s="241">
        <v>0.32</v>
      </c>
      <c r="F1068" s="122">
        <v>1.1808333333333336E-2</v>
      </c>
      <c r="G1068" s="116">
        <v>5068571428.5714283</v>
      </c>
      <c r="H1068" s="116">
        <v>3108639000</v>
      </c>
      <c r="I1068" s="114">
        <v>1.6304792639387939</v>
      </c>
      <c r="J1068" s="116">
        <v>13.68827160493827</v>
      </c>
    </row>
    <row r="1069" spans="1:10">
      <c r="A1069" s="55">
        <v>2063</v>
      </c>
      <c r="B1069" s="114">
        <v>0.68</v>
      </c>
      <c r="C1069" s="122">
        <v>0.8</v>
      </c>
      <c r="D1069" s="116">
        <v>42647058.823529407</v>
      </c>
      <c r="E1069" s="241">
        <v>0.28000000000000003</v>
      </c>
      <c r="F1069" s="122">
        <v>3.78E-2</v>
      </c>
      <c r="G1069" s="116">
        <v>1066176470.5882351</v>
      </c>
      <c r="H1069" s="116">
        <v>650735000</v>
      </c>
      <c r="I1069" s="114">
        <v>1.638418819624325</v>
      </c>
      <c r="J1069" s="116">
        <v>11.488970588235293</v>
      </c>
    </row>
    <row r="1070" spans="1:10">
      <c r="A1070" s="55">
        <v>2637</v>
      </c>
      <c r="B1070" s="114">
        <v>1.43</v>
      </c>
      <c r="C1070" s="122">
        <v>0.94871794871794868</v>
      </c>
      <c r="D1070" s="116">
        <v>507692307.69230771</v>
      </c>
      <c r="E1070" s="241">
        <v>0.24</v>
      </c>
      <c r="F1070" s="122">
        <v>8.8999999999999999E-3</v>
      </c>
      <c r="G1070" s="116">
        <v>18226153846.153847</v>
      </c>
      <c r="H1070" s="116">
        <v>11101205000</v>
      </c>
      <c r="I1070" s="114">
        <v>1.6418176086428318</v>
      </c>
      <c r="J1070" s="116">
        <v>6.6154791154791166</v>
      </c>
    </row>
    <row r="1071" spans="1:10">
      <c r="A1071" s="55">
        <v>5878</v>
      </c>
      <c r="B1071" s="45">
        <v>1.05</v>
      </c>
      <c r="C1071" s="123">
        <v>0.70270270270270274</v>
      </c>
      <c r="D1071" s="121">
        <v>23809523.80952381</v>
      </c>
      <c r="E1071" s="241">
        <v>0.23</v>
      </c>
      <c r="F1071" s="123">
        <v>8.0341666666666658E-2</v>
      </c>
      <c r="G1071" s="46">
        <v>990476190.47619057</v>
      </c>
      <c r="H1071" s="46">
        <v>602663000</v>
      </c>
      <c r="I1071" s="56">
        <v>1.6434992532745341</v>
      </c>
      <c r="J1071" s="125">
        <v>14.095238095238093</v>
      </c>
    </row>
    <row r="1072" spans="1:10">
      <c r="A1072" s="55">
        <v>3310</v>
      </c>
      <c r="B1072" s="114">
        <v>0.24</v>
      </c>
      <c r="C1072" s="122">
        <v>0.5641025641025641</v>
      </c>
      <c r="D1072" s="116">
        <v>112500000</v>
      </c>
      <c r="E1072" s="241">
        <v>0.23</v>
      </c>
      <c r="F1072" s="122">
        <v>1.183916666666667</v>
      </c>
      <c r="G1072" s="116">
        <v>1434375000</v>
      </c>
      <c r="H1072" s="116">
        <v>871174000</v>
      </c>
      <c r="I1072" s="114">
        <v>1.6464850879388044</v>
      </c>
      <c r="J1072" s="116">
        <v>23.54403409090909</v>
      </c>
    </row>
    <row r="1073" spans="1:10">
      <c r="A1073" s="55">
        <v>2702</v>
      </c>
      <c r="B1073" s="114">
        <v>0.2</v>
      </c>
      <c r="C1073" s="122">
        <v>1</v>
      </c>
      <c r="D1073" s="116">
        <v>95000000</v>
      </c>
      <c r="E1073" s="241">
        <v>0.81</v>
      </c>
      <c r="F1073" s="122">
        <v>7.8141666666666679E-2</v>
      </c>
      <c r="G1073" s="116">
        <v>1444000000</v>
      </c>
      <c r="H1073" s="116">
        <v>874283000</v>
      </c>
      <c r="I1073" s="114">
        <v>1.6516391145658786</v>
      </c>
      <c r="J1073" s="116">
        <v>18.999999999999996</v>
      </c>
    </row>
    <row r="1074" spans="1:10">
      <c r="A1074" s="55">
        <v>9949</v>
      </c>
      <c r="B1074" s="45">
        <v>-0.46</v>
      </c>
      <c r="C1074" s="123">
        <v>1</v>
      </c>
      <c r="D1074" s="121">
        <v>47826086.956521735</v>
      </c>
      <c r="E1074" s="241">
        <v>0.63</v>
      </c>
      <c r="F1074" s="123">
        <v>-8.6750000000000074E-3</v>
      </c>
      <c r="G1074" s="46">
        <v>643260869.56521726</v>
      </c>
      <c r="H1074" s="46">
        <v>389351000</v>
      </c>
      <c r="I1074" s="56">
        <v>1.6521361690742216</v>
      </c>
      <c r="J1074" s="125">
        <v>0</v>
      </c>
    </row>
    <row r="1075" spans="1:10">
      <c r="A1075" s="55">
        <v>6271</v>
      </c>
      <c r="B1075" s="45">
        <v>2.44</v>
      </c>
      <c r="C1075" s="123">
        <v>0.88487972508591062</v>
      </c>
      <c r="D1075" s="121">
        <v>162704918.03278688</v>
      </c>
      <c r="E1075" s="241">
        <v>0.28000000000000003</v>
      </c>
      <c r="F1075" s="123">
        <v>1.5233333333333335E-2</v>
      </c>
      <c r="G1075" s="46">
        <v>12902499999.999998</v>
      </c>
      <c r="H1075" s="46">
        <v>7771905000</v>
      </c>
      <c r="I1075" s="56">
        <v>1.6601463862463577</v>
      </c>
      <c r="J1075" s="125">
        <v>9.1820388349514559</v>
      </c>
    </row>
    <row r="1076" spans="1:10">
      <c r="A1076" s="55">
        <v>8383</v>
      </c>
      <c r="B1076" s="45">
        <v>1.1299999999999999</v>
      </c>
      <c r="C1076" s="123">
        <v>0.94146341463414629</v>
      </c>
      <c r="D1076" s="121">
        <v>117699115.04424781</v>
      </c>
      <c r="E1076" s="241">
        <v>0.28999999999999998</v>
      </c>
      <c r="F1076" s="123">
        <v>3.6166666666666656E-3</v>
      </c>
      <c r="G1076" s="46">
        <v>5131681415.9292049</v>
      </c>
      <c r="H1076" s="46">
        <v>3084897000</v>
      </c>
      <c r="I1076" s="56">
        <v>1.663485495927159</v>
      </c>
      <c r="J1076" s="125">
        <v>10.245770094914946</v>
      </c>
    </row>
    <row r="1077" spans="1:10">
      <c r="A1077" s="55">
        <v>6277</v>
      </c>
      <c r="B1077" s="45">
        <v>1.62</v>
      </c>
      <c r="C1077" s="123">
        <v>0.88484848484848488</v>
      </c>
      <c r="D1077" s="121">
        <v>119753086.41975307</v>
      </c>
      <c r="E1077" s="241">
        <v>0.57999999999999996</v>
      </c>
      <c r="F1077" s="123">
        <v>3.1833333333333345E-3</v>
      </c>
      <c r="G1077" s="46">
        <v>8155185185.1851835</v>
      </c>
      <c r="H1077" s="46">
        <v>4892927000</v>
      </c>
      <c r="I1077" s="56">
        <v>1.6667293800183782</v>
      </c>
      <c r="J1077" s="125">
        <v>11.876902587519025</v>
      </c>
    </row>
    <row r="1078" spans="1:10">
      <c r="A1078" s="55">
        <v>3684</v>
      </c>
      <c r="B1078" s="114">
        <v>1.88</v>
      </c>
      <c r="C1078" s="122">
        <v>0.79365079365079361</v>
      </c>
      <c r="D1078" s="116">
        <v>20744680.851063833</v>
      </c>
      <c r="E1078" s="241">
        <v>0.39</v>
      </c>
      <c r="F1078" s="122">
        <v>6.6999999999999976E-3</v>
      </c>
      <c r="G1078" s="116">
        <v>1138882978.7234044</v>
      </c>
      <c r="H1078" s="116">
        <v>679526000</v>
      </c>
      <c r="I1078" s="114">
        <v>1.6759961778113044</v>
      </c>
      <c r="J1078" s="116">
        <v>9.1986702127659576</v>
      </c>
    </row>
    <row r="1079" spans="1:10">
      <c r="A1079" s="55">
        <v>3264</v>
      </c>
      <c r="B1079" s="114">
        <v>0.66</v>
      </c>
      <c r="C1079" s="122">
        <v>0.93798449612403101</v>
      </c>
      <c r="D1079" s="116">
        <v>463636363.63636363</v>
      </c>
      <c r="E1079" s="241">
        <v>0.3</v>
      </c>
      <c r="F1079" s="122">
        <v>-1.1133333333333334E-2</v>
      </c>
      <c r="G1079" s="116">
        <v>9945000000</v>
      </c>
      <c r="H1079" s="116">
        <v>5924502000</v>
      </c>
      <c r="I1079" s="114">
        <v>1.6786221019083123</v>
      </c>
      <c r="J1079" s="116">
        <v>8.6621900826446279</v>
      </c>
    </row>
    <row r="1080" spans="1:10">
      <c r="A1080" s="55">
        <v>6185</v>
      </c>
      <c r="B1080" s="45">
        <v>0.76</v>
      </c>
      <c r="C1080" s="123">
        <v>0.73648648648648651</v>
      </c>
      <c r="D1080" s="121">
        <v>114473684.21052632</v>
      </c>
      <c r="E1080" s="241">
        <v>0.41</v>
      </c>
      <c r="F1080" s="123">
        <v>1.9166666666666347E-4</v>
      </c>
      <c r="G1080" s="46">
        <v>2489802631.5789475</v>
      </c>
      <c r="H1080" s="46">
        <v>1471185000</v>
      </c>
      <c r="I1080" s="56">
        <v>1.6923790220665298</v>
      </c>
      <c r="J1080" s="125">
        <v>9.7145098985997098</v>
      </c>
    </row>
    <row r="1081" spans="1:10">
      <c r="A1081" s="55">
        <v>3086</v>
      </c>
      <c r="B1081" s="114">
        <v>-0.51</v>
      </c>
      <c r="C1081" s="122">
        <v>0.91803278688524592</v>
      </c>
      <c r="D1081" s="116">
        <v>58823529.411764704</v>
      </c>
      <c r="E1081" s="241">
        <v>0.32</v>
      </c>
      <c r="F1081" s="122">
        <v>4.4075000000000003E-2</v>
      </c>
      <c r="G1081" s="116">
        <v>720588235.29411757</v>
      </c>
      <c r="H1081" s="116">
        <v>424787000</v>
      </c>
      <c r="I1081" s="114">
        <v>1.6963519017628073</v>
      </c>
      <c r="J1081" s="116">
        <v>0</v>
      </c>
    </row>
    <row r="1082" spans="1:10">
      <c r="A1082" s="55">
        <v>4995</v>
      </c>
      <c r="B1082" s="45">
        <v>0.75</v>
      </c>
      <c r="C1082" s="123">
        <v>0.76923076923076927</v>
      </c>
      <c r="D1082" s="121">
        <v>34666666.666666664</v>
      </c>
      <c r="E1082" s="241">
        <v>0.32</v>
      </c>
      <c r="F1082" s="123">
        <v>1.628333333333333E-2</v>
      </c>
      <c r="G1082" s="46">
        <v>1369333333.3333333</v>
      </c>
      <c r="H1082" s="46">
        <v>803543000</v>
      </c>
      <c r="I1082" s="56">
        <v>1.7041195472219075</v>
      </c>
      <c r="J1082" s="125">
        <v>17.116666666666664</v>
      </c>
    </row>
    <row r="1083" spans="1:10">
      <c r="A1083" s="55">
        <v>8024</v>
      </c>
      <c r="B1083" s="45">
        <v>0.01</v>
      </c>
      <c r="C1083" s="123">
        <v>0</v>
      </c>
      <c r="D1083" s="121">
        <v>100000000</v>
      </c>
      <c r="E1083" s="241">
        <v>0.28000000000000003</v>
      </c>
      <c r="F1083" s="123">
        <v>3.0450000000000001E-2</v>
      </c>
      <c r="G1083" s="46">
        <v>1019999999.9999999</v>
      </c>
      <c r="H1083" s="46">
        <v>597943000</v>
      </c>
      <c r="I1083" s="56">
        <v>1.7058482163015536</v>
      </c>
      <c r="J1083" s="125">
        <v>0</v>
      </c>
    </row>
    <row r="1084" spans="1:10">
      <c r="A1084" s="55">
        <v>4977</v>
      </c>
      <c r="B1084" s="45">
        <v>1.26</v>
      </c>
      <c r="C1084" s="123">
        <v>0.79487179487179482</v>
      </c>
      <c r="D1084" s="121">
        <v>52380952.380952381</v>
      </c>
      <c r="E1084" s="241">
        <v>0.26</v>
      </c>
      <c r="F1084" s="123">
        <v>5.5333333333333319E-3</v>
      </c>
      <c r="G1084" s="46">
        <v>2959523809.5238094</v>
      </c>
      <c r="H1084" s="46">
        <v>1728086000</v>
      </c>
      <c r="I1084" s="56">
        <v>1.7126021560986024</v>
      </c>
      <c r="J1084" s="125">
        <v>14.103302611367129</v>
      </c>
    </row>
    <row r="1085" spans="1:10">
      <c r="A1085" s="55">
        <v>4737</v>
      </c>
      <c r="B1085" s="45">
        <v>0.59</v>
      </c>
      <c r="C1085" s="123">
        <v>1</v>
      </c>
      <c r="D1085" s="121">
        <v>50847457.627118647</v>
      </c>
      <c r="E1085" s="241">
        <v>0.45</v>
      </c>
      <c r="F1085" s="123">
        <v>5.2174999999999999E-2</v>
      </c>
      <c r="G1085" s="46">
        <v>2766101694.9152541</v>
      </c>
      <c r="H1085" s="46">
        <v>1609718000</v>
      </c>
      <c r="I1085" s="56">
        <v>1.71837656963223</v>
      </c>
      <c r="J1085" s="125">
        <v>23.050847457627118</v>
      </c>
    </row>
    <row r="1086" spans="1:10">
      <c r="A1086" s="55">
        <v>3665</v>
      </c>
      <c r="B1086" s="114">
        <v>2.27</v>
      </c>
      <c r="C1086" s="122">
        <v>0.72148541114058351</v>
      </c>
      <c r="D1086" s="116">
        <v>91629955.947136566</v>
      </c>
      <c r="E1086" s="241">
        <v>0.26</v>
      </c>
      <c r="F1086" s="122">
        <v>2.5100000000000008E-2</v>
      </c>
      <c r="G1086" s="116">
        <v>14523348017.621145</v>
      </c>
      <c r="H1086" s="116">
        <v>8420479000</v>
      </c>
      <c r="I1086" s="114">
        <v>1.724765065932846</v>
      </c>
      <c r="J1086" s="116">
        <v>24.194456141487432</v>
      </c>
    </row>
    <row r="1087" spans="1:10">
      <c r="A1087" s="55">
        <v>4965</v>
      </c>
      <c r="B1087" s="45">
        <v>0.47</v>
      </c>
      <c r="C1087" s="123">
        <v>0.90909090909090906</v>
      </c>
      <c r="D1087" s="121">
        <v>21276595.744680852</v>
      </c>
      <c r="E1087" s="241">
        <v>0.17</v>
      </c>
      <c r="F1087" s="123">
        <v>4.3641666666666669E-2</v>
      </c>
      <c r="G1087" s="46">
        <v>2404255319.1489363</v>
      </c>
      <c r="H1087" s="46">
        <v>1391324000</v>
      </c>
      <c r="I1087" s="56">
        <v>1.728034102156605</v>
      </c>
      <c r="J1087" s="125">
        <v>50</v>
      </c>
    </row>
    <row r="1088" spans="1:10">
      <c r="A1088" s="55">
        <v>2233</v>
      </c>
      <c r="B1088" s="114">
        <v>1.23</v>
      </c>
      <c r="C1088" s="122">
        <v>0.85123966942148765</v>
      </c>
      <c r="D1088" s="116">
        <v>48780487.804878049</v>
      </c>
      <c r="E1088" s="241">
        <v>0.28000000000000003</v>
      </c>
      <c r="F1088" s="122">
        <v>2.6783333333333329E-2</v>
      </c>
      <c r="G1088" s="116">
        <v>3419512195.1219511</v>
      </c>
      <c r="H1088" s="116">
        <v>1971805000</v>
      </c>
      <c r="I1088" s="114">
        <v>1.7342040390007891</v>
      </c>
      <c r="J1088" s="116">
        <v>16.737903544083981</v>
      </c>
    </row>
    <row r="1089" spans="1:10">
      <c r="A1089" s="55">
        <v>3085</v>
      </c>
      <c r="B1089" s="114">
        <v>0.01</v>
      </c>
      <c r="C1089" s="122">
        <v>1</v>
      </c>
      <c r="D1089" s="116">
        <v>100000000</v>
      </c>
      <c r="E1089" s="241">
        <v>0.21</v>
      </c>
      <c r="F1089" s="122">
        <v>-1.8816666666666666E-2</v>
      </c>
      <c r="G1089" s="116">
        <v>555000000</v>
      </c>
      <c r="H1089" s="116">
        <v>319673000</v>
      </c>
      <c r="I1089" s="114">
        <v>1.7361491273895513</v>
      </c>
      <c r="J1089" s="116">
        <v>50</v>
      </c>
    </row>
    <row r="1090" spans="1:10">
      <c r="A1090" s="55">
        <v>4420</v>
      </c>
      <c r="B1090" s="45">
        <v>0.15</v>
      </c>
      <c r="C1090" s="123">
        <v>0.16250000000000001</v>
      </c>
      <c r="D1090" s="121">
        <v>33333333.333333336</v>
      </c>
      <c r="E1090" s="241">
        <v>0.09</v>
      </c>
      <c r="F1090" s="123">
        <v>9.9941666666666651E-2</v>
      </c>
      <c r="G1090" s="46">
        <v>1071666666.6666667</v>
      </c>
      <c r="H1090" s="46">
        <v>617193000</v>
      </c>
      <c r="I1090" s="56">
        <v>1.7363558346686803</v>
      </c>
      <c r="J1090" s="125">
        <v>50</v>
      </c>
    </row>
    <row r="1091" spans="1:10">
      <c r="A1091" s="55">
        <v>1423</v>
      </c>
      <c r="B1091" s="114">
        <v>-0.1</v>
      </c>
      <c r="C1091" s="122">
        <v>0</v>
      </c>
      <c r="D1091" s="116">
        <v>170000000</v>
      </c>
      <c r="E1091" s="241">
        <v>-0.06</v>
      </c>
      <c r="F1091" s="122">
        <v>1.275833333333333E-2</v>
      </c>
      <c r="G1091" s="116">
        <v>1113500000</v>
      </c>
      <c r="H1091" s="116">
        <v>641157000</v>
      </c>
      <c r="I1091" s="114">
        <v>1.7367041145928377</v>
      </c>
      <c r="J1091" s="116">
        <v>0</v>
      </c>
    </row>
    <row r="1092" spans="1:10">
      <c r="A1092" s="55">
        <v>5533</v>
      </c>
      <c r="B1092" s="45">
        <v>0.34</v>
      </c>
      <c r="C1092" s="123">
        <v>1</v>
      </c>
      <c r="D1092" s="121">
        <v>267647058.82352939</v>
      </c>
      <c r="E1092" s="241">
        <v>0.38</v>
      </c>
      <c r="F1092" s="123">
        <v>0.89473333333333338</v>
      </c>
      <c r="G1092" s="46">
        <v>4550000000</v>
      </c>
      <c r="H1092" s="46">
        <v>2617554000</v>
      </c>
      <c r="I1092" s="56">
        <v>1.7382640434543088</v>
      </c>
      <c r="J1092" s="125">
        <v>12.499999999999998</v>
      </c>
    </row>
    <row r="1093" spans="1:10">
      <c r="A1093" s="55">
        <v>3577</v>
      </c>
      <c r="B1093" s="114">
        <v>0.54</v>
      </c>
      <c r="C1093" s="122">
        <v>0.95121951219512191</v>
      </c>
      <c r="D1093" s="116">
        <v>42592592.59259259</v>
      </c>
      <c r="E1093" s="241">
        <v>0.54</v>
      </c>
      <c r="F1093" s="122">
        <v>8.2749999999999959E-3</v>
      </c>
      <c r="G1093" s="116">
        <v>1269259259.2592592</v>
      </c>
      <c r="H1093" s="116">
        <v>729886000</v>
      </c>
      <c r="I1093" s="114">
        <v>1.7389828812434533</v>
      </c>
      <c r="J1093" s="116">
        <v>14.503798670465336</v>
      </c>
    </row>
    <row r="1094" spans="1:10">
      <c r="A1094" s="55">
        <v>2456</v>
      </c>
      <c r="B1094" s="114">
        <v>1.2</v>
      </c>
      <c r="C1094" s="122">
        <v>0.87804878048780488</v>
      </c>
      <c r="D1094" s="116">
        <v>127500000</v>
      </c>
      <c r="E1094" s="241">
        <v>0.25</v>
      </c>
      <c r="F1094" s="122">
        <v>1.1666666666666671E-2</v>
      </c>
      <c r="G1094" s="116">
        <v>8287500000</v>
      </c>
      <c r="H1094" s="116">
        <v>4759683000</v>
      </c>
      <c r="I1094" s="114">
        <v>1.741187385798592</v>
      </c>
      <c r="J1094" s="116">
        <v>15.422453703703702</v>
      </c>
    </row>
    <row r="1095" spans="1:10">
      <c r="A1095" s="55">
        <v>5457</v>
      </c>
      <c r="B1095" s="45">
        <v>0.62</v>
      </c>
      <c r="C1095" s="123">
        <v>0.59183673469387754</v>
      </c>
      <c r="D1095" s="121">
        <v>167741935.48387098</v>
      </c>
      <c r="E1095" s="241">
        <v>0.2</v>
      </c>
      <c r="F1095" s="123">
        <v>1.1333333333333339E-2</v>
      </c>
      <c r="G1095" s="46">
        <v>4050967741.9354839</v>
      </c>
      <c r="H1095" s="46">
        <v>2318483000</v>
      </c>
      <c r="I1095" s="56">
        <v>1.7472492754682627</v>
      </c>
      <c r="J1095" s="125">
        <v>16.453698553948829</v>
      </c>
    </row>
    <row r="1096" spans="1:10">
      <c r="A1096" s="55">
        <v>4551</v>
      </c>
      <c r="B1096" s="45">
        <v>1.08</v>
      </c>
      <c r="C1096" s="123">
        <v>1</v>
      </c>
      <c r="D1096" s="121">
        <v>79629629.629629627</v>
      </c>
      <c r="E1096" s="241">
        <v>0.24</v>
      </c>
      <c r="F1096" s="123">
        <v>2.3108333333333331E-2</v>
      </c>
      <c r="G1096" s="46">
        <v>5359074074.0740738</v>
      </c>
      <c r="H1096" s="46">
        <v>3066201000</v>
      </c>
      <c r="I1096" s="56">
        <v>1.7477895526333969</v>
      </c>
      <c r="J1096" s="125">
        <v>15.578703703703702</v>
      </c>
    </row>
    <row r="1097" spans="1:10">
      <c r="A1097" s="55">
        <v>1308</v>
      </c>
      <c r="B1097" s="114">
        <v>0.21</v>
      </c>
      <c r="C1097" s="122">
        <v>0.55633802816901412</v>
      </c>
      <c r="D1097" s="116">
        <v>495238095.23809528</v>
      </c>
      <c r="E1097" s="241">
        <v>0.1</v>
      </c>
      <c r="F1097" s="122">
        <v>1.9899999999999998E-2</v>
      </c>
      <c r="G1097" s="116">
        <v>8939047619.0476208</v>
      </c>
      <c r="H1097" s="116">
        <v>5106425000</v>
      </c>
      <c r="I1097" s="114">
        <v>1.7505490865033013</v>
      </c>
      <c r="J1097" s="116">
        <v>38.624171187462331</v>
      </c>
    </row>
    <row r="1098" spans="1:10">
      <c r="A1098" s="55">
        <v>6504</v>
      </c>
      <c r="B1098" s="45">
        <v>1.82</v>
      </c>
      <c r="C1098" s="123">
        <v>1</v>
      </c>
      <c r="D1098" s="121">
        <v>72527472.527472526</v>
      </c>
      <c r="E1098" s="241">
        <v>0.2</v>
      </c>
      <c r="F1098" s="123">
        <v>1.0433333333333329E-2</v>
      </c>
      <c r="G1098" s="46">
        <v>10371428571.428572</v>
      </c>
      <c r="H1098" s="46">
        <v>5922201000</v>
      </c>
      <c r="I1098" s="56">
        <v>1.7512793928184085</v>
      </c>
      <c r="J1098" s="125">
        <v>19.642857142857142</v>
      </c>
    </row>
    <row r="1099" spans="1:10">
      <c r="A1099" s="55">
        <v>3624</v>
      </c>
      <c r="B1099" s="114">
        <v>0.7</v>
      </c>
      <c r="C1099" s="122">
        <v>0.45299145299145299</v>
      </c>
      <c r="D1099" s="116">
        <v>117142857.14285715</v>
      </c>
      <c r="E1099" s="241">
        <v>0.28999999999999998</v>
      </c>
      <c r="F1099" s="122">
        <v>2.2858333333333331E-2</v>
      </c>
      <c r="G1099" s="116">
        <v>2729428571.4285717</v>
      </c>
      <c r="H1099" s="116">
        <v>1549394000</v>
      </c>
      <c r="I1099" s="114">
        <v>1.7616103918232364</v>
      </c>
      <c r="J1099" s="116">
        <v>18.369946091644206</v>
      </c>
    </row>
    <row r="1100" spans="1:10">
      <c r="A1100" s="55">
        <v>1560</v>
      </c>
      <c r="B1100" s="114">
        <v>1.1000000000000001</v>
      </c>
      <c r="C1100" s="122">
        <v>0.93354430379746833</v>
      </c>
      <c r="D1100" s="116">
        <v>141818181.81818181</v>
      </c>
      <c r="E1100" s="241">
        <v>0.28999999999999998</v>
      </c>
      <c r="F1100" s="122">
        <v>-4.2500000000000012E-3</v>
      </c>
      <c r="G1100" s="116">
        <v>7090909090.909091</v>
      </c>
      <c r="H1100" s="116">
        <v>4022740000</v>
      </c>
      <c r="I1100" s="114">
        <v>1.7627062874829322</v>
      </c>
      <c r="J1100" s="116">
        <v>12.172573189522341</v>
      </c>
    </row>
    <row r="1101" spans="1:10">
      <c r="A1101" s="55">
        <v>9930</v>
      </c>
      <c r="B1101" s="45">
        <v>0.95</v>
      </c>
      <c r="C1101" s="123">
        <v>0.96912114014251782</v>
      </c>
      <c r="D1101" s="121">
        <v>225263157.89473686</v>
      </c>
      <c r="E1101" s="241">
        <v>0.19</v>
      </c>
      <c r="F1101" s="123">
        <v>2.6033333333333328E-2</v>
      </c>
      <c r="G1101" s="46">
        <v>13605894736.842106</v>
      </c>
      <c r="H1101" s="46">
        <v>7716389000</v>
      </c>
      <c r="I1101" s="56">
        <v>1.7632463496646043</v>
      </c>
      <c r="J1101" s="125">
        <v>16.401186790505676</v>
      </c>
    </row>
    <row r="1102" spans="1:10">
      <c r="A1102" s="55">
        <v>8931</v>
      </c>
      <c r="B1102" s="45">
        <v>0.3</v>
      </c>
      <c r="C1102" s="123">
        <v>1</v>
      </c>
      <c r="D1102" s="121">
        <v>113333333.33333334</v>
      </c>
      <c r="E1102" s="241">
        <v>0.19</v>
      </c>
      <c r="F1102" s="123">
        <v>7.7666666666666639E-3</v>
      </c>
      <c r="G1102" s="46">
        <v>2374333333.3333335</v>
      </c>
      <c r="H1102" s="46">
        <v>1346431000</v>
      </c>
      <c r="I1102" s="56">
        <v>1.763427411678232</v>
      </c>
      <c r="J1102" s="125">
        <v>17.458333333333332</v>
      </c>
    </row>
    <row r="1103" spans="1:10">
      <c r="A1103" s="55">
        <v>6451</v>
      </c>
      <c r="B1103" s="45">
        <v>3.36</v>
      </c>
      <c r="C1103" s="123">
        <v>0.64814814814814814</v>
      </c>
      <c r="D1103" s="121">
        <v>105357142.85714287</v>
      </c>
      <c r="E1103" s="241">
        <v>0.27</v>
      </c>
      <c r="F1103" s="123">
        <v>-1.5333333333333332E-2</v>
      </c>
      <c r="G1103" s="46">
        <v>10535714285.714287</v>
      </c>
      <c r="H1103" s="46">
        <v>5913035000</v>
      </c>
      <c r="I1103" s="56">
        <v>1.7817777648389173</v>
      </c>
      <c r="J1103" s="125">
        <v>11.479591836734695</v>
      </c>
    </row>
    <row r="1104" spans="1:10">
      <c r="A1104" s="55">
        <v>1442</v>
      </c>
      <c r="B1104" s="114">
        <v>0.43</v>
      </c>
      <c r="C1104" s="122">
        <v>1</v>
      </c>
      <c r="D1104" s="116">
        <v>225581395.34883723</v>
      </c>
      <c r="E1104" s="241">
        <v>0.37</v>
      </c>
      <c r="F1104" s="122">
        <v>1.4678083333333332</v>
      </c>
      <c r="G1104" s="116">
        <v>3767209302.3255816</v>
      </c>
      <c r="H1104" s="116">
        <v>2105297000</v>
      </c>
      <c r="I1104" s="114">
        <v>1.7893956540695122</v>
      </c>
      <c r="J1104" s="116">
        <v>9.7093023255813957</v>
      </c>
    </row>
    <row r="1105" spans="1:10">
      <c r="A1105" s="55">
        <v>5471</v>
      </c>
      <c r="B1105" s="45">
        <v>0.67</v>
      </c>
      <c r="C1105" s="123">
        <v>0.78367346938775506</v>
      </c>
      <c r="D1105" s="121">
        <v>167164179.10447761</v>
      </c>
      <c r="E1105" s="241">
        <v>0.45</v>
      </c>
      <c r="F1105" s="123">
        <v>3.0641666666666668E-2</v>
      </c>
      <c r="G1105" s="46">
        <v>5917611940.2985077</v>
      </c>
      <c r="H1105" s="46">
        <v>3306229000</v>
      </c>
      <c r="I1105" s="56">
        <v>1.7898372860133123</v>
      </c>
      <c r="J1105" s="125">
        <v>16.855177238805968</v>
      </c>
    </row>
    <row r="1106" spans="1:10">
      <c r="A1106" s="55">
        <v>6457</v>
      </c>
      <c r="B1106" s="45">
        <v>0.88</v>
      </c>
      <c r="C1106" s="123">
        <v>0.8571428571428571</v>
      </c>
      <c r="D1106" s="121">
        <v>27272727.272727273</v>
      </c>
      <c r="E1106" s="241">
        <v>0.43</v>
      </c>
      <c r="F1106" s="123">
        <v>5.9741666666666665E-2</v>
      </c>
      <c r="G1106" s="46">
        <v>992727272.72727275</v>
      </c>
      <c r="H1106" s="46">
        <v>550264000</v>
      </c>
      <c r="I1106" s="56">
        <v>1.8040927131836224</v>
      </c>
      <c r="J1106" s="125">
        <v>12.064393939393939</v>
      </c>
    </row>
    <row r="1107" spans="1:10">
      <c r="A1107" s="55">
        <v>3025</v>
      </c>
      <c r="B1107" s="114">
        <v>-0.06</v>
      </c>
      <c r="C1107" s="122">
        <v>1</v>
      </c>
      <c r="D1107" s="116">
        <v>83333333.333333343</v>
      </c>
      <c r="E1107" s="241">
        <v>0.55000000000000004</v>
      </c>
      <c r="F1107" s="122">
        <v>0.12076666666666665</v>
      </c>
      <c r="G1107" s="116">
        <v>833333333.33333349</v>
      </c>
      <c r="H1107" s="116">
        <v>461254000</v>
      </c>
      <c r="I1107" s="114">
        <v>1.8066690659231865</v>
      </c>
      <c r="J1107" s="116">
        <v>0</v>
      </c>
    </row>
    <row r="1108" spans="1:10">
      <c r="A1108" s="55">
        <v>3234</v>
      </c>
      <c r="B1108" s="114">
        <v>3</v>
      </c>
      <c r="C1108" s="122">
        <v>0.94836956521739135</v>
      </c>
      <c r="D1108" s="116">
        <v>97666666.666666672</v>
      </c>
      <c r="E1108" s="241">
        <v>0.37</v>
      </c>
      <c r="F1108" s="122">
        <v>5.7775E-2</v>
      </c>
      <c r="G1108" s="116">
        <v>8213766666.666667</v>
      </c>
      <c r="H1108" s="116">
        <v>4531540000</v>
      </c>
      <c r="I1108" s="114">
        <v>1.8125773283843167</v>
      </c>
      <c r="J1108" s="116">
        <v>7.3898758357211074</v>
      </c>
    </row>
    <row r="1109" spans="1:10">
      <c r="A1109" s="55">
        <v>9910</v>
      </c>
      <c r="B1109" s="45">
        <v>2.1</v>
      </c>
      <c r="C1109" s="123">
        <v>0.8</v>
      </c>
      <c r="D1109" s="121">
        <v>597142857.14285707</v>
      </c>
      <c r="E1109" s="241">
        <v>0.21</v>
      </c>
      <c r="F1109" s="123">
        <v>1.5700000000000002E-2</v>
      </c>
      <c r="G1109" s="46">
        <v>101812857142.85713</v>
      </c>
      <c r="H1109" s="46">
        <v>55753605000</v>
      </c>
      <c r="I1109" s="56">
        <v>1.8261215062749239</v>
      </c>
      <c r="J1109" s="125">
        <v>25.372023809523807</v>
      </c>
    </row>
    <row r="1110" spans="1:10">
      <c r="A1110" s="55">
        <v>4528</v>
      </c>
      <c r="B1110" s="45">
        <v>0.82</v>
      </c>
      <c r="C1110" s="123">
        <v>0.96062992125984248</v>
      </c>
      <c r="D1110" s="121">
        <v>76829268.292682931</v>
      </c>
      <c r="E1110" s="241">
        <v>0.25</v>
      </c>
      <c r="F1110" s="123">
        <v>6.9833333333333353E-3</v>
      </c>
      <c r="G1110" s="46">
        <v>4079634146.3414636</v>
      </c>
      <c r="H1110" s="46">
        <v>2229969000</v>
      </c>
      <c r="I1110" s="56">
        <v>1.8294577845438496</v>
      </c>
      <c r="J1110" s="125">
        <v>16.852508996401443</v>
      </c>
    </row>
    <row r="1111" spans="1:10">
      <c r="A1111" s="55">
        <v>3130</v>
      </c>
      <c r="B1111" s="114">
        <v>2.4900000000000002</v>
      </c>
      <c r="C1111" s="122">
        <v>0.93617021276595747</v>
      </c>
      <c r="D1111" s="116">
        <v>32931726.907630518</v>
      </c>
      <c r="E1111" s="241">
        <v>0.53</v>
      </c>
      <c r="F1111" s="122">
        <v>-3.0499999999999993E-3</v>
      </c>
      <c r="G1111" s="116">
        <v>4676305220.8835335</v>
      </c>
      <c r="H1111" s="116">
        <v>2553359000</v>
      </c>
      <c r="I1111" s="114">
        <v>1.8314327209309516</v>
      </c>
      <c r="J1111" s="116">
        <v>15.229098211025919</v>
      </c>
    </row>
    <row r="1112" spans="1:10">
      <c r="A1112" s="55">
        <v>1477</v>
      </c>
      <c r="B1112" s="114">
        <v>3.17</v>
      </c>
      <c r="C1112" s="122">
        <v>0.95758718190386427</v>
      </c>
      <c r="D1112" s="116">
        <v>198107255.52050474</v>
      </c>
      <c r="E1112" s="241">
        <v>0.23</v>
      </c>
      <c r="F1112" s="122">
        <v>4.5308333333333319E-2</v>
      </c>
      <c r="G1112" s="116">
        <v>43484542586.750793</v>
      </c>
      <c r="H1112" s="116">
        <v>23722864000</v>
      </c>
      <c r="I1112" s="114">
        <v>1.8330224624965517</v>
      </c>
      <c r="J1112" s="116">
        <v>18.077440758588143</v>
      </c>
    </row>
    <row r="1113" spans="1:10">
      <c r="A1113" s="55">
        <v>8222</v>
      </c>
      <c r="B1113" s="45">
        <v>0.44</v>
      </c>
      <c r="C1113" s="123">
        <v>0.70588235294117652</v>
      </c>
      <c r="D1113" s="121">
        <v>68181818.181818187</v>
      </c>
      <c r="E1113" s="241">
        <v>0.19</v>
      </c>
      <c r="F1113" s="123">
        <v>2.3066666666666669E-2</v>
      </c>
      <c r="G1113" s="46">
        <v>1619318181.818182</v>
      </c>
      <c r="H1113" s="46">
        <v>883008000</v>
      </c>
      <c r="I1113" s="56">
        <v>1.8338658107493726</v>
      </c>
      <c r="J1113" s="125">
        <v>19.116950757575758</v>
      </c>
    </row>
    <row r="1114" spans="1:10">
      <c r="A1114" s="55">
        <v>3490</v>
      </c>
      <c r="B1114" s="114">
        <v>1.31</v>
      </c>
      <c r="C1114" s="122">
        <v>0.93004115226337447</v>
      </c>
      <c r="D1114" s="116">
        <v>61832061.068702288</v>
      </c>
      <c r="E1114" s="241">
        <v>0.26</v>
      </c>
      <c r="F1114" s="122">
        <v>1.9399999999999994E-2</v>
      </c>
      <c r="G1114" s="116">
        <v>4334427480.9160299</v>
      </c>
      <c r="H1114" s="116">
        <v>2349928000</v>
      </c>
      <c r="I1114" s="114">
        <v>1.8444937380702855</v>
      </c>
      <c r="J1114" s="116">
        <v>14.384161994190364</v>
      </c>
    </row>
    <row r="1115" spans="1:10">
      <c r="A1115" s="55">
        <v>1316</v>
      </c>
      <c r="B1115" s="114">
        <v>-0.19</v>
      </c>
      <c r="C1115" s="122">
        <v>1</v>
      </c>
      <c r="D1115" s="116">
        <v>157894736.84210527</v>
      </c>
      <c r="E1115" s="241">
        <v>0.17</v>
      </c>
      <c r="F1115" s="122">
        <v>2.3758333333333336E-2</v>
      </c>
      <c r="G1115" s="116">
        <v>1571052631.5789473</v>
      </c>
      <c r="H1115" s="116">
        <v>847490000</v>
      </c>
      <c r="I1115" s="114">
        <v>1.8537712911998341</v>
      </c>
      <c r="J1115" s="116">
        <v>0</v>
      </c>
    </row>
    <row r="1116" spans="1:10">
      <c r="A1116" s="55">
        <v>2420</v>
      </c>
      <c r="B1116" s="114">
        <v>1.36</v>
      </c>
      <c r="C1116" s="122">
        <v>0.74233128834355833</v>
      </c>
      <c r="D1116" s="116">
        <v>152941176.47058824</v>
      </c>
      <c r="E1116" s="241">
        <v>0.4</v>
      </c>
      <c r="F1116" s="122">
        <v>8.6333333333333314E-3</v>
      </c>
      <c r="G1116" s="116">
        <v>6132941176.4705887</v>
      </c>
      <c r="H1116" s="116">
        <v>3307822000</v>
      </c>
      <c r="I1116" s="114">
        <v>1.8540723099582108</v>
      </c>
      <c r="J1116" s="116">
        <v>9.9299647544968401</v>
      </c>
    </row>
    <row r="1117" spans="1:10">
      <c r="A1117" s="55">
        <v>5474</v>
      </c>
      <c r="B1117" s="45">
        <v>2.2400000000000002</v>
      </c>
      <c r="C1117" s="123">
        <v>0.91588785046728971</v>
      </c>
      <c r="D1117" s="121">
        <v>33928571.428571425</v>
      </c>
      <c r="E1117" s="241">
        <v>0.42</v>
      </c>
      <c r="F1117" s="123">
        <v>2.5000000000000019E-2</v>
      </c>
      <c r="G1117" s="46">
        <v>1903392857.1428571</v>
      </c>
      <c r="H1117" s="46">
        <v>1026405000</v>
      </c>
      <c r="I1117" s="56">
        <v>1.854426719611515</v>
      </c>
      <c r="J1117" s="125">
        <v>6.8361652696792996</v>
      </c>
    </row>
    <row r="1118" spans="1:10">
      <c r="A1118" s="55">
        <v>6216</v>
      </c>
      <c r="B1118" s="45">
        <v>0.95</v>
      </c>
      <c r="C1118" s="123">
        <v>0.76774193548387093</v>
      </c>
      <c r="D1118" s="121">
        <v>77894736.842105269</v>
      </c>
      <c r="E1118" s="241">
        <v>0.5</v>
      </c>
      <c r="F1118" s="123">
        <v>1.3075000000000002E-2</v>
      </c>
      <c r="G1118" s="46">
        <v>2029157894.7368424</v>
      </c>
      <c r="H1118" s="46">
        <v>1089560000</v>
      </c>
      <c r="I1118" s="56">
        <v>1.8623645276412886</v>
      </c>
      <c r="J1118" s="125">
        <v>8.9291242812914646</v>
      </c>
    </row>
    <row r="1119" spans="1:10">
      <c r="A1119" s="55">
        <v>3583</v>
      </c>
      <c r="B1119" s="114">
        <v>0.05</v>
      </c>
      <c r="C1119" s="122">
        <v>1</v>
      </c>
      <c r="D1119" s="116">
        <v>80000000</v>
      </c>
      <c r="E1119" s="241">
        <v>0.25</v>
      </c>
      <c r="F1119" s="122">
        <v>0.10620000000000002</v>
      </c>
      <c r="G1119" s="116">
        <v>5480000000</v>
      </c>
      <c r="H1119" s="116">
        <v>2942417000</v>
      </c>
      <c r="I1119" s="114">
        <v>1.8624144708244956</v>
      </c>
      <c r="J1119" s="116">
        <v>50</v>
      </c>
    </row>
    <row r="1120" spans="1:10">
      <c r="A1120" s="55">
        <v>2607</v>
      </c>
      <c r="B1120" s="114">
        <v>0.21</v>
      </c>
      <c r="C1120" s="122">
        <v>0.7505518763796909</v>
      </c>
      <c r="D1120" s="116">
        <v>1057142857.1428572</v>
      </c>
      <c r="E1120" s="241">
        <v>0.15</v>
      </c>
      <c r="F1120" s="122">
        <v>3.308333333333335E-3</v>
      </c>
      <c r="G1120" s="116">
        <v>13690000000</v>
      </c>
      <c r="H1120" s="116">
        <v>7348665000</v>
      </c>
      <c r="I1120" s="114">
        <v>1.8629234017335121</v>
      </c>
      <c r="J1120" s="116">
        <v>20.540441176470591</v>
      </c>
    </row>
    <row r="1121" spans="1:10">
      <c r="A1121" s="55">
        <v>2008</v>
      </c>
      <c r="B1121" s="114">
        <v>-0.28000000000000003</v>
      </c>
      <c r="C1121" s="122">
        <v>0.95867768595041325</v>
      </c>
      <c r="D1121" s="116">
        <v>275000000</v>
      </c>
      <c r="E1121" s="241">
        <v>-0.06</v>
      </c>
      <c r="F1121" s="122">
        <v>2.5208333333333336E-2</v>
      </c>
      <c r="G1121" s="116">
        <v>2323750000</v>
      </c>
      <c r="H1121" s="116">
        <v>1246538000</v>
      </c>
      <c r="I1121" s="114">
        <v>1.8641629858054869</v>
      </c>
      <c r="J1121" s="116">
        <v>0</v>
      </c>
    </row>
    <row r="1122" spans="1:10">
      <c r="A1122" s="55">
        <v>6147</v>
      </c>
      <c r="B1122" s="45">
        <v>1.07</v>
      </c>
      <c r="C1122" s="123">
        <v>0.84995507637017076</v>
      </c>
      <c r="D1122" s="121">
        <v>649532710.28037381</v>
      </c>
      <c r="E1122" s="241">
        <v>0.24</v>
      </c>
      <c r="F1122" s="123">
        <v>-1.7708333333333333E-2</v>
      </c>
      <c r="G1122" s="46">
        <v>31502336448.598129</v>
      </c>
      <c r="H1122" s="46">
        <v>16863309000</v>
      </c>
      <c r="I1122" s="56">
        <v>1.8680993421040988</v>
      </c>
      <c r="J1122" s="125">
        <v>13.33220544940823</v>
      </c>
    </row>
    <row r="1123" spans="1:10">
      <c r="A1123" s="55">
        <v>5312</v>
      </c>
      <c r="B1123" s="45">
        <v>1.89</v>
      </c>
      <c r="C1123" s="123">
        <v>0.115</v>
      </c>
      <c r="D1123" s="121">
        <v>59788359.788359791</v>
      </c>
      <c r="E1123" s="241">
        <v>0.62</v>
      </c>
      <c r="F1123" s="123">
        <v>5.7416666666666658E-3</v>
      </c>
      <c r="G1123" s="46">
        <v>4759153439.1534386</v>
      </c>
      <c r="H1123" s="46">
        <v>2541482000</v>
      </c>
      <c r="I1123" s="56">
        <v>1.8725898665241141</v>
      </c>
      <c r="J1123" s="125">
        <v>50</v>
      </c>
    </row>
    <row r="1124" spans="1:10">
      <c r="A1124" s="55">
        <v>3022</v>
      </c>
      <c r="B1124" s="114">
        <v>0.88</v>
      </c>
      <c r="C1124" s="122">
        <v>0.75732899022801303</v>
      </c>
      <c r="D1124" s="116">
        <v>328409090.90909094</v>
      </c>
      <c r="E1124" s="241">
        <v>0.37</v>
      </c>
      <c r="F1124" s="122">
        <v>2.8358333333333333E-2</v>
      </c>
      <c r="G1124" s="116">
        <v>12807954545.454546</v>
      </c>
      <c r="H1124" s="116">
        <v>6825273000</v>
      </c>
      <c r="I1124" s="114">
        <v>1.8765483146907891</v>
      </c>
      <c r="J1124" s="116">
        <v>14.629765395894429</v>
      </c>
    </row>
    <row r="1125" spans="1:10">
      <c r="A1125" s="55">
        <v>3003</v>
      </c>
      <c r="B1125" s="114">
        <v>0.88</v>
      </c>
      <c r="C1125" s="122">
        <v>0.75342465753424659</v>
      </c>
      <c r="D1125" s="116">
        <v>155681818.18181819</v>
      </c>
      <c r="E1125" s="241">
        <v>0.33</v>
      </c>
      <c r="F1125" s="122">
        <v>1.7000000000000001E-2</v>
      </c>
      <c r="G1125" s="116">
        <v>5565625000</v>
      </c>
      <c r="H1125" s="116">
        <v>2964891000</v>
      </c>
      <c r="I1125" s="114">
        <v>1.8771769350036813</v>
      </c>
      <c r="J1125" s="116">
        <v>13.480113636363635</v>
      </c>
    </row>
    <row r="1126" spans="1:10">
      <c r="A1126" s="55">
        <v>3004</v>
      </c>
      <c r="B1126" s="114">
        <v>1.32</v>
      </c>
      <c r="C1126" s="122">
        <v>0.94017094017094016</v>
      </c>
      <c r="D1126" s="116">
        <v>52272727.272727273</v>
      </c>
      <c r="E1126" s="241">
        <v>0.35</v>
      </c>
      <c r="F1126" s="122">
        <v>1.7883333333333338E-2</v>
      </c>
      <c r="G1126" s="116">
        <v>2895909090.909091</v>
      </c>
      <c r="H1126" s="116">
        <v>1542595000</v>
      </c>
      <c r="I1126" s="114">
        <v>1.8772970811581076</v>
      </c>
      <c r="J1126" s="116">
        <v>11.160123966942148</v>
      </c>
    </row>
    <row r="1127" spans="1:10">
      <c r="A1127" s="55">
        <v>1325</v>
      </c>
      <c r="B1127" s="114">
        <v>0.36</v>
      </c>
      <c r="C1127" s="122">
        <v>0.56603773584905659</v>
      </c>
      <c r="D1127" s="116">
        <v>100000000</v>
      </c>
      <c r="E1127" s="241">
        <v>0.15</v>
      </c>
      <c r="F1127" s="122">
        <v>-1.2833333333333353E-3</v>
      </c>
      <c r="G1127" s="116">
        <v>2089999999.9999998</v>
      </c>
      <c r="H1127" s="116">
        <v>1109886000</v>
      </c>
      <c r="I1127" s="114">
        <v>1.8830762799062244</v>
      </c>
      <c r="J1127" s="116">
        <v>25.641203703703702</v>
      </c>
    </row>
    <row r="1128" spans="1:10">
      <c r="A1128" s="55">
        <v>8996</v>
      </c>
      <c r="B1128" s="45">
        <v>0.31</v>
      </c>
      <c r="C1128" s="123">
        <v>0.55813953488372092</v>
      </c>
      <c r="D1128" s="121">
        <v>90322580.645161286</v>
      </c>
      <c r="E1128" s="241">
        <v>0.25</v>
      </c>
      <c r="F1128" s="123">
        <v>7.6416666666666674E-2</v>
      </c>
      <c r="G1128" s="46">
        <v>4105161290.3225808</v>
      </c>
      <c r="H1128" s="46">
        <v>2178308000</v>
      </c>
      <c r="I1128" s="56">
        <v>1.8845642077808009</v>
      </c>
      <c r="J1128" s="125">
        <v>50</v>
      </c>
    </row>
    <row r="1129" spans="1:10">
      <c r="A1129" s="55">
        <v>1720</v>
      </c>
      <c r="B1129" s="114">
        <v>0.53</v>
      </c>
      <c r="C1129" s="122">
        <v>0.66666666666666663</v>
      </c>
      <c r="D1129" s="116">
        <v>177358490.56603771</v>
      </c>
      <c r="E1129" s="241">
        <v>0.45</v>
      </c>
      <c r="F1129" s="122">
        <v>-6.5833333333332556E-4</v>
      </c>
      <c r="G1129" s="116">
        <v>6269622641.5094337</v>
      </c>
      <c r="H1129" s="116">
        <v>3320992000</v>
      </c>
      <c r="I1129" s="114">
        <v>1.887876466281591</v>
      </c>
      <c r="J1129" s="116">
        <v>25.011792452830189</v>
      </c>
    </row>
    <row r="1130" spans="1:10">
      <c r="A1130" s="55">
        <v>2438</v>
      </c>
      <c r="B1130" s="114">
        <v>0.09</v>
      </c>
      <c r="C1130" s="122">
        <v>0</v>
      </c>
      <c r="D1130" s="116">
        <v>77777777.777777776</v>
      </c>
      <c r="E1130" s="241">
        <v>0.38</v>
      </c>
      <c r="F1130" s="122">
        <v>2.2291666666666668E-2</v>
      </c>
      <c r="G1130" s="116">
        <v>1151111111.1111112</v>
      </c>
      <c r="H1130" s="116">
        <v>609712000</v>
      </c>
      <c r="I1130" s="114">
        <v>1.887958759399702</v>
      </c>
      <c r="J1130" s="116">
        <v>0</v>
      </c>
    </row>
    <row r="1131" spans="1:10">
      <c r="A1131" s="55">
        <v>6219</v>
      </c>
      <c r="B1131" s="45">
        <v>-0.01</v>
      </c>
      <c r="C1131" s="123">
        <v>0.78350515463917525</v>
      </c>
      <c r="D1131" s="121">
        <v>200000000</v>
      </c>
      <c r="E1131" s="241">
        <v>0.21</v>
      </c>
      <c r="F1131" s="123">
        <v>1.122225</v>
      </c>
      <c r="G1131" s="46">
        <v>2320000000</v>
      </c>
      <c r="H1131" s="46">
        <v>1216927000</v>
      </c>
      <c r="I1131" s="56">
        <v>1.9064413888425518</v>
      </c>
      <c r="J1131" s="125">
        <v>0</v>
      </c>
    </row>
    <row r="1132" spans="1:10">
      <c r="A1132" s="55">
        <v>5531</v>
      </c>
      <c r="B1132" s="45">
        <v>0.08</v>
      </c>
      <c r="C1132" s="123">
        <v>1</v>
      </c>
      <c r="D1132" s="121">
        <v>912500000</v>
      </c>
      <c r="E1132" s="241">
        <v>0.37</v>
      </c>
      <c r="F1132" s="123">
        <v>0.52367499999999989</v>
      </c>
      <c r="G1132" s="46">
        <v>9170625000</v>
      </c>
      <c r="H1132" s="46">
        <v>4796097000</v>
      </c>
      <c r="I1132" s="56">
        <v>1.9121016526563162</v>
      </c>
      <c r="J1132" s="125">
        <v>31.40625</v>
      </c>
    </row>
    <row r="1133" spans="1:10">
      <c r="A1133" s="55">
        <v>4946</v>
      </c>
      <c r="B1133" s="45">
        <v>-4.76</v>
      </c>
      <c r="C1133" s="123">
        <v>0.40104166666666669</v>
      </c>
      <c r="D1133" s="121">
        <v>27310924.369747899</v>
      </c>
      <c r="E1133" s="241">
        <v>0.13</v>
      </c>
      <c r="F1133" s="123">
        <v>-8.2750000000000028E-3</v>
      </c>
      <c r="G1133" s="46">
        <v>898529411.7647059</v>
      </c>
      <c r="H1133" s="46">
        <v>465447000</v>
      </c>
      <c r="I1133" s="56">
        <v>1.9304655777450621</v>
      </c>
      <c r="J1133" s="125">
        <v>0</v>
      </c>
    </row>
    <row r="1134" spans="1:10">
      <c r="A1134" s="55">
        <v>8937</v>
      </c>
      <c r="B1134" s="45">
        <v>0.41</v>
      </c>
      <c r="C1134" s="123">
        <v>0</v>
      </c>
      <c r="D1134" s="121">
        <v>70731707.317073181</v>
      </c>
      <c r="E1134" s="241">
        <v>0.13</v>
      </c>
      <c r="F1134" s="123">
        <v>0.15378333333333336</v>
      </c>
      <c r="G1134" s="46">
        <v>813414634.14634156</v>
      </c>
      <c r="H1134" s="46">
        <v>421129000</v>
      </c>
      <c r="I1134" s="56">
        <v>1.9315094285749534</v>
      </c>
      <c r="J1134" s="125">
        <v>0</v>
      </c>
    </row>
    <row r="1135" spans="1:10">
      <c r="A1135" s="55">
        <v>3128</v>
      </c>
      <c r="B1135" s="114">
        <v>-0.01</v>
      </c>
      <c r="C1135" s="122">
        <v>0</v>
      </c>
      <c r="D1135" s="116">
        <v>100000000</v>
      </c>
      <c r="E1135" s="241">
        <v>0.19</v>
      </c>
      <c r="F1135" s="122">
        <v>7.9999999999999984E-3</v>
      </c>
      <c r="G1135" s="116">
        <v>1420000000</v>
      </c>
      <c r="H1135" s="116">
        <v>735107000</v>
      </c>
      <c r="I1135" s="114">
        <v>1.9316915768724825</v>
      </c>
      <c r="J1135" s="116">
        <v>0</v>
      </c>
    </row>
    <row r="1136" spans="1:10">
      <c r="A1136" s="55">
        <v>5395</v>
      </c>
      <c r="B1136" s="45">
        <v>0.05</v>
      </c>
      <c r="C1136" s="123">
        <v>1</v>
      </c>
      <c r="D1136" s="121">
        <v>60000000</v>
      </c>
      <c r="E1136" s="241">
        <v>0.22</v>
      </c>
      <c r="F1136" s="123">
        <v>0.11123333333333334</v>
      </c>
      <c r="G1136" s="46">
        <v>2160000000</v>
      </c>
      <c r="H1136" s="46">
        <v>1116799000</v>
      </c>
      <c r="I1136" s="56">
        <v>1.9340991530257459</v>
      </c>
      <c r="J1136" s="125">
        <v>50</v>
      </c>
    </row>
    <row r="1137" spans="1:10">
      <c r="A1137" s="55">
        <v>1339</v>
      </c>
      <c r="B1137" s="114">
        <v>1.55</v>
      </c>
      <c r="C1137" s="122">
        <v>0.6506024096385542</v>
      </c>
      <c r="D1137" s="116">
        <v>74838709.67741935</v>
      </c>
      <c r="E1137" s="241">
        <v>0.28000000000000003</v>
      </c>
      <c r="F1137" s="122">
        <v>4.9016666666666674E-2</v>
      </c>
      <c r="G1137" s="116">
        <v>4123612903.2258062</v>
      </c>
      <c r="H1137" s="116">
        <v>2131915000</v>
      </c>
      <c r="I1137" s="114">
        <v>1.9342295087870793</v>
      </c>
      <c r="J1137" s="116">
        <v>13.659796893667863</v>
      </c>
    </row>
    <row r="1138" spans="1:10">
      <c r="A1138" s="55">
        <v>1470</v>
      </c>
      <c r="B1138" s="114">
        <v>0.2</v>
      </c>
      <c r="C1138" s="122">
        <v>0.7857142857142857</v>
      </c>
      <c r="D1138" s="116">
        <v>85000000</v>
      </c>
      <c r="E1138" s="241">
        <v>0.22</v>
      </c>
      <c r="F1138" s="122">
        <v>7.7250000000000027E-3</v>
      </c>
      <c r="G1138" s="116">
        <v>1470500000</v>
      </c>
      <c r="H1138" s="116">
        <v>760242000</v>
      </c>
      <c r="I1138" s="114">
        <v>1.934252514330963</v>
      </c>
      <c r="J1138" s="116">
        <v>27.522727272727273</v>
      </c>
    </row>
    <row r="1139" spans="1:10">
      <c r="A1139" s="55">
        <v>3615</v>
      </c>
      <c r="B1139" s="114">
        <v>0.45</v>
      </c>
      <c r="C1139" s="122">
        <v>0.45945945945945948</v>
      </c>
      <c r="D1139" s="116">
        <v>71111111.111111104</v>
      </c>
      <c r="E1139" s="241">
        <v>0.17</v>
      </c>
      <c r="F1139" s="122">
        <v>4.3083333333333307E-3</v>
      </c>
      <c r="G1139" s="116">
        <v>1408000000</v>
      </c>
      <c r="H1139" s="116">
        <v>727669000</v>
      </c>
      <c r="I1139" s="114">
        <v>1.9349456964636393</v>
      </c>
      <c r="J1139" s="116">
        <v>23.941176470588232</v>
      </c>
    </row>
    <row r="1140" spans="1:10">
      <c r="A1140" s="55">
        <v>1453</v>
      </c>
      <c r="B1140" s="114">
        <v>-0.11</v>
      </c>
      <c r="C1140" s="122">
        <v>0.95</v>
      </c>
      <c r="D1140" s="116">
        <v>81818181.818181813</v>
      </c>
      <c r="E1140" s="241">
        <v>-0.45</v>
      </c>
      <c r="F1140" s="122">
        <v>1.6704083333333333</v>
      </c>
      <c r="G1140" s="116">
        <v>616909090.90909088</v>
      </c>
      <c r="H1140" s="116">
        <v>317864000</v>
      </c>
      <c r="I1140" s="114">
        <v>1.940795720525416</v>
      </c>
      <c r="J1140" s="116">
        <v>0</v>
      </c>
    </row>
    <row r="1141" spans="1:10">
      <c r="A1141" s="55">
        <v>3452</v>
      </c>
      <c r="B1141" s="114">
        <v>-0.23</v>
      </c>
      <c r="C1141" s="122">
        <v>1</v>
      </c>
      <c r="D1141" s="116">
        <v>782608695.65217388</v>
      </c>
      <c r="E1141" s="241">
        <v>-0.1</v>
      </c>
      <c r="F1141" s="122">
        <v>0.11029166666666668</v>
      </c>
      <c r="G1141" s="116">
        <v>8843478260.869566</v>
      </c>
      <c r="H1141" s="116">
        <v>4527778000</v>
      </c>
      <c r="I1141" s="114">
        <v>1.9531607470307877</v>
      </c>
      <c r="J1141" s="116">
        <v>0</v>
      </c>
    </row>
    <row r="1142" spans="1:10">
      <c r="A1142" s="55">
        <v>2325</v>
      </c>
      <c r="B1142" s="114">
        <v>0.86</v>
      </c>
      <c r="C1142" s="122">
        <v>0.86491586727472869</v>
      </c>
      <c r="D1142" s="116">
        <v>3118604651.1627908</v>
      </c>
      <c r="E1142" s="241">
        <v>0.25</v>
      </c>
      <c r="F1142" s="122">
        <v>3.1749999999999994E-3</v>
      </c>
      <c r="G1142" s="116">
        <v>161855581395.34885</v>
      </c>
      <c r="H1142" s="116">
        <v>82839922000</v>
      </c>
      <c r="I1142" s="114">
        <v>1.9538355117638673</v>
      </c>
      <c r="J1142" s="116">
        <v>17.443557082452433</v>
      </c>
    </row>
    <row r="1143" spans="1:10">
      <c r="A1143" s="55">
        <v>6171</v>
      </c>
      <c r="B1143" s="45">
        <v>-7.0000000000000007E-2</v>
      </c>
      <c r="C1143" s="123">
        <v>1</v>
      </c>
      <c r="D1143" s="121">
        <v>85714285.714285702</v>
      </c>
      <c r="E1143" s="241">
        <f>VLOOKUP(6171,季財報!$A:$H,8,0)</f>
        <v>4</v>
      </c>
      <c r="F1143" s="123">
        <v>2571.8809666666666</v>
      </c>
      <c r="G1143" s="46">
        <v>850285714.28571415</v>
      </c>
      <c r="H1143" s="46">
        <v>432258000</v>
      </c>
      <c r="I1143" s="56">
        <v>1.9670791848519036</v>
      </c>
      <c r="J1143" s="125">
        <v>0</v>
      </c>
    </row>
    <row r="1144" spans="1:10">
      <c r="A1144" s="55">
        <v>5607</v>
      </c>
      <c r="B1144" s="45">
        <v>0.36</v>
      </c>
      <c r="C1144" s="123">
        <v>1</v>
      </c>
      <c r="D1144" s="121">
        <v>169444444.44444445</v>
      </c>
      <c r="E1144" s="241">
        <v>0.46</v>
      </c>
      <c r="F1144" s="123">
        <v>2.9333333333333295E-3</v>
      </c>
      <c r="G1144" s="46">
        <v>2490833333.3333335</v>
      </c>
      <c r="H1144" s="46">
        <v>1265522000</v>
      </c>
      <c r="I1144" s="56">
        <v>1.9682260232009665</v>
      </c>
      <c r="J1144" s="125">
        <v>10.208333333333334</v>
      </c>
    </row>
    <row r="1145" spans="1:10">
      <c r="A1145" s="55">
        <v>3645</v>
      </c>
      <c r="B1145" s="114">
        <v>0.51</v>
      </c>
      <c r="C1145" s="122">
        <v>0.989247311827957</v>
      </c>
      <c r="D1145" s="116">
        <v>117647058.82352941</v>
      </c>
      <c r="E1145" s="241">
        <v>0.3</v>
      </c>
      <c r="F1145" s="122">
        <v>-1.0183333333333327E-2</v>
      </c>
      <c r="G1145" s="116">
        <v>2905882352.9411764</v>
      </c>
      <c r="H1145" s="116">
        <v>1470879000</v>
      </c>
      <c r="I1145" s="114">
        <v>1.9756093825128895</v>
      </c>
      <c r="J1145" s="116">
        <v>12.239450127877237</v>
      </c>
    </row>
    <row r="1146" spans="1:10">
      <c r="A1146" s="55">
        <v>3512</v>
      </c>
      <c r="B1146" s="114">
        <v>0.72</v>
      </c>
      <c r="C1146" s="122">
        <v>1</v>
      </c>
      <c r="D1146" s="116">
        <v>59722222.222222224</v>
      </c>
      <c r="E1146" s="241">
        <v>0.24</v>
      </c>
      <c r="F1146" s="122">
        <v>0.11865833333333331</v>
      </c>
      <c r="G1146" s="116">
        <v>1537847222.2222223</v>
      </c>
      <c r="H1146" s="116">
        <v>773910000</v>
      </c>
      <c r="I1146" s="114">
        <v>1.9871137757907538</v>
      </c>
      <c r="J1146" s="116">
        <v>8.9409722222222232</v>
      </c>
    </row>
    <row r="1147" spans="1:10">
      <c r="A1147" s="55">
        <v>1595</v>
      </c>
      <c r="B1147" s="114">
        <v>2.11</v>
      </c>
      <c r="C1147" s="122">
        <v>0.68421052631578949</v>
      </c>
      <c r="D1147" s="116">
        <v>38862559.241706163</v>
      </c>
      <c r="E1147" s="241">
        <v>0.41</v>
      </c>
      <c r="F1147" s="122">
        <v>2.5158333333333328E-2</v>
      </c>
      <c r="G1147" s="116">
        <v>2172417061.6113744</v>
      </c>
      <c r="H1147" s="116">
        <v>1086910000</v>
      </c>
      <c r="I1147" s="114">
        <v>1.9987092414379979</v>
      </c>
      <c r="J1147" s="116">
        <v>9.6800947867298586</v>
      </c>
    </row>
    <row r="1148" spans="1:10">
      <c r="A1148" s="55">
        <v>3266</v>
      </c>
      <c r="B1148" s="114">
        <v>-1.03</v>
      </c>
      <c r="C1148" s="122">
        <v>0.94339622641509435</v>
      </c>
      <c r="D1148" s="116">
        <v>351456310.67961162</v>
      </c>
      <c r="E1148" s="241">
        <v>-0.89</v>
      </c>
      <c r="F1148" s="122">
        <v>1.2554583333333333</v>
      </c>
      <c r="G1148" s="116">
        <v>3778155339.8058248</v>
      </c>
      <c r="H1148" s="116">
        <v>1887262000</v>
      </c>
      <c r="I1148" s="114">
        <v>2.0019241312577822</v>
      </c>
      <c r="J1148" s="116">
        <v>0</v>
      </c>
    </row>
    <row r="1149" spans="1:10">
      <c r="A1149" s="55">
        <v>4153</v>
      </c>
      <c r="B1149" s="45">
        <v>1.67</v>
      </c>
      <c r="C1149" s="123">
        <v>0.45</v>
      </c>
      <c r="D1149" s="121">
        <v>37724550.898203596</v>
      </c>
      <c r="E1149" s="241">
        <v>0.28000000000000003</v>
      </c>
      <c r="F1149" s="123">
        <v>4.2441666666666662E-2</v>
      </c>
      <c r="G1149" s="46">
        <v>2689760479.0419164</v>
      </c>
      <c r="H1149" s="46">
        <v>1339952000</v>
      </c>
      <c r="I1149" s="56">
        <v>2.0073558448675151</v>
      </c>
      <c r="J1149" s="125">
        <v>23.719228210246175</v>
      </c>
    </row>
    <row r="1150" spans="1:10">
      <c r="A1150" s="55">
        <v>4109</v>
      </c>
      <c r="B1150" s="45">
        <v>0.1</v>
      </c>
      <c r="C1150" s="123">
        <v>1</v>
      </c>
      <c r="D1150" s="121">
        <v>70000000</v>
      </c>
      <c r="E1150" s="241">
        <v>0.4</v>
      </c>
      <c r="F1150" s="123">
        <v>0.10419166666666668</v>
      </c>
      <c r="G1150" s="46">
        <v>1627500000</v>
      </c>
      <c r="H1150" s="46">
        <v>804707000</v>
      </c>
      <c r="I1150" s="56">
        <v>2.0224752611820205</v>
      </c>
      <c r="J1150" s="125">
        <v>50</v>
      </c>
    </row>
    <row r="1151" spans="1:10">
      <c r="A1151" s="55">
        <v>4419</v>
      </c>
      <c r="B1151" s="45">
        <v>-0.22</v>
      </c>
      <c r="C1151" s="123">
        <v>0.8571428571428571</v>
      </c>
      <c r="D1151" s="121">
        <v>22727272.727272727</v>
      </c>
      <c r="E1151" s="241">
        <v>-0.06</v>
      </c>
      <c r="F1151" s="123">
        <v>2.7750000000000088E-3</v>
      </c>
      <c r="G1151" s="46">
        <v>136818181.81818181</v>
      </c>
      <c r="H1151" s="46">
        <v>67600000</v>
      </c>
      <c r="I1151" s="56">
        <v>2.0239376008606778</v>
      </c>
      <c r="J1151" s="125">
        <v>0</v>
      </c>
    </row>
    <row r="1152" spans="1:10">
      <c r="A1152" s="55">
        <v>2608</v>
      </c>
      <c r="B1152" s="114">
        <v>0.66</v>
      </c>
      <c r="C1152" s="122">
        <v>0.65205843293492693</v>
      </c>
      <c r="D1152" s="116">
        <v>486363636.36363631</v>
      </c>
      <c r="E1152" s="241">
        <v>0.21</v>
      </c>
      <c r="F1152" s="122">
        <v>1.4933333333333335E-2</v>
      </c>
      <c r="G1152" s="116">
        <v>18044090909.090908</v>
      </c>
      <c r="H1152" s="116">
        <v>8902503000</v>
      </c>
      <c r="I1152" s="114">
        <v>2.0268559200812297</v>
      </c>
      <c r="J1152" s="116">
        <v>21.551795963710425</v>
      </c>
    </row>
    <row r="1153" spans="1:10">
      <c r="A1153" s="55">
        <v>5284</v>
      </c>
      <c r="B1153" s="45">
        <v>1.89</v>
      </c>
      <c r="C1153" s="123">
        <v>0.8928571428571429</v>
      </c>
      <c r="D1153" s="121">
        <v>33862433.862433866</v>
      </c>
      <c r="E1153" s="241">
        <v>0.35</v>
      </c>
      <c r="F1153" s="123">
        <v>1.1541666666666664E-2</v>
      </c>
      <c r="G1153" s="46">
        <v>2451640211.6402121</v>
      </c>
      <c r="H1153" s="46">
        <v>1205294000</v>
      </c>
      <c r="I1153" s="56">
        <v>2.0340599153735206</v>
      </c>
      <c r="J1153" s="125">
        <v>10.725925925925926</v>
      </c>
    </row>
    <row r="1154" spans="1:10">
      <c r="A1154" s="55">
        <v>2617</v>
      </c>
      <c r="B1154" s="114">
        <v>0.12</v>
      </c>
      <c r="C1154" s="122">
        <v>0.73684210526315785</v>
      </c>
      <c r="D1154" s="116">
        <v>433333333.33333337</v>
      </c>
      <c r="E1154" s="241">
        <v>0.08</v>
      </c>
      <c r="F1154" s="122">
        <v>-7.4583333333333316E-3</v>
      </c>
      <c r="G1154" s="116">
        <v>5460000000</v>
      </c>
      <c r="H1154" s="116">
        <v>2682431000</v>
      </c>
      <c r="I1154" s="114">
        <v>2.0354670819118925</v>
      </c>
      <c r="J1154" s="116">
        <v>35.625</v>
      </c>
    </row>
    <row r="1155" spans="1:10">
      <c r="A1155" s="55">
        <v>6263</v>
      </c>
      <c r="B1155" s="45">
        <v>1.07</v>
      </c>
      <c r="C1155" s="123">
        <v>0.90298507462686572</v>
      </c>
      <c r="D1155" s="121">
        <v>62616822.42990654</v>
      </c>
      <c r="E1155" s="241">
        <v>0.37</v>
      </c>
      <c r="F1155" s="123">
        <v>-1.1858333333333334E-2</v>
      </c>
      <c r="G1155" s="46">
        <v>2576682242.990654</v>
      </c>
      <c r="H1155" s="46">
        <v>1265463000</v>
      </c>
      <c r="I1155" s="56">
        <v>2.0361577090682652</v>
      </c>
      <c r="J1155" s="125">
        <v>10.647447285085345</v>
      </c>
    </row>
    <row r="1156" spans="1:10">
      <c r="A1156" s="55">
        <v>3416</v>
      </c>
      <c r="B1156" s="114">
        <v>0.91</v>
      </c>
      <c r="C1156" s="122">
        <v>0.99009900990099009</v>
      </c>
      <c r="D1156" s="116">
        <v>60439560.439560436</v>
      </c>
      <c r="E1156" s="241">
        <v>0.4</v>
      </c>
      <c r="F1156" s="122">
        <v>2.6241666666666674E-2</v>
      </c>
      <c r="G1156" s="116">
        <v>3130769230.7692304</v>
      </c>
      <c r="H1156" s="116">
        <v>1535252000</v>
      </c>
      <c r="I1156" s="114">
        <v>2.0392542923046055</v>
      </c>
      <c r="J1156" s="116">
        <v>14.373076923076923</v>
      </c>
    </row>
    <row r="1157" spans="1:10">
      <c r="A1157" s="55">
        <v>3041</v>
      </c>
      <c r="B1157" s="114">
        <v>0.11</v>
      </c>
      <c r="C1157" s="122">
        <v>1</v>
      </c>
      <c r="D1157" s="116">
        <v>281818181.81818181</v>
      </c>
      <c r="E1157" s="241">
        <v>0.43</v>
      </c>
      <c r="F1157" s="122">
        <v>5.3758333333333332E-2</v>
      </c>
      <c r="G1157" s="116">
        <v>7454090909.090909</v>
      </c>
      <c r="H1157" s="116">
        <v>3631593000</v>
      </c>
      <c r="I1157" s="114">
        <v>2.0525678150307343</v>
      </c>
      <c r="J1157" s="116">
        <v>50</v>
      </c>
    </row>
    <row r="1158" spans="1:10">
      <c r="A1158" s="55">
        <v>5490</v>
      </c>
      <c r="B1158" s="45">
        <v>0.82</v>
      </c>
      <c r="C1158" s="123">
        <v>0.92700729927007297</v>
      </c>
      <c r="D1158" s="121">
        <v>95121951.219512194</v>
      </c>
      <c r="E1158" s="241">
        <v>0.34</v>
      </c>
      <c r="F1158" s="123">
        <v>0.20069166666666668</v>
      </c>
      <c r="G1158" s="46">
        <v>6563414634.1463413</v>
      </c>
      <c r="H1158" s="46">
        <v>3192136000</v>
      </c>
      <c r="I1158" s="56">
        <v>2.0561199880413432</v>
      </c>
      <c r="J1158" s="125">
        <v>22.693009410409065</v>
      </c>
    </row>
    <row r="1159" spans="1:10">
      <c r="A1159" s="55">
        <v>6104</v>
      </c>
      <c r="B1159" s="45">
        <v>0.72</v>
      </c>
      <c r="C1159" s="123">
        <v>0.87931034482758619</v>
      </c>
      <c r="D1159" s="121">
        <v>88888888.888888896</v>
      </c>
      <c r="E1159" s="241">
        <v>0.5</v>
      </c>
      <c r="F1159" s="123">
        <v>2.7316666666666666E-2</v>
      </c>
      <c r="G1159" s="46">
        <v>3884444444.4444451</v>
      </c>
      <c r="H1159" s="46">
        <v>1884879000</v>
      </c>
      <c r="I1159" s="56">
        <v>2.0608455208235887</v>
      </c>
      <c r="J1159" s="125">
        <v>17.256263616557735</v>
      </c>
    </row>
    <row r="1160" spans="1:10">
      <c r="A1160" s="55">
        <v>6233</v>
      </c>
      <c r="B1160" s="45">
        <v>0.04</v>
      </c>
      <c r="C1160" s="123">
        <v>1</v>
      </c>
      <c r="D1160" s="121">
        <v>75000000</v>
      </c>
      <c r="E1160" s="241">
        <v>0.46</v>
      </c>
      <c r="F1160" s="123">
        <v>4.1875000000000002E-2</v>
      </c>
      <c r="G1160" s="46">
        <v>915000000</v>
      </c>
      <c r="H1160" s="46">
        <v>442690000</v>
      </c>
      <c r="I1160" s="56">
        <v>2.0669091237660666</v>
      </c>
      <c r="J1160" s="125">
        <v>50</v>
      </c>
    </row>
    <row r="1161" spans="1:10">
      <c r="A1161" s="55">
        <v>9925</v>
      </c>
      <c r="B1161" s="45">
        <v>0.87</v>
      </c>
      <c r="C1161" s="123">
        <v>0.53893129770992365</v>
      </c>
      <c r="D1161" s="121">
        <v>379310344.82758623</v>
      </c>
      <c r="E1161" s="241">
        <v>0.36</v>
      </c>
      <c r="F1161" s="123">
        <v>8.3916666666666671E-3</v>
      </c>
      <c r="G1161" s="46">
        <v>14546551724.137932</v>
      </c>
      <c r="H1161" s="46">
        <v>7035432000</v>
      </c>
      <c r="I1161" s="56">
        <v>2.0676131507117019</v>
      </c>
      <c r="J1161" s="125">
        <v>20.448088632737456</v>
      </c>
    </row>
    <row r="1162" spans="1:10">
      <c r="A1162" s="55">
        <v>8404</v>
      </c>
      <c r="B1162" s="45">
        <v>0.51</v>
      </c>
      <c r="C1162" s="123">
        <v>0.90196078431372551</v>
      </c>
      <c r="D1162" s="121">
        <v>223529411.76470587</v>
      </c>
      <c r="E1162" s="241">
        <v>0.37</v>
      </c>
      <c r="F1162" s="123">
        <v>6.8233333333333326E-2</v>
      </c>
      <c r="G1162" s="46">
        <v>7219999999.999999</v>
      </c>
      <c r="H1162" s="46">
        <v>3471373000</v>
      </c>
      <c r="I1162" s="56">
        <v>2.0798686859637381</v>
      </c>
      <c r="J1162" s="125">
        <v>17.554347826086953</v>
      </c>
    </row>
    <row r="1163" spans="1:10">
      <c r="A1163" s="55">
        <v>2441</v>
      </c>
      <c r="B1163" s="114">
        <v>0.88</v>
      </c>
      <c r="C1163" s="122">
        <v>0.94399999999999995</v>
      </c>
      <c r="D1163" s="116">
        <v>567045454.5454545</v>
      </c>
      <c r="E1163" s="241">
        <v>0.27</v>
      </c>
      <c r="F1163" s="122">
        <v>1.2375000000000002E-2</v>
      </c>
      <c r="G1163" s="116">
        <v>19846590909.090908</v>
      </c>
      <c r="H1163" s="116">
        <v>9540470000</v>
      </c>
      <c r="I1163" s="114">
        <v>2.0802529549478073</v>
      </c>
      <c r="J1163" s="116">
        <v>10.53303158705701</v>
      </c>
    </row>
    <row r="1164" spans="1:10">
      <c r="A1164" s="55">
        <v>1103</v>
      </c>
      <c r="B1164" s="114">
        <v>-0.5</v>
      </c>
      <c r="C1164" s="122">
        <v>1</v>
      </c>
      <c r="D1164" s="116">
        <v>644000000</v>
      </c>
      <c r="E1164" s="241">
        <v>-0.09</v>
      </c>
      <c r="F1164" s="122">
        <v>3.3383333333333341E-2</v>
      </c>
      <c r="G1164" s="116">
        <v>5892600000</v>
      </c>
      <c r="H1164" s="116">
        <v>2826714000</v>
      </c>
      <c r="I1164" s="114">
        <v>2.0846113190085731</v>
      </c>
      <c r="J1164" s="116">
        <v>0</v>
      </c>
    </row>
    <row r="1165" spans="1:10">
      <c r="A1165" s="55">
        <v>3705</v>
      </c>
      <c r="B1165" s="45">
        <v>0.83</v>
      </c>
      <c r="C1165" s="123">
        <v>0.77892030848329052</v>
      </c>
      <c r="D1165" s="121">
        <v>266265060.24096388</v>
      </c>
      <c r="E1165" s="241">
        <v>0.47</v>
      </c>
      <c r="F1165" s="123">
        <v>1.3225000000000002E-2</v>
      </c>
      <c r="G1165" s="46">
        <v>12607650602.409639</v>
      </c>
      <c r="H1165" s="46">
        <v>6033176000</v>
      </c>
      <c r="I1165" s="56">
        <v>2.0897203400679243</v>
      </c>
      <c r="J1165" s="125">
        <v>18.310022267286968</v>
      </c>
    </row>
    <row r="1166" spans="1:10">
      <c r="A1166" s="55">
        <v>2443</v>
      </c>
      <c r="B1166" s="119">
        <v>-0.5</v>
      </c>
      <c r="C1166" s="122">
        <v>1</v>
      </c>
      <c r="D1166" s="120">
        <v>146000000</v>
      </c>
      <c r="E1166" s="241">
        <v>-0.06</v>
      </c>
      <c r="F1166" s="122">
        <v>0.29236666666666666</v>
      </c>
      <c r="G1166" s="120">
        <v>1068720000</v>
      </c>
      <c r="H1166" s="120">
        <v>511196000</v>
      </c>
      <c r="I1166" s="119">
        <v>2.0906266872197747</v>
      </c>
      <c r="J1166" s="120">
        <v>0</v>
      </c>
    </row>
    <row r="1167" spans="1:10">
      <c r="A1167" s="55">
        <v>4702</v>
      </c>
      <c r="B1167" s="45">
        <v>0.05</v>
      </c>
      <c r="C1167" s="123">
        <v>0</v>
      </c>
      <c r="D1167" s="121">
        <v>220000000</v>
      </c>
      <c r="E1167" s="241">
        <v>0.17</v>
      </c>
      <c r="F1167" s="123">
        <v>1.6541666666666663E-2</v>
      </c>
      <c r="G1167" s="46">
        <v>2211000000</v>
      </c>
      <c r="H1167" s="46">
        <v>1051576000</v>
      </c>
      <c r="I1167" s="56">
        <v>2.1025584456092568</v>
      </c>
      <c r="J1167" s="125">
        <v>0</v>
      </c>
    </row>
    <row r="1168" spans="1:10">
      <c r="A1168" s="55">
        <v>2408</v>
      </c>
      <c r="B1168" s="114">
        <v>1.95</v>
      </c>
      <c r="C1168" s="122">
        <v>0.70727090524440483</v>
      </c>
      <c r="D1168" s="116">
        <v>2424102564.1025643</v>
      </c>
      <c r="E1168" s="241">
        <v>0.37</v>
      </c>
      <c r="F1168" s="122">
        <v>-1.1533333333333335E-2</v>
      </c>
      <c r="G1168" s="116">
        <v>92358307692.307709</v>
      </c>
      <c r="H1168" s="116">
        <v>43869307000</v>
      </c>
      <c r="I1168" s="114">
        <v>2.1053058278834382</v>
      </c>
      <c r="J1168" s="116">
        <v>6.9062863301685731</v>
      </c>
    </row>
    <row r="1169" spans="1:10">
      <c r="A1169" s="55">
        <v>3518</v>
      </c>
      <c r="B1169" s="114">
        <v>-0.51</v>
      </c>
      <c r="C1169" s="122">
        <v>1</v>
      </c>
      <c r="D1169" s="116">
        <v>86274509.803921565</v>
      </c>
      <c r="E1169" s="241">
        <v>0.16</v>
      </c>
      <c r="F1169" s="122">
        <v>-8.7999999999999988E-3</v>
      </c>
      <c r="G1169" s="116">
        <v>2489019607.8431373</v>
      </c>
      <c r="H1169" s="116">
        <v>1180786000</v>
      </c>
      <c r="I1169" s="114">
        <v>2.1079345519367076</v>
      </c>
      <c r="J1169" s="116">
        <v>0</v>
      </c>
    </row>
    <row r="1170" spans="1:10">
      <c r="A1170" s="55">
        <v>3227</v>
      </c>
      <c r="B1170" s="114">
        <v>0.74</v>
      </c>
      <c r="C1170" s="122">
        <v>0.55625000000000002</v>
      </c>
      <c r="D1170" s="116">
        <v>128378378.37837838</v>
      </c>
      <c r="E1170" s="241">
        <v>0.51</v>
      </c>
      <c r="F1170" s="122">
        <v>-1.6666666666666566E-4</v>
      </c>
      <c r="G1170" s="116">
        <v>9114864864.8648643</v>
      </c>
      <c r="H1170" s="116">
        <v>4320266000</v>
      </c>
      <c r="I1170" s="114">
        <v>2.1097925139018905</v>
      </c>
      <c r="J1170" s="116">
        <v>43.121773458852111</v>
      </c>
    </row>
    <row r="1171" spans="1:10">
      <c r="A1171" s="55">
        <v>2101</v>
      </c>
      <c r="B1171" s="114">
        <v>0.28000000000000003</v>
      </c>
      <c r="C1171" s="122">
        <v>0.73616236162361626</v>
      </c>
      <c r="D1171" s="116">
        <v>821428571.42857134</v>
      </c>
      <c r="E1171" s="241">
        <v>0.23</v>
      </c>
      <c r="F1171" s="122">
        <v>-1.371666666666666E-2</v>
      </c>
      <c r="G1171" s="116">
        <v>22507142857.142853</v>
      </c>
      <c r="H1171" s="116">
        <v>10632201000</v>
      </c>
      <c r="I1171" s="114">
        <v>2.1168846278529583</v>
      </c>
      <c r="J1171" s="116">
        <v>33.232187611886857</v>
      </c>
    </row>
    <row r="1172" spans="1:10">
      <c r="A1172" s="55">
        <v>6414</v>
      </c>
      <c r="B1172" s="45">
        <v>3.59</v>
      </c>
      <c r="C1172" s="123">
        <v>0.76222222222222225</v>
      </c>
      <c r="D1172" s="121">
        <v>68802228.412256271</v>
      </c>
      <c r="E1172" s="241">
        <v>0.18</v>
      </c>
      <c r="F1172" s="123">
        <v>4.2658333333333333E-2</v>
      </c>
      <c r="G1172" s="46">
        <v>24287186629.526463</v>
      </c>
      <c r="H1172" s="46">
        <v>11404311000</v>
      </c>
      <c r="I1172" s="56">
        <v>2.1296496236841018</v>
      </c>
      <c r="J1172" s="125">
        <v>32.250663894686404</v>
      </c>
    </row>
    <row r="1173" spans="1:10">
      <c r="A1173" s="55">
        <v>1234</v>
      </c>
      <c r="B1173" s="114">
        <v>0.72</v>
      </c>
      <c r="C1173" s="122">
        <v>0.34909909909909909</v>
      </c>
      <c r="D1173" s="116">
        <v>404166666.66666669</v>
      </c>
      <c r="E1173" s="241">
        <v>0.39</v>
      </c>
      <c r="F1173" s="122">
        <v>3.5700000000000003E-2</v>
      </c>
      <c r="G1173" s="116">
        <v>13559791666.666666</v>
      </c>
      <c r="H1173" s="116">
        <v>6360475000</v>
      </c>
      <c r="I1173" s="114">
        <v>2.1318834940262583</v>
      </c>
      <c r="J1173" s="116">
        <v>33.369623655913976</v>
      </c>
    </row>
    <row r="1174" spans="1:10">
      <c r="A1174" s="55">
        <v>2433</v>
      </c>
      <c r="B1174" s="114">
        <v>1.44</v>
      </c>
      <c r="C1174" s="122">
        <v>0.56932153392330387</v>
      </c>
      <c r="D1174" s="116">
        <v>143750000</v>
      </c>
      <c r="E1174" s="241">
        <v>0.39</v>
      </c>
      <c r="F1174" s="122">
        <v>1.8241666666666666E-2</v>
      </c>
      <c r="G1174" s="116">
        <v>6317812500</v>
      </c>
      <c r="H1174" s="116">
        <v>2952052000</v>
      </c>
      <c r="I1174" s="114">
        <v>2.1401426871884373</v>
      </c>
      <c r="J1174" s="116">
        <v>13.402283031088084</v>
      </c>
    </row>
    <row r="1175" spans="1:10">
      <c r="A1175" s="55">
        <v>6289</v>
      </c>
      <c r="B1175" s="45">
        <v>-0.25</v>
      </c>
      <c r="C1175" s="123">
        <v>1</v>
      </c>
      <c r="D1175" s="121">
        <v>264000000</v>
      </c>
      <c r="E1175" s="241">
        <v>-1.82</v>
      </c>
      <c r="F1175" s="123">
        <v>3.3558333333333329E-2</v>
      </c>
      <c r="G1175" s="46">
        <v>269280000</v>
      </c>
      <c r="H1175" s="46">
        <v>125694000</v>
      </c>
      <c r="I1175" s="56">
        <v>2.1423456966919661</v>
      </c>
      <c r="J1175" s="125">
        <v>0</v>
      </c>
    </row>
    <row r="1176" spans="1:10">
      <c r="A1176" s="55">
        <v>5314</v>
      </c>
      <c r="B1176" s="45">
        <v>-0.22</v>
      </c>
      <c r="C1176" s="123">
        <v>0.93103448275862066</v>
      </c>
      <c r="D1176" s="121">
        <v>59090909.090909094</v>
      </c>
      <c r="E1176" s="241">
        <v>0.49</v>
      </c>
      <c r="F1176" s="123">
        <v>0.12969166666666668</v>
      </c>
      <c r="G1176" s="46">
        <v>363409090.90909094</v>
      </c>
      <c r="H1176" s="46">
        <v>169028000</v>
      </c>
      <c r="I1176" s="56">
        <v>2.1499934384190249</v>
      </c>
      <c r="J1176" s="125">
        <v>0</v>
      </c>
    </row>
    <row r="1177" spans="1:10">
      <c r="A1177" s="55">
        <v>1734</v>
      </c>
      <c r="B1177" s="114">
        <v>-0.1</v>
      </c>
      <c r="C1177" s="122">
        <v>1</v>
      </c>
      <c r="D1177" s="116">
        <v>170000000</v>
      </c>
      <c r="E1177" s="241">
        <v>0.34</v>
      </c>
      <c r="F1177" s="122">
        <v>3.2341666666666657E-2</v>
      </c>
      <c r="G1177" s="116">
        <v>4717500000</v>
      </c>
      <c r="H1177" s="116">
        <v>2187189000</v>
      </c>
      <c r="I1177" s="114">
        <v>2.1568780750086067</v>
      </c>
      <c r="J1177" s="116">
        <v>0</v>
      </c>
    </row>
    <row r="1178" spans="1:10">
      <c r="A1178" s="55">
        <v>6230</v>
      </c>
      <c r="B1178" s="45">
        <v>2.56</v>
      </c>
      <c r="C1178" s="123">
        <v>0.74613003095975228</v>
      </c>
      <c r="D1178" s="121">
        <v>86328125</v>
      </c>
      <c r="E1178" s="241">
        <v>0.25</v>
      </c>
      <c r="F1178" s="123">
        <v>1.2925000000000001E-2</v>
      </c>
      <c r="G1178" s="46">
        <v>13035546875</v>
      </c>
      <c r="H1178" s="46">
        <v>6042840000</v>
      </c>
      <c r="I1178" s="56">
        <v>2.157188817675133</v>
      </c>
      <c r="J1178" s="125">
        <v>19.763436851659751</v>
      </c>
    </row>
    <row r="1179" spans="1:10">
      <c r="A1179" s="55">
        <v>2227</v>
      </c>
      <c r="B1179" s="114">
        <v>2.85</v>
      </c>
      <c r="C1179" s="122">
        <v>9.5493083444890672E-2</v>
      </c>
      <c r="D1179" s="116">
        <v>300000000</v>
      </c>
      <c r="E1179" s="241">
        <v>0.15</v>
      </c>
      <c r="F1179" s="122">
        <v>6.7549999999999999E-2</v>
      </c>
      <c r="G1179" s="116">
        <v>71700000000</v>
      </c>
      <c r="H1179" s="116">
        <v>33214141000</v>
      </c>
      <c r="I1179" s="114">
        <v>2.1587190829351872</v>
      </c>
      <c r="J1179" s="116">
        <v>50</v>
      </c>
    </row>
    <row r="1180" spans="1:10">
      <c r="A1180" s="55">
        <v>3363</v>
      </c>
      <c r="B1180" s="114">
        <v>0.23</v>
      </c>
      <c r="C1180" s="122">
        <v>0</v>
      </c>
      <c r="D1180" s="116">
        <v>78260869.565217391</v>
      </c>
      <c r="E1180" s="241">
        <v>0.13</v>
      </c>
      <c r="F1180" s="122">
        <v>2.6533333333333325E-2</v>
      </c>
      <c r="G1180" s="116">
        <v>2089565217.3913043</v>
      </c>
      <c r="H1180" s="116">
        <v>966404000</v>
      </c>
      <c r="I1180" s="114">
        <v>2.1622067141602312</v>
      </c>
      <c r="J1180" s="116">
        <v>0</v>
      </c>
    </row>
    <row r="1181" spans="1:10">
      <c r="A1181" s="55">
        <v>2605</v>
      </c>
      <c r="B1181" s="114">
        <v>0.52</v>
      </c>
      <c r="C1181" s="122">
        <v>1</v>
      </c>
      <c r="D1181" s="116">
        <v>563461538.46153843</v>
      </c>
      <c r="E1181" s="241">
        <v>0.44</v>
      </c>
      <c r="F1181" s="122">
        <v>-5.6583333333333321E-3</v>
      </c>
      <c r="G1181" s="116">
        <v>10818461538.461538</v>
      </c>
      <c r="H1181" s="116">
        <v>4998030000</v>
      </c>
      <c r="I1181" s="114">
        <v>2.1645451384768677</v>
      </c>
      <c r="J1181" s="116">
        <v>9.2307692307692299</v>
      </c>
    </row>
    <row r="1182" spans="1:10">
      <c r="A1182" s="55">
        <v>6426</v>
      </c>
      <c r="B1182" s="45">
        <v>1.1000000000000001</v>
      </c>
      <c r="C1182" s="123">
        <v>0.63265306122448983</v>
      </c>
      <c r="D1182" s="121">
        <v>31818181.818181816</v>
      </c>
      <c r="E1182" s="241">
        <v>0.35</v>
      </c>
      <c r="F1182" s="123">
        <v>3.2091666666666664E-2</v>
      </c>
      <c r="G1182" s="46">
        <v>1134318181.8181818</v>
      </c>
      <c r="H1182" s="46">
        <v>523465000</v>
      </c>
      <c r="I1182" s="56">
        <v>2.1669417856364452</v>
      </c>
      <c r="J1182" s="125">
        <v>12.806818181818178</v>
      </c>
    </row>
    <row r="1183" spans="1:10">
      <c r="A1183" s="55">
        <v>4205</v>
      </c>
      <c r="B1183" s="45">
        <v>0.79</v>
      </c>
      <c r="C1183" s="123">
        <v>0.97029702970297027</v>
      </c>
      <c r="D1183" s="121">
        <v>73417721.518987343</v>
      </c>
      <c r="E1183" s="241">
        <v>0.36</v>
      </c>
      <c r="F1183" s="123">
        <v>6.9500000000000004E-3</v>
      </c>
      <c r="G1183" s="46">
        <v>2837594936.7088609</v>
      </c>
      <c r="H1183" s="46">
        <v>1306150000</v>
      </c>
      <c r="I1183" s="56">
        <v>2.1724877975032428</v>
      </c>
      <c r="J1183" s="125">
        <v>12.605431413071557</v>
      </c>
    </row>
    <row r="1184" spans="1:10">
      <c r="A1184" s="55">
        <v>3686</v>
      </c>
      <c r="B1184" s="114">
        <v>-0.32</v>
      </c>
      <c r="C1184" s="122">
        <v>1</v>
      </c>
      <c r="D1184" s="116">
        <v>353125000</v>
      </c>
      <c r="E1184" s="241">
        <v>-0.25</v>
      </c>
      <c r="F1184" s="122">
        <v>1.1041666666666667E-2</v>
      </c>
      <c r="G1184" s="116">
        <v>3474750000</v>
      </c>
      <c r="H1184" s="116">
        <v>1589341000</v>
      </c>
      <c r="I1184" s="114">
        <v>2.186283497374069</v>
      </c>
      <c r="J1184" s="116">
        <v>0</v>
      </c>
    </row>
    <row r="1185" spans="1:10">
      <c r="A1185" s="55">
        <v>4123</v>
      </c>
      <c r="B1185" s="45">
        <v>-0.04</v>
      </c>
      <c r="C1185" s="123">
        <v>0.35087719298245612</v>
      </c>
      <c r="D1185" s="121">
        <v>200000000</v>
      </c>
      <c r="E1185" s="241">
        <v>0.34</v>
      </c>
      <c r="F1185" s="123">
        <v>0.89264166666666656</v>
      </c>
      <c r="G1185" s="46">
        <v>13380000000.000002</v>
      </c>
      <c r="H1185" s="46">
        <v>6106995000</v>
      </c>
      <c r="I1185" s="56">
        <v>2.1909302365566048</v>
      </c>
      <c r="J1185" s="125">
        <v>0</v>
      </c>
    </row>
    <row r="1186" spans="1:10">
      <c r="A1186" s="55">
        <v>2049</v>
      </c>
      <c r="B1186" s="114">
        <v>2.21</v>
      </c>
      <c r="C1186" s="122">
        <v>0.8447265625</v>
      </c>
      <c r="D1186" s="116">
        <v>269683257.91855204</v>
      </c>
      <c r="E1186" s="241">
        <v>0.34</v>
      </c>
      <c r="F1186" s="122">
        <v>-1.5491666666666667E-2</v>
      </c>
      <c r="G1186" s="116">
        <v>32901357466.063351</v>
      </c>
      <c r="H1186" s="116">
        <v>14894398000</v>
      </c>
      <c r="I1186" s="114">
        <v>2.2089753117959754</v>
      </c>
      <c r="J1186" s="116">
        <v>16.337718724661944</v>
      </c>
    </row>
    <row r="1187" spans="1:10">
      <c r="A1187" s="55">
        <v>1340</v>
      </c>
      <c r="B1187" s="114">
        <v>2.2999999999999998</v>
      </c>
      <c r="C1187" s="122">
        <v>0.85390946502057619</v>
      </c>
      <c r="D1187" s="116">
        <v>114782608.69565219</v>
      </c>
      <c r="E1187" s="241">
        <v>0.33</v>
      </c>
      <c r="F1187" s="122">
        <v>4.9149999999999992E-2</v>
      </c>
      <c r="G1187" s="116">
        <v>7082086956.52174</v>
      </c>
      <c r="H1187" s="116">
        <v>3198019000</v>
      </c>
      <c r="I1187" s="114">
        <v>2.2145231021209506</v>
      </c>
      <c r="J1187" s="116">
        <v>7.8539025667888955</v>
      </c>
    </row>
    <row r="1188" spans="1:10">
      <c r="A1188" s="55">
        <v>5310</v>
      </c>
      <c r="B1188" s="45">
        <v>-0.04</v>
      </c>
      <c r="C1188" s="123">
        <v>0.66666666666666663</v>
      </c>
      <c r="D1188" s="121">
        <v>50000000</v>
      </c>
      <c r="E1188" s="241">
        <v>0.28999999999999998</v>
      </c>
      <c r="F1188" s="123">
        <v>1.2771416666666668</v>
      </c>
      <c r="G1188" s="46">
        <v>1380000000</v>
      </c>
      <c r="H1188" s="46">
        <v>622847000</v>
      </c>
      <c r="I1188" s="56">
        <v>2.2156324105277863</v>
      </c>
      <c r="J1188" s="125">
        <v>0</v>
      </c>
    </row>
    <row r="1189" spans="1:10">
      <c r="A1189" s="55">
        <v>1446</v>
      </c>
      <c r="B1189" s="114">
        <v>-0.01</v>
      </c>
      <c r="C1189" s="122">
        <v>1</v>
      </c>
      <c r="D1189" s="116">
        <v>100000000</v>
      </c>
      <c r="E1189" s="241">
        <v>0.13</v>
      </c>
      <c r="F1189" s="122">
        <v>0.10641666666666666</v>
      </c>
      <c r="G1189" s="116">
        <v>1920000000</v>
      </c>
      <c r="H1189" s="116">
        <v>865864000</v>
      </c>
      <c r="I1189" s="114">
        <v>2.217438304398843</v>
      </c>
      <c r="J1189" s="116">
        <v>0</v>
      </c>
    </row>
    <row r="1190" spans="1:10">
      <c r="A1190" s="55">
        <v>3169</v>
      </c>
      <c r="B1190" s="114">
        <v>0.42</v>
      </c>
      <c r="C1190" s="122">
        <v>0.84615384615384615</v>
      </c>
      <c r="D1190" s="116">
        <v>52380952.380952381</v>
      </c>
      <c r="E1190" s="241">
        <v>0.39</v>
      </c>
      <c r="F1190" s="122">
        <v>4.3308333333333331E-2</v>
      </c>
      <c r="G1190" s="116">
        <v>1388095238.095238</v>
      </c>
      <c r="H1190" s="116">
        <v>625416000</v>
      </c>
      <c r="I1190" s="114">
        <v>2.2194750983269342</v>
      </c>
      <c r="J1190" s="116">
        <v>18.641774891774894</v>
      </c>
    </row>
    <row r="1191" spans="1:10">
      <c r="A1191" s="55">
        <v>2474</v>
      </c>
      <c r="B1191" s="114">
        <v>10.58</v>
      </c>
      <c r="C1191" s="122">
        <v>0.70091784195209317</v>
      </c>
      <c r="D1191" s="116">
        <v>770699432.89224946</v>
      </c>
      <c r="E1191" s="241">
        <v>0.47</v>
      </c>
      <c r="F1191" s="122">
        <v>2.6458333333333323E-2</v>
      </c>
      <c r="G1191" s="116">
        <v>183041115311.90924</v>
      </c>
      <c r="H1191" s="116">
        <v>82416213000</v>
      </c>
      <c r="I1191" s="114">
        <v>2.2209357679648449</v>
      </c>
      <c r="J1191" s="116">
        <v>8.0066499164703941</v>
      </c>
    </row>
    <row r="1192" spans="1:10">
      <c r="A1192" s="55">
        <v>3118</v>
      </c>
      <c r="B1192" s="114">
        <v>0.62</v>
      </c>
      <c r="C1192" s="122">
        <v>0.85365853658536583</v>
      </c>
      <c r="D1192" s="116">
        <v>32258064.516129032</v>
      </c>
      <c r="E1192" s="241">
        <v>0.38</v>
      </c>
      <c r="F1192" s="122">
        <v>1.2275000000000008E-2</v>
      </c>
      <c r="G1192" s="116">
        <v>1158064516.1290321</v>
      </c>
      <c r="H1192" s="116">
        <v>519964000</v>
      </c>
      <c r="I1192" s="114">
        <v>2.2272013372637955</v>
      </c>
      <c r="J1192" s="116">
        <v>16.957373271889399</v>
      </c>
    </row>
    <row r="1193" spans="1:10">
      <c r="A1193" s="55">
        <v>9940</v>
      </c>
      <c r="B1193" s="45">
        <v>0.17</v>
      </c>
      <c r="C1193" s="123">
        <v>0.51704545454545459</v>
      </c>
      <c r="D1193" s="121">
        <v>647058823.52941167</v>
      </c>
      <c r="E1193" s="241">
        <v>0.19</v>
      </c>
      <c r="F1193" s="123">
        <v>2.8991666666666648E-2</v>
      </c>
      <c r="G1193" s="46">
        <v>16888235294.117645</v>
      </c>
      <c r="H1193" s="46">
        <v>7534798000</v>
      </c>
      <c r="I1193" s="56">
        <v>2.2413653682710066</v>
      </c>
      <c r="J1193" s="125">
        <v>50</v>
      </c>
    </row>
    <row r="1194" spans="1:10">
      <c r="A1194" s="55">
        <v>3054</v>
      </c>
      <c r="B1194" s="114">
        <v>-0.19</v>
      </c>
      <c r="C1194" s="122">
        <v>1</v>
      </c>
      <c r="D1194" s="116">
        <v>105263157.89473684</v>
      </c>
      <c r="E1194" s="241">
        <v>-0.03</v>
      </c>
      <c r="F1194" s="122">
        <v>-0.12180000000000001</v>
      </c>
      <c r="G1194" s="116">
        <v>1873684210.5263159</v>
      </c>
      <c r="H1194" s="116">
        <v>834809000</v>
      </c>
      <c r="I1194" s="114">
        <v>2.2444465866159997</v>
      </c>
      <c r="J1194" s="116">
        <v>0</v>
      </c>
    </row>
    <row r="1195" spans="1:10">
      <c r="A1195" s="55">
        <v>5489</v>
      </c>
      <c r="B1195" s="45">
        <v>1.7</v>
      </c>
      <c r="C1195" s="123">
        <v>0.7076271186440678</v>
      </c>
      <c r="D1195" s="121">
        <v>100000000</v>
      </c>
      <c r="E1195" s="241">
        <v>0.38</v>
      </c>
      <c r="F1195" s="123">
        <v>-7.4916666666666673E-3</v>
      </c>
      <c r="G1195" s="46">
        <v>5200000000</v>
      </c>
      <c r="H1195" s="46">
        <v>2306679000</v>
      </c>
      <c r="I1195" s="56">
        <v>2.2543232066533747</v>
      </c>
      <c r="J1195" s="125">
        <v>10.806622050017612</v>
      </c>
    </row>
    <row r="1196" spans="1:10">
      <c r="A1196" s="55">
        <v>1733</v>
      </c>
      <c r="B1196" s="114">
        <v>1.1100000000000001</v>
      </c>
      <c r="C1196" s="122">
        <v>0.73333333333333328</v>
      </c>
      <c r="D1196" s="116">
        <v>98198198.198198184</v>
      </c>
      <c r="E1196" s="241">
        <v>0.3</v>
      </c>
      <c r="F1196" s="122">
        <v>-5.7916666666666681E-3</v>
      </c>
      <c r="G1196" s="116">
        <v>4173423423.4234228</v>
      </c>
      <c r="H1196" s="116">
        <v>1847454000</v>
      </c>
      <c r="I1196" s="114">
        <v>2.259013444136321</v>
      </c>
      <c r="J1196" s="116">
        <v>13.052825552825553</v>
      </c>
    </row>
    <row r="1197" spans="1:10">
      <c r="A1197" s="55">
        <v>3289</v>
      </c>
      <c r="B1197" s="114">
        <v>2.0099999999999998</v>
      </c>
      <c r="C1197" s="122">
        <v>0</v>
      </c>
      <c r="D1197" s="116">
        <v>46766169.154228859</v>
      </c>
      <c r="E1197" s="241">
        <v>0.37</v>
      </c>
      <c r="F1197" s="122">
        <v>1.4516666666666666E-2</v>
      </c>
      <c r="G1197" s="116">
        <v>4564378109.4527359</v>
      </c>
      <c r="H1197" s="116">
        <v>2019997000</v>
      </c>
      <c r="I1197" s="114">
        <v>2.2595964793278087</v>
      </c>
      <c r="J1197" s="116">
        <v>0</v>
      </c>
    </row>
    <row r="1198" spans="1:10">
      <c r="A1198" s="55">
        <v>6286</v>
      </c>
      <c r="B1198" s="45">
        <v>2.93</v>
      </c>
      <c r="C1198" s="123">
        <v>0.9085213032581454</v>
      </c>
      <c r="D1198" s="121">
        <v>148464163.82252559</v>
      </c>
      <c r="E1198" s="241">
        <v>0.38</v>
      </c>
      <c r="F1198" s="123">
        <v>-1.9500000000000003E-3</v>
      </c>
      <c r="G1198" s="46">
        <v>28505119453.924911</v>
      </c>
      <c r="H1198" s="46">
        <v>12602156000</v>
      </c>
      <c r="I1198" s="56">
        <v>2.2619240274382344</v>
      </c>
      <c r="J1198" s="125">
        <v>18.031775920913262</v>
      </c>
    </row>
    <row r="1199" spans="1:10">
      <c r="A1199" s="55">
        <v>3002</v>
      </c>
      <c r="B1199" s="114">
        <v>0.05</v>
      </c>
      <c r="C1199" s="122">
        <v>0.3125</v>
      </c>
      <c r="D1199" s="116">
        <v>100000000</v>
      </c>
      <c r="E1199" s="241">
        <v>0.3</v>
      </c>
      <c r="F1199" s="122">
        <v>3.5300000000000005E-2</v>
      </c>
      <c r="G1199" s="116">
        <v>1055000000.0000001</v>
      </c>
      <c r="H1199" s="116">
        <v>466127000</v>
      </c>
      <c r="I1199" s="114">
        <v>2.2633316671207635</v>
      </c>
      <c r="J1199" s="116">
        <v>50</v>
      </c>
    </row>
    <row r="1200" spans="1:10">
      <c r="A1200" s="55">
        <v>6243</v>
      </c>
      <c r="B1200" s="45">
        <v>-0.03</v>
      </c>
      <c r="C1200" s="123">
        <v>1</v>
      </c>
      <c r="D1200" s="121">
        <v>66666666.666666672</v>
      </c>
      <c r="E1200" s="241">
        <v>0.28000000000000003</v>
      </c>
      <c r="F1200" s="123">
        <v>1.7916666666666661E-2</v>
      </c>
      <c r="G1200" s="46">
        <v>1076666666.6666667</v>
      </c>
      <c r="H1200" s="46">
        <v>473056000</v>
      </c>
      <c r="I1200" s="56">
        <v>2.2759814200996642</v>
      </c>
      <c r="J1200" s="125">
        <v>0</v>
      </c>
    </row>
    <row r="1201" spans="1:10">
      <c r="A1201" s="55">
        <v>3030</v>
      </c>
      <c r="B1201" s="114">
        <v>1.81</v>
      </c>
      <c r="C1201" s="122">
        <v>0.84626647144948752</v>
      </c>
      <c r="D1201" s="116">
        <v>236464088.39779004</v>
      </c>
      <c r="E1201" s="241">
        <v>0.51</v>
      </c>
      <c r="F1201" s="122">
        <v>0.10821666666666667</v>
      </c>
      <c r="G1201" s="116">
        <v>10404419889.502762</v>
      </c>
      <c r="H1201" s="116">
        <v>4552689000</v>
      </c>
      <c r="I1201" s="114">
        <v>2.2853350820806697</v>
      </c>
      <c r="J1201" s="116">
        <v>7.1813645835324706</v>
      </c>
    </row>
    <row r="1202" spans="1:10">
      <c r="A1202" s="55">
        <v>8435</v>
      </c>
      <c r="B1202" s="45">
        <v>0.96</v>
      </c>
      <c r="C1202" s="123">
        <v>0.90740740740740744</v>
      </c>
      <c r="D1202" s="121">
        <v>31250000</v>
      </c>
      <c r="E1202" s="241">
        <v>0.55000000000000004</v>
      </c>
      <c r="F1202" s="123">
        <v>2.318333333333333E-2</v>
      </c>
      <c r="G1202" s="46">
        <v>1462500000</v>
      </c>
      <c r="H1202" s="46">
        <v>635881000</v>
      </c>
      <c r="I1202" s="56">
        <v>2.2999586400600114</v>
      </c>
      <c r="J1202" s="125">
        <v>13.431122448979592</v>
      </c>
    </row>
    <row r="1203" spans="1:10">
      <c r="A1203" s="55">
        <v>4139</v>
      </c>
      <c r="B1203" s="45">
        <v>-0.42</v>
      </c>
      <c r="C1203" s="123">
        <v>0.6</v>
      </c>
      <c r="D1203" s="121">
        <v>35714285.714285716</v>
      </c>
      <c r="E1203" s="241">
        <v>0.15</v>
      </c>
      <c r="F1203" s="123">
        <v>4.4133333333333337E-2</v>
      </c>
      <c r="G1203" s="46">
        <v>2214285714.2857146</v>
      </c>
      <c r="H1203" s="46">
        <v>962671000</v>
      </c>
      <c r="I1203" s="56">
        <v>2.3001479366114848</v>
      </c>
      <c r="J1203" s="125">
        <v>0</v>
      </c>
    </row>
    <row r="1204" spans="1:10">
      <c r="A1204" s="55">
        <v>8107</v>
      </c>
      <c r="B1204" s="45">
        <v>0.31</v>
      </c>
      <c r="C1204" s="123">
        <v>0</v>
      </c>
      <c r="D1204" s="121">
        <v>116129032.25806452</v>
      </c>
      <c r="E1204" s="241">
        <v>0.18</v>
      </c>
      <c r="F1204" s="123">
        <v>2.4499999999999986E-3</v>
      </c>
      <c r="G1204" s="46">
        <v>2200645161.2903228</v>
      </c>
      <c r="H1204" s="46">
        <v>953772000</v>
      </c>
      <c r="I1204" s="56">
        <v>2.3073073662157442</v>
      </c>
      <c r="J1204" s="125">
        <v>0</v>
      </c>
    </row>
    <row r="1205" spans="1:10">
      <c r="A1205" s="55">
        <v>4904</v>
      </c>
      <c r="B1205" s="45">
        <v>0.99</v>
      </c>
      <c r="C1205" s="123">
        <v>1</v>
      </c>
      <c r="D1205" s="121">
        <v>3247474747.4747477</v>
      </c>
      <c r="E1205" s="241">
        <v>0.43</v>
      </c>
      <c r="F1205" s="123">
        <v>-3.0666666666666676E-3</v>
      </c>
      <c r="G1205" s="46">
        <v>225374747474.7475</v>
      </c>
      <c r="H1205" s="46">
        <v>97293218000</v>
      </c>
      <c r="I1205" s="56">
        <v>2.3164486909534383</v>
      </c>
      <c r="J1205" s="125">
        <v>17.525252525252526</v>
      </c>
    </row>
    <row r="1206" spans="1:10">
      <c r="A1206" s="55">
        <v>3141</v>
      </c>
      <c r="B1206" s="114">
        <v>0.28999999999999998</v>
      </c>
      <c r="C1206" s="122">
        <v>0.625</v>
      </c>
      <c r="D1206" s="116">
        <v>103448275.86206897</v>
      </c>
      <c r="E1206" s="241">
        <v>0.42</v>
      </c>
      <c r="F1206" s="122">
        <v>4.5216666666666676E-2</v>
      </c>
      <c r="G1206" s="116">
        <v>2570689655.1724138</v>
      </c>
      <c r="H1206" s="116">
        <v>1109567000</v>
      </c>
      <c r="I1206" s="114">
        <v>2.3168404027628919</v>
      </c>
      <c r="J1206" s="116">
        <v>34.275862068965523</v>
      </c>
    </row>
    <row r="1207" spans="1:10">
      <c r="A1207" s="55">
        <v>3491</v>
      </c>
      <c r="B1207" s="114">
        <v>1.49</v>
      </c>
      <c r="C1207" s="122">
        <v>0.78014184397163122</v>
      </c>
      <c r="D1207" s="116">
        <v>51677852.348993286</v>
      </c>
      <c r="E1207" s="241">
        <v>0.42</v>
      </c>
      <c r="F1207" s="122">
        <v>1.89E-2</v>
      </c>
      <c r="G1207" s="116">
        <v>3286711409.3959732</v>
      </c>
      <c r="H1207" s="116">
        <v>1418609000</v>
      </c>
      <c r="I1207" s="114">
        <v>2.3168550385595843</v>
      </c>
      <c r="J1207" s="116">
        <v>13.678462477120195</v>
      </c>
    </row>
    <row r="1208" spans="1:10">
      <c r="A1208" s="55">
        <v>2436</v>
      </c>
      <c r="B1208" s="114">
        <v>0.26</v>
      </c>
      <c r="C1208" s="122">
        <v>0</v>
      </c>
      <c r="D1208" s="116">
        <v>219230769.23076922</v>
      </c>
      <c r="E1208" s="241">
        <v>0.23</v>
      </c>
      <c r="F1208" s="122">
        <v>9.7333333333333334E-3</v>
      </c>
      <c r="G1208" s="116">
        <v>4132500000</v>
      </c>
      <c r="H1208" s="116">
        <v>1779083000</v>
      </c>
      <c r="I1208" s="114">
        <v>2.3228258602886993</v>
      </c>
      <c r="J1208" s="116">
        <v>0</v>
      </c>
    </row>
    <row r="1209" spans="1:10">
      <c r="A1209" s="55">
        <v>3687</v>
      </c>
      <c r="B1209" s="114">
        <v>-1</v>
      </c>
      <c r="C1209" s="122">
        <v>1</v>
      </c>
      <c r="D1209" s="116">
        <v>30000000</v>
      </c>
      <c r="E1209" s="241">
        <v>0.3</v>
      </c>
      <c r="F1209" s="122">
        <v>0.12474999999999999</v>
      </c>
      <c r="G1209" s="116">
        <v>1815000000</v>
      </c>
      <c r="H1209" s="116">
        <v>780484000</v>
      </c>
      <c r="I1209" s="114">
        <v>2.3254800867154226</v>
      </c>
      <c r="J1209" s="116">
        <v>0</v>
      </c>
    </row>
    <row r="1210" spans="1:10">
      <c r="A1210" s="55">
        <v>4746</v>
      </c>
      <c r="B1210" s="45">
        <v>1.34</v>
      </c>
      <c r="C1210" s="123">
        <v>0.74045801526717558</v>
      </c>
      <c r="D1210" s="121">
        <v>85074626.865671635</v>
      </c>
      <c r="E1210" s="241">
        <v>0.28000000000000003</v>
      </c>
      <c r="F1210" s="123">
        <v>7.7516666666666664E-2</v>
      </c>
      <c r="G1210" s="46">
        <v>6040298507.4626865</v>
      </c>
      <c r="H1210" s="46">
        <v>2596723000</v>
      </c>
      <c r="I1210" s="56">
        <v>2.3261235439677956</v>
      </c>
      <c r="J1210" s="125">
        <v>17.889290660101551</v>
      </c>
    </row>
    <row r="1211" spans="1:10">
      <c r="A1211" s="55">
        <v>4114</v>
      </c>
      <c r="B1211" s="45">
        <v>0.1</v>
      </c>
      <c r="C1211" s="123">
        <v>1</v>
      </c>
      <c r="D1211" s="121">
        <v>130000000</v>
      </c>
      <c r="E1211" s="241">
        <v>0.45</v>
      </c>
      <c r="F1211" s="123">
        <v>1.4333333333333335E-2</v>
      </c>
      <c r="G1211" s="46">
        <v>4134000000</v>
      </c>
      <c r="H1211" s="46">
        <v>1775470000</v>
      </c>
      <c r="I1211" s="56">
        <v>2.3283975510709842</v>
      </c>
      <c r="J1211" s="125">
        <v>50</v>
      </c>
    </row>
    <row r="1212" spans="1:10">
      <c r="A1212" s="55">
        <v>4401</v>
      </c>
      <c r="B1212" s="45">
        <v>1.1200000000000001</v>
      </c>
      <c r="C1212" s="123">
        <v>1</v>
      </c>
      <c r="D1212" s="121">
        <v>119642857.14285713</v>
      </c>
      <c r="E1212" s="241">
        <v>0.21</v>
      </c>
      <c r="F1212" s="123">
        <v>1.548333333333333E-2</v>
      </c>
      <c r="G1212" s="46">
        <v>10827678571.42857</v>
      </c>
      <c r="H1212" s="46">
        <v>4648508000</v>
      </c>
      <c r="I1212" s="56">
        <v>2.3292803995235825</v>
      </c>
      <c r="J1212" s="125">
        <v>20.200892857142854</v>
      </c>
    </row>
    <row r="1213" spans="1:10">
      <c r="A1213" s="55">
        <v>3045</v>
      </c>
      <c r="B1213" s="114">
        <v>1.53</v>
      </c>
      <c r="C1213" s="122">
        <v>1</v>
      </c>
      <c r="D1213" s="116">
        <v>2718300653.5947714</v>
      </c>
      <c r="E1213" s="241">
        <v>0.34</v>
      </c>
      <c r="F1213" s="122">
        <v>1.575E-3</v>
      </c>
      <c r="G1213" s="116">
        <v>270742745098.03922</v>
      </c>
      <c r="H1213" s="116">
        <v>116144205000</v>
      </c>
      <c r="I1213" s="114">
        <v>2.3310912937760366</v>
      </c>
      <c r="J1213" s="116">
        <v>16.274509803921568</v>
      </c>
    </row>
    <row r="1214" spans="1:10">
      <c r="A1214" s="55">
        <v>1737</v>
      </c>
      <c r="B1214" s="114">
        <v>0.6</v>
      </c>
      <c r="C1214" s="122">
        <v>0.80319148936170215</v>
      </c>
      <c r="D1214" s="116">
        <v>200000000</v>
      </c>
      <c r="E1214" s="241">
        <v>0.37</v>
      </c>
      <c r="F1214" s="122">
        <v>4.1666666666666702E-4</v>
      </c>
      <c r="G1214" s="116">
        <v>6440000000.000001</v>
      </c>
      <c r="H1214" s="116">
        <v>2761204000</v>
      </c>
      <c r="I1214" s="114">
        <v>2.3323159027728488</v>
      </c>
      <c r="J1214" s="116">
        <v>16.704194260485654</v>
      </c>
    </row>
    <row r="1215" spans="1:10">
      <c r="A1215" s="55">
        <v>6165</v>
      </c>
      <c r="B1215" s="45">
        <v>0.44</v>
      </c>
      <c r="C1215" s="123">
        <v>0.5714285714285714</v>
      </c>
      <c r="D1215" s="121">
        <v>50000000</v>
      </c>
      <c r="E1215" s="241">
        <v>-7.0000000000000007E-2</v>
      </c>
      <c r="F1215" s="123">
        <v>-3.7991666666666667E-2</v>
      </c>
      <c r="G1215" s="46">
        <v>507500000</v>
      </c>
      <c r="H1215" s="46">
        <v>216838000</v>
      </c>
      <c r="I1215" s="56">
        <v>2.3404569309807322</v>
      </c>
      <c r="J1215" s="125">
        <v>10.092329545454547</v>
      </c>
    </row>
    <row r="1216" spans="1:10">
      <c r="A1216" s="55">
        <v>3532</v>
      </c>
      <c r="B1216" s="114">
        <v>0.53</v>
      </c>
      <c r="C1216" s="122">
        <v>0.93565683646112596</v>
      </c>
      <c r="D1216" s="116">
        <v>781132075.47169805</v>
      </c>
      <c r="E1216" s="241">
        <v>0.22</v>
      </c>
      <c r="F1216" s="122">
        <v>-2.2183333333333333E-2</v>
      </c>
      <c r="G1216" s="116">
        <v>24605660377.35849</v>
      </c>
      <c r="H1216" s="116">
        <v>10487897000</v>
      </c>
      <c r="I1216" s="114">
        <v>2.3461004982560842</v>
      </c>
      <c r="J1216" s="116">
        <v>15.880277882899929</v>
      </c>
    </row>
    <row r="1217" spans="1:10">
      <c r="A1217" s="55">
        <v>6294</v>
      </c>
      <c r="B1217" s="45">
        <v>1.06</v>
      </c>
      <c r="C1217" s="123">
        <v>1</v>
      </c>
      <c r="D1217" s="121">
        <v>16981132.075471696</v>
      </c>
      <c r="E1217" s="241">
        <v>0.28000000000000003</v>
      </c>
      <c r="F1217" s="123">
        <v>1.1325E-2</v>
      </c>
      <c r="G1217" s="46">
        <v>1613207547.169811</v>
      </c>
      <c r="H1217" s="46">
        <v>685818000</v>
      </c>
      <c r="I1217" s="56">
        <v>2.3522385635399057</v>
      </c>
      <c r="J1217" s="125">
        <v>22.40566037735849</v>
      </c>
    </row>
    <row r="1218" spans="1:10">
      <c r="A1218" s="55">
        <v>2926</v>
      </c>
      <c r="B1218" s="114">
        <v>2.1800000000000002</v>
      </c>
      <c r="C1218" s="122">
        <v>0.74251497005988021</v>
      </c>
      <c r="D1218" s="116">
        <v>44954128.440366969</v>
      </c>
      <c r="E1218" s="241">
        <v>0.44</v>
      </c>
      <c r="F1218" s="122">
        <v>3.2349999999999997E-2</v>
      </c>
      <c r="G1218" s="116">
        <v>8990825688.0733929</v>
      </c>
      <c r="H1218" s="116">
        <v>3820787000</v>
      </c>
      <c r="I1218" s="114">
        <v>2.3531344950852775</v>
      </c>
      <c r="J1218" s="116">
        <v>30.889316365788694</v>
      </c>
    </row>
    <row r="1219" spans="1:10">
      <c r="A1219" s="55">
        <v>6241</v>
      </c>
      <c r="B1219" s="45">
        <v>0.12</v>
      </c>
      <c r="C1219" s="123">
        <v>1</v>
      </c>
      <c r="D1219" s="121">
        <v>25000000</v>
      </c>
      <c r="E1219" s="241">
        <v>0.24</v>
      </c>
      <c r="F1219" s="123">
        <v>0.29755000000000004</v>
      </c>
      <c r="G1219" s="46">
        <v>320000000</v>
      </c>
      <c r="H1219" s="46">
        <v>135681000</v>
      </c>
      <c r="I1219" s="56">
        <v>2.3584731834228818</v>
      </c>
      <c r="J1219" s="125">
        <v>26.666666666666668</v>
      </c>
    </row>
    <row r="1220" spans="1:10">
      <c r="A1220" s="55">
        <v>6187</v>
      </c>
      <c r="B1220" s="45">
        <v>0.74</v>
      </c>
      <c r="C1220" s="123">
        <v>0.84269662921348309</v>
      </c>
      <c r="D1220" s="121">
        <v>85135135.135135129</v>
      </c>
      <c r="E1220" s="241">
        <v>0.42</v>
      </c>
      <c r="F1220" s="123">
        <v>-1.0575000000000006E-2</v>
      </c>
      <c r="G1220" s="46">
        <v>3562905405.405405</v>
      </c>
      <c r="H1220" s="46">
        <v>1507081000</v>
      </c>
      <c r="I1220" s="56">
        <v>2.3641100945505951</v>
      </c>
      <c r="J1220" s="125">
        <v>16.777702702702705</v>
      </c>
    </row>
    <row r="1221" spans="1:10">
      <c r="A1221" s="55">
        <v>4160</v>
      </c>
      <c r="B1221" s="45">
        <v>-0.13</v>
      </c>
      <c r="C1221" s="123">
        <v>0</v>
      </c>
      <c r="D1221" s="121">
        <v>23076923.076923076</v>
      </c>
      <c r="E1221" s="241">
        <v>0.26</v>
      </c>
      <c r="F1221" s="123">
        <v>4.1133333333333334E-2</v>
      </c>
      <c r="G1221" s="46">
        <v>641538461.53846157</v>
      </c>
      <c r="H1221" s="46">
        <v>270823000</v>
      </c>
      <c r="I1221" s="56">
        <v>2.3688477771033538</v>
      </c>
      <c r="J1221" s="125">
        <v>0</v>
      </c>
    </row>
    <row r="1222" spans="1:10">
      <c r="A1222" s="55">
        <v>8086</v>
      </c>
      <c r="B1222" s="45">
        <v>2.25</v>
      </c>
      <c r="C1222" s="123">
        <v>0.94991364421416236</v>
      </c>
      <c r="D1222" s="121">
        <v>139555555.55555555</v>
      </c>
      <c r="E1222" s="241">
        <v>0.33</v>
      </c>
      <c r="F1222" s="123">
        <v>-2.0833333333333342E-3</v>
      </c>
      <c r="G1222" s="46">
        <v>10466666666.666666</v>
      </c>
      <c r="H1222" s="46">
        <v>4401686000</v>
      </c>
      <c r="I1222" s="56">
        <v>2.3778767196630262</v>
      </c>
      <c r="J1222" s="125">
        <v>8.7727272727272734</v>
      </c>
    </row>
    <row r="1223" spans="1:10">
      <c r="A1223" s="55">
        <v>6155</v>
      </c>
      <c r="B1223" s="45">
        <v>0.76</v>
      </c>
      <c r="C1223" s="123">
        <v>0.23170731707317074</v>
      </c>
      <c r="D1223" s="121">
        <v>85526315.789473683</v>
      </c>
      <c r="E1223" s="241">
        <v>0.28000000000000003</v>
      </c>
      <c r="F1223" s="123">
        <v>5.4916666666666655E-3</v>
      </c>
      <c r="G1223" s="46">
        <v>1505263157.894737</v>
      </c>
      <c r="H1223" s="46">
        <v>632329000</v>
      </c>
      <c r="I1223" s="56">
        <v>2.3805062837458619</v>
      </c>
      <c r="J1223" s="125">
        <v>24.986149584487535</v>
      </c>
    </row>
    <row r="1224" spans="1:10">
      <c r="A1224" s="55">
        <v>1722</v>
      </c>
      <c r="B1224" s="114">
        <v>1.17</v>
      </c>
      <c r="C1224" s="122">
        <v>0.75370226032735776</v>
      </c>
      <c r="D1224" s="116">
        <v>982051282.05128217</v>
      </c>
      <c r="E1224" s="241">
        <v>0.24</v>
      </c>
      <c r="F1224" s="122">
        <v>6.5508333333333321E-2</v>
      </c>
      <c r="G1224" s="116">
        <v>41638974358.974365</v>
      </c>
      <c r="H1224" s="116">
        <v>17423087000</v>
      </c>
      <c r="I1224" s="114">
        <v>2.3898735257979467</v>
      </c>
      <c r="J1224" s="116">
        <v>12.020435040083438</v>
      </c>
    </row>
    <row r="1225" spans="1:10">
      <c r="A1225" s="55">
        <v>3587</v>
      </c>
      <c r="B1225" s="114">
        <v>1.33</v>
      </c>
      <c r="C1225" s="122">
        <v>0.93877551020408168</v>
      </c>
      <c r="D1225" s="116">
        <v>45864661.654135339</v>
      </c>
      <c r="E1225" s="241">
        <v>0.38</v>
      </c>
      <c r="F1225" s="122">
        <v>5.6083333333333318E-2</v>
      </c>
      <c r="G1225" s="116">
        <v>2692255639.0977445</v>
      </c>
      <c r="H1225" s="116">
        <v>1119900000</v>
      </c>
      <c r="I1225" s="114">
        <v>2.4040143219017271</v>
      </c>
      <c r="J1225" s="116">
        <v>11.753432494279176</v>
      </c>
    </row>
    <row r="1226" spans="1:10">
      <c r="A1226" s="55">
        <v>1227</v>
      </c>
      <c r="B1226" s="114">
        <v>1.08</v>
      </c>
      <c r="C1226" s="122">
        <v>0.91809991809991809</v>
      </c>
      <c r="D1226" s="116">
        <v>783333333.33333325</v>
      </c>
      <c r="E1226" s="241">
        <v>0.32</v>
      </c>
      <c r="F1226" s="122">
        <v>4.9891666666666674E-2</v>
      </c>
      <c r="G1226" s="116">
        <v>61805000000</v>
      </c>
      <c r="H1226" s="116">
        <v>25519561000</v>
      </c>
      <c r="I1226" s="114">
        <v>2.4218676802473209</v>
      </c>
      <c r="J1226" s="116">
        <v>19.893138566755873</v>
      </c>
    </row>
    <row r="1227" spans="1:10">
      <c r="A1227" s="55">
        <v>1732</v>
      </c>
      <c r="B1227" s="114">
        <v>0.01</v>
      </c>
      <c r="C1227" s="122">
        <v>1</v>
      </c>
      <c r="D1227" s="116">
        <v>100000000</v>
      </c>
      <c r="E1227" s="241">
        <v>0.42</v>
      </c>
      <c r="F1227" s="122">
        <v>2.1066666666666668E-2</v>
      </c>
      <c r="G1227" s="116">
        <v>1455000000</v>
      </c>
      <c r="H1227" s="116">
        <v>597405000</v>
      </c>
      <c r="I1227" s="114">
        <v>2.4355336831797523</v>
      </c>
      <c r="J1227" s="116">
        <v>50</v>
      </c>
    </row>
    <row r="1228" spans="1:10">
      <c r="A1228" s="55">
        <v>5211</v>
      </c>
      <c r="B1228" s="45">
        <v>0.19</v>
      </c>
      <c r="C1228" s="123">
        <v>0.5</v>
      </c>
      <c r="D1228" s="121">
        <v>31578947.368421052</v>
      </c>
      <c r="E1228" s="241">
        <v>0.67</v>
      </c>
      <c r="F1228" s="123">
        <v>3.2166666666666676E-3</v>
      </c>
      <c r="G1228" s="46">
        <v>650526315.78947365</v>
      </c>
      <c r="H1228" s="46">
        <v>265479000</v>
      </c>
      <c r="I1228" s="56">
        <v>2.4503870957381699</v>
      </c>
      <c r="J1228" s="125">
        <v>50</v>
      </c>
    </row>
    <row r="1229" spans="1:10">
      <c r="A1229" s="55">
        <v>3376</v>
      </c>
      <c r="B1229" s="114">
        <v>2.73</v>
      </c>
      <c r="C1229" s="122">
        <v>0.8584070796460177</v>
      </c>
      <c r="D1229" s="116">
        <v>178754578.75457877</v>
      </c>
      <c r="E1229" s="241">
        <v>0.35</v>
      </c>
      <c r="F1229" s="122">
        <v>1.0758333333333333E-2</v>
      </c>
      <c r="G1229" s="116">
        <v>20735531135.531136</v>
      </c>
      <c r="H1229" s="116">
        <v>8453905000</v>
      </c>
      <c r="I1229" s="114">
        <v>2.4527755085408618</v>
      </c>
      <c r="J1229" s="116">
        <v>12.374910313054643</v>
      </c>
    </row>
    <row r="1230" spans="1:10">
      <c r="A1230" s="55">
        <v>2923</v>
      </c>
      <c r="B1230" s="114">
        <v>0.45</v>
      </c>
      <c r="C1230" s="122">
        <v>1</v>
      </c>
      <c r="D1230" s="116">
        <v>1722222222.2222221</v>
      </c>
      <c r="E1230" s="241">
        <v>0.43</v>
      </c>
      <c r="F1230" s="122">
        <v>0.15485833333333332</v>
      </c>
      <c r="G1230" s="116">
        <v>31602777777.777779</v>
      </c>
      <c r="H1230" s="116">
        <v>12854152000</v>
      </c>
      <c r="I1230" s="114">
        <v>2.458565744187386</v>
      </c>
      <c r="J1230" s="116">
        <v>10.194444444444445</v>
      </c>
    </row>
    <row r="1231" spans="1:10">
      <c r="A1231" s="55">
        <v>9938</v>
      </c>
      <c r="B1231" s="45">
        <v>1</v>
      </c>
      <c r="C1231" s="123">
        <v>0.93642611683848798</v>
      </c>
      <c r="D1231" s="121">
        <v>297000000</v>
      </c>
      <c r="E1231" s="241">
        <v>0.37</v>
      </c>
      <c r="F1231" s="123">
        <v>4.3291666666666652E-2</v>
      </c>
      <c r="G1231" s="46">
        <v>23344200000</v>
      </c>
      <c r="H1231" s="46">
        <v>9455833000</v>
      </c>
      <c r="I1231" s="56">
        <v>2.4687618742843704</v>
      </c>
      <c r="J1231" s="125">
        <v>20.984036697247706</v>
      </c>
    </row>
    <row r="1232" spans="1:10">
      <c r="A1232" s="55">
        <v>6124</v>
      </c>
      <c r="B1232" s="45">
        <v>-0.09</v>
      </c>
      <c r="C1232" s="123">
        <v>1</v>
      </c>
      <c r="D1232" s="121">
        <v>177777777.77777779</v>
      </c>
      <c r="E1232" s="241">
        <v>0.13</v>
      </c>
      <c r="F1232" s="123">
        <v>2.8916666666666674E-2</v>
      </c>
      <c r="G1232" s="46">
        <v>4408888888.8888893</v>
      </c>
      <c r="H1232" s="46">
        <v>1779496000</v>
      </c>
      <c r="I1232" s="56">
        <v>2.4776053943863259</v>
      </c>
      <c r="J1232" s="125">
        <v>0</v>
      </c>
    </row>
    <row r="1233" spans="1:10">
      <c r="A1233" s="55">
        <v>1104</v>
      </c>
      <c r="B1233" s="114">
        <v>0.48</v>
      </c>
      <c r="C1233" s="122">
        <v>1.9877675840978593E-2</v>
      </c>
      <c r="D1233" s="116">
        <v>627083333.33333337</v>
      </c>
      <c r="E1233" s="241">
        <v>0.12</v>
      </c>
      <c r="F1233" s="122">
        <v>3.7500000000000038E-3</v>
      </c>
      <c r="G1233" s="116">
        <v>12855208333.333334</v>
      </c>
      <c r="H1233" s="116">
        <v>5163753000</v>
      </c>
      <c r="I1233" s="114">
        <v>2.4895087610374342</v>
      </c>
      <c r="J1233" s="116">
        <v>50</v>
      </c>
    </row>
    <row r="1234" spans="1:10">
      <c r="A1234" s="55">
        <v>4113</v>
      </c>
      <c r="B1234" s="45">
        <v>0.49</v>
      </c>
      <c r="C1234" s="123">
        <v>0.24647887323943662</v>
      </c>
      <c r="D1234" s="121">
        <v>240816326.53061226</v>
      </c>
      <c r="E1234" s="241">
        <v>0.44</v>
      </c>
      <c r="F1234" s="123">
        <v>5.1580833333333329</v>
      </c>
      <c r="G1234" s="46">
        <v>2323877551.0204086</v>
      </c>
      <c r="H1234" s="46">
        <v>930813000</v>
      </c>
      <c r="I1234" s="56">
        <v>2.4966105447822589</v>
      </c>
      <c r="J1234" s="125">
        <v>19.975218658892128</v>
      </c>
    </row>
    <row r="1235" spans="1:10">
      <c r="A1235" s="55">
        <v>9931</v>
      </c>
      <c r="B1235" s="45">
        <v>0.12</v>
      </c>
      <c r="C1235" s="123">
        <v>0.6987951807228916</v>
      </c>
      <c r="D1235" s="121">
        <v>100000000</v>
      </c>
      <c r="E1235" s="241">
        <v>0.14000000000000001</v>
      </c>
      <c r="F1235" s="123">
        <v>-2.0733333333333336E-2</v>
      </c>
      <c r="G1235" s="46">
        <v>3165000000</v>
      </c>
      <c r="H1235" s="46">
        <v>1262425000</v>
      </c>
      <c r="I1235" s="56">
        <v>2.5070796284927819</v>
      </c>
      <c r="J1235" s="125">
        <v>50</v>
      </c>
    </row>
    <row r="1236" spans="1:10">
      <c r="A1236" s="55">
        <v>1301</v>
      </c>
      <c r="B1236" s="114">
        <v>1.65</v>
      </c>
      <c r="C1236" s="122">
        <v>0.16750035061474453</v>
      </c>
      <c r="D1236" s="116">
        <v>6381818181.818182</v>
      </c>
      <c r="E1236" s="241">
        <v>0.12</v>
      </c>
      <c r="F1236" s="122">
        <v>2.0166666666666649E-3</v>
      </c>
      <c r="G1236" s="116">
        <v>480550909090.90906</v>
      </c>
      <c r="H1236" s="116">
        <v>191545394000</v>
      </c>
      <c r="I1236" s="114">
        <v>2.5088095258031058</v>
      </c>
      <c r="J1236" s="116">
        <v>50</v>
      </c>
    </row>
    <row r="1237" spans="1:10">
      <c r="A1237" s="55">
        <v>9943</v>
      </c>
      <c r="B1237" s="45">
        <v>1.49</v>
      </c>
      <c r="C1237" s="123">
        <v>0.43204868154158216</v>
      </c>
      <c r="D1237" s="121">
        <v>146979865.77181208</v>
      </c>
      <c r="E1237" s="241">
        <v>0.56999999999999995</v>
      </c>
      <c r="F1237" s="123">
        <v>4.5416666666666661E-3</v>
      </c>
      <c r="G1237" s="46">
        <v>7745838926.1744967</v>
      </c>
      <c r="H1237" s="46">
        <v>3080928000</v>
      </c>
      <c r="I1237" s="56">
        <v>2.5141252655610571</v>
      </c>
      <c r="J1237" s="125">
        <v>20.465938809591329</v>
      </c>
    </row>
    <row r="1238" spans="1:10">
      <c r="A1238" s="55">
        <v>8255</v>
      </c>
      <c r="B1238" s="45">
        <v>2.36</v>
      </c>
      <c r="C1238" s="123">
        <v>0.7289719626168224</v>
      </c>
      <c r="D1238" s="121">
        <v>75000000</v>
      </c>
      <c r="E1238" s="241">
        <v>0.31</v>
      </c>
      <c r="F1238" s="123">
        <v>1.4150000000000001E-2</v>
      </c>
      <c r="G1238" s="46">
        <v>8925000000</v>
      </c>
      <c r="H1238" s="46">
        <v>3548298000</v>
      </c>
      <c r="I1238" s="56">
        <v>2.5152904293833269</v>
      </c>
      <c r="J1238" s="125">
        <v>17.292753150804</v>
      </c>
    </row>
    <row r="1239" spans="1:10">
      <c r="A1239" s="55">
        <v>2360</v>
      </c>
      <c r="B1239" s="114">
        <v>1.28</v>
      </c>
      <c r="C1239" s="122">
        <v>0.72305909617612973</v>
      </c>
      <c r="D1239" s="116">
        <v>376562500</v>
      </c>
      <c r="E1239" s="241">
        <v>0.46</v>
      </c>
      <c r="F1239" s="122">
        <v>9.2666666666666678E-3</v>
      </c>
      <c r="G1239" s="116">
        <v>24476562500</v>
      </c>
      <c r="H1239" s="116">
        <v>9692365000</v>
      </c>
      <c r="I1239" s="114">
        <v>2.5253446914143245</v>
      </c>
      <c r="J1239" s="116">
        <v>17.557779947916668</v>
      </c>
    </row>
    <row r="1240" spans="1:10">
      <c r="A1240" s="55">
        <v>1784</v>
      </c>
      <c r="B1240" s="114">
        <v>0.1</v>
      </c>
      <c r="C1240" s="122">
        <v>0</v>
      </c>
      <c r="D1240" s="116">
        <v>50000000</v>
      </c>
      <c r="E1240" s="241">
        <v>0.54</v>
      </c>
      <c r="F1240" s="122">
        <v>-2.0999999999999955E-3</v>
      </c>
      <c r="G1240" s="116">
        <v>1600000000</v>
      </c>
      <c r="H1240" s="116">
        <v>632158000</v>
      </c>
      <c r="I1240" s="114">
        <v>2.5310128164161489</v>
      </c>
      <c r="J1240" s="116">
        <v>0</v>
      </c>
    </row>
    <row r="1241" spans="1:10">
      <c r="A1241" s="55">
        <v>3089</v>
      </c>
      <c r="B1241" s="114">
        <v>-0.98</v>
      </c>
      <c r="C1241" s="122">
        <v>0.77333333333333332</v>
      </c>
      <c r="D1241" s="116">
        <v>70408163.26530613</v>
      </c>
      <c r="E1241" s="241">
        <v>-0.04</v>
      </c>
      <c r="F1241" s="122">
        <v>3.6133333333333316E-2</v>
      </c>
      <c r="G1241" s="116">
        <v>767448979.59183681</v>
      </c>
      <c r="H1241" s="116">
        <v>302985000</v>
      </c>
      <c r="I1241" s="114">
        <v>2.5329603102194391</v>
      </c>
      <c r="J1241" s="116">
        <v>0</v>
      </c>
    </row>
    <row r="1242" spans="1:10">
      <c r="A1242" s="55">
        <v>3691</v>
      </c>
      <c r="B1242" s="114">
        <v>15.25</v>
      </c>
      <c r="C1242" s="122">
        <v>0.8652694610778443</v>
      </c>
      <c r="D1242" s="116">
        <v>60918032.786885247</v>
      </c>
      <c r="E1242" s="241">
        <v>0.23</v>
      </c>
      <c r="F1242" s="122">
        <v>4.7491666666666682E-2</v>
      </c>
      <c r="G1242" s="116">
        <v>40144983606.557381</v>
      </c>
      <c r="H1242" s="116">
        <v>15847765000</v>
      </c>
      <c r="I1242" s="114">
        <v>2.5331637367513578</v>
      </c>
      <c r="J1242" s="116">
        <v>12.485450110613193</v>
      </c>
    </row>
    <row r="1243" spans="1:10">
      <c r="A1243" s="55">
        <v>5266</v>
      </c>
      <c r="B1243" s="45">
        <v>2.06</v>
      </c>
      <c r="C1243" s="123">
        <v>1</v>
      </c>
      <c r="D1243" s="121">
        <v>32038834.951456308</v>
      </c>
      <c r="E1243" s="241">
        <v>0.76</v>
      </c>
      <c r="F1243" s="123">
        <v>1.7966666666666669E-2</v>
      </c>
      <c r="G1243" s="46">
        <v>2790582524.2718444</v>
      </c>
      <c r="H1243" s="46">
        <v>1098196000</v>
      </c>
      <c r="I1243" s="56">
        <v>2.541060543174301</v>
      </c>
      <c r="J1243" s="125">
        <v>10.570388349514563</v>
      </c>
    </row>
    <row r="1244" spans="1:10">
      <c r="A1244" s="55">
        <v>4736</v>
      </c>
      <c r="B1244" s="45">
        <v>3.25</v>
      </c>
      <c r="C1244" s="123">
        <v>0.60691823899371067</v>
      </c>
      <c r="D1244" s="121">
        <v>68923076.923076928</v>
      </c>
      <c r="E1244" s="241">
        <v>0.47</v>
      </c>
      <c r="F1244" s="123">
        <v>1.327499999999999E-2</v>
      </c>
      <c r="G1244" s="46">
        <v>6692430769.2307692</v>
      </c>
      <c r="H1244" s="46">
        <v>2627418000</v>
      </c>
      <c r="I1244" s="56">
        <v>2.5471511458134066</v>
      </c>
      <c r="J1244" s="125">
        <v>12.306815464328418</v>
      </c>
    </row>
    <row r="1245" spans="1:10">
      <c r="A1245" s="55">
        <v>5202</v>
      </c>
      <c r="B1245" s="45">
        <v>0.09</v>
      </c>
      <c r="C1245" s="123">
        <v>0</v>
      </c>
      <c r="D1245" s="121">
        <v>55555555.55555556</v>
      </c>
      <c r="E1245" s="241">
        <v>0.64</v>
      </c>
      <c r="F1245" s="123">
        <v>0.12289166666666666</v>
      </c>
      <c r="G1245" s="46">
        <v>755555555.55555558</v>
      </c>
      <c r="H1245" s="46">
        <v>296482000</v>
      </c>
      <c r="I1245" s="56">
        <v>2.5484027885522749</v>
      </c>
      <c r="J1245" s="125">
        <v>0</v>
      </c>
    </row>
    <row r="1246" spans="1:10">
      <c r="A1246" s="55">
        <v>8444</v>
      </c>
      <c r="B1246" s="45">
        <v>0.81</v>
      </c>
      <c r="C1246" s="123">
        <v>1</v>
      </c>
      <c r="D1246" s="121">
        <v>66666666.666666664</v>
      </c>
      <c r="E1246" s="241">
        <v>0.31</v>
      </c>
      <c r="F1246" s="123">
        <v>-9.5416666666666653E-3</v>
      </c>
      <c r="G1246" s="46">
        <v>4980000000</v>
      </c>
      <c r="H1246" s="46">
        <v>1948142000</v>
      </c>
      <c r="I1246" s="56">
        <v>2.5562818316118641</v>
      </c>
      <c r="J1246" s="125">
        <v>23.055555555555554</v>
      </c>
    </row>
    <row r="1247" spans="1:10">
      <c r="A1247" s="55">
        <v>3428</v>
      </c>
      <c r="B1247" s="114">
        <v>1.31</v>
      </c>
      <c r="C1247" s="122">
        <v>0.94974874371859297</v>
      </c>
      <c r="D1247" s="116">
        <v>95419847.328244269</v>
      </c>
      <c r="E1247" s="241">
        <v>0.35</v>
      </c>
      <c r="F1247" s="122">
        <v>5.868333333333333E-2</v>
      </c>
      <c r="G1247" s="116">
        <v>4666030534.3511448</v>
      </c>
      <c r="H1247" s="116">
        <v>1819832000</v>
      </c>
      <c r="I1247" s="114">
        <v>2.5639897168261383</v>
      </c>
      <c r="J1247" s="116">
        <v>9.8258209136071724</v>
      </c>
    </row>
    <row r="1248" spans="1:10">
      <c r="A1248" s="55">
        <v>5272</v>
      </c>
      <c r="B1248" s="45">
        <v>0.14000000000000001</v>
      </c>
      <c r="C1248" s="123">
        <v>0.66666666666666663</v>
      </c>
      <c r="D1248" s="121">
        <v>49999999.999999993</v>
      </c>
      <c r="E1248" s="241">
        <v>0.54</v>
      </c>
      <c r="F1248" s="123">
        <v>2.3141666666666661E-2</v>
      </c>
      <c r="G1248" s="46">
        <v>1582499999.9999998</v>
      </c>
      <c r="H1248" s="46">
        <v>616529000</v>
      </c>
      <c r="I1248" s="56">
        <v>2.5667892345696628</v>
      </c>
      <c r="J1248" s="125">
        <v>50</v>
      </c>
    </row>
    <row r="1249" spans="1:10">
      <c r="A1249" s="55">
        <v>9942</v>
      </c>
      <c r="B1249" s="45">
        <v>1.56</v>
      </c>
      <c r="C1249" s="123">
        <v>0.82403433476394849</v>
      </c>
      <c r="D1249" s="121">
        <v>83333333.333333328</v>
      </c>
      <c r="E1249" s="241">
        <v>0.33</v>
      </c>
      <c r="F1249" s="123">
        <v>3.2358333333333336E-2</v>
      </c>
      <c r="G1249" s="46">
        <v>7191666666.666666</v>
      </c>
      <c r="H1249" s="46">
        <v>2787574000</v>
      </c>
      <c r="I1249" s="56">
        <v>2.5799016157657757</v>
      </c>
      <c r="J1249" s="125">
        <v>16.783436832264957</v>
      </c>
    </row>
    <row r="1250" spans="1:10">
      <c r="A1250" s="55">
        <v>4163</v>
      </c>
      <c r="B1250" s="45">
        <v>2.61</v>
      </c>
      <c r="C1250" s="123">
        <v>0.69230769230769229</v>
      </c>
      <c r="D1250" s="121">
        <v>40229885.057471268</v>
      </c>
      <c r="E1250" s="241">
        <v>0.38</v>
      </c>
      <c r="F1250" s="123">
        <v>1.9616666666666668E-2</v>
      </c>
      <c r="G1250" s="46">
        <v>4887931034.4827595</v>
      </c>
      <c r="H1250" s="46">
        <v>1884733000</v>
      </c>
      <c r="I1250" s="56">
        <v>2.593434207647852</v>
      </c>
      <c r="J1250" s="125">
        <v>16.810344827586206</v>
      </c>
    </row>
    <row r="1251" spans="1:10">
      <c r="A1251" s="55">
        <v>6803</v>
      </c>
      <c r="B1251" s="45">
        <v>3.2</v>
      </c>
      <c r="C1251" s="123">
        <v>0.84745762711864403</v>
      </c>
      <c r="D1251" s="121">
        <v>65625000</v>
      </c>
      <c r="E1251" s="241">
        <v>0.27</v>
      </c>
      <c r="F1251" s="123">
        <v>1.849999999999999E-3</v>
      </c>
      <c r="G1251" s="46">
        <v>10598437500</v>
      </c>
      <c r="H1251" s="46">
        <v>4078752000</v>
      </c>
      <c r="I1251" s="56">
        <v>2.5984510703273944</v>
      </c>
      <c r="J1251" s="125">
        <v>14.88828125</v>
      </c>
    </row>
    <row r="1252" spans="1:10">
      <c r="A1252" s="55">
        <v>3356</v>
      </c>
      <c r="B1252" s="114">
        <v>1.67</v>
      </c>
      <c r="C1252" s="122">
        <v>0.589622641509434</v>
      </c>
      <c r="D1252" s="116">
        <v>77245508.982035935</v>
      </c>
      <c r="E1252" s="241">
        <v>0.46</v>
      </c>
      <c r="F1252" s="122">
        <v>-8.4166666666666559E-4</v>
      </c>
      <c r="G1252" s="116">
        <v>5499880239.5209589</v>
      </c>
      <c r="H1252" s="116">
        <v>2111594000</v>
      </c>
      <c r="I1252" s="114">
        <v>2.6046106588297557</v>
      </c>
      <c r="J1252" s="116">
        <v>18.077125748502993</v>
      </c>
    </row>
    <row r="1253" spans="1:10">
      <c r="A1253" s="55">
        <v>5432</v>
      </c>
      <c r="B1253" s="45">
        <v>0.43</v>
      </c>
      <c r="C1253" s="123">
        <v>0.46153846153846156</v>
      </c>
      <c r="D1253" s="121">
        <v>20930232.558139537</v>
      </c>
      <c r="E1253" s="241">
        <v>0.3</v>
      </c>
      <c r="F1253" s="123">
        <v>-4.8916666666666666E-3</v>
      </c>
      <c r="G1253" s="46">
        <v>317093023.25581396</v>
      </c>
      <c r="H1253" s="46">
        <v>121555000</v>
      </c>
      <c r="I1253" s="56">
        <v>2.6086382563926942</v>
      </c>
      <c r="J1253" s="125">
        <v>19.084302325581394</v>
      </c>
    </row>
    <row r="1254" spans="1:10">
      <c r="A1254" s="55">
        <v>8416</v>
      </c>
      <c r="B1254" s="45">
        <v>0.99</v>
      </c>
      <c r="C1254" s="123">
        <v>0.97333333333333338</v>
      </c>
      <c r="D1254" s="121">
        <v>25252525.252525251</v>
      </c>
      <c r="E1254" s="241">
        <v>0.55000000000000004</v>
      </c>
      <c r="F1254" s="123">
        <v>6.0074999999999996E-2</v>
      </c>
      <c r="G1254" s="46">
        <v>2358585858.5858588</v>
      </c>
      <c r="H1254" s="46">
        <v>903803000</v>
      </c>
      <c r="I1254" s="56">
        <v>2.6096238434546675</v>
      </c>
      <c r="J1254" s="125">
        <v>24.232046492320467</v>
      </c>
    </row>
    <row r="1255" spans="1:10">
      <c r="A1255" s="55">
        <v>2495</v>
      </c>
      <c r="B1255" s="114">
        <v>0.42</v>
      </c>
      <c r="C1255" s="122">
        <v>0.22068965517241379</v>
      </c>
      <c r="D1255" s="116">
        <v>278571428.5714286</v>
      </c>
      <c r="E1255" s="241">
        <v>0.48</v>
      </c>
      <c r="F1255" s="122">
        <v>1.7916666666666671E-2</v>
      </c>
      <c r="G1255" s="116">
        <v>4680000000.000001</v>
      </c>
      <c r="H1255" s="116">
        <v>1787373000</v>
      </c>
      <c r="I1255" s="114">
        <v>2.618367850471055</v>
      </c>
      <c r="J1255" s="116">
        <v>45.312500000000007</v>
      </c>
    </row>
    <row r="1256" spans="1:10">
      <c r="A1256" s="55">
        <v>2458</v>
      </c>
      <c r="B1256" s="114">
        <v>0.56999999999999995</v>
      </c>
      <c r="C1256" s="122">
        <v>0.83080808080808077</v>
      </c>
      <c r="D1256" s="116">
        <v>414035087.7192983</v>
      </c>
      <c r="E1256" s="241">
        <v>0.41</v>
      </c>
      <c r="F1256" s="122">
        <v>-8.9166666666666648E-3</v>
      </c>
      <c r="G1256" s="116">
        <v>17037543859.649124</v>
      </c>
      <c r="H1256" s="116">
        <v>6469536000</v>
      </c>
      <c r="I1256" s="114">
        <v>2.6335032156323304</v>
      </c>
      <c r="J1256" s="116">
        <v>21.72372420412734</v>
      </c>
    </row>
    <row r="1257" spans="1:10">
      <c r="A1257" s="55">
        <v>3252</v>
      </c>
      <c r="B1257" s="114">
        <v>-0.98</v>
      </c>
      <c r="C1257" s="122">
        <v>0.12121212121212122</v>
      </c>
      <c r="D1257" s="116">
        <v>21428571.428571429</v>
      </c>
      <c r="E1257" s="241">
        <v>0.59</v>
      </c>
      <c r="F1257" s="122">
        <v>-4.7766666666666652E-2</v>
      </c>
      <c r="G1257" s="116">
        <v>351428571.4285714</v>
      </c>
      <c r="H1257" s="116">
        <v>133344000</v>
      </c>
      <c r="I1257" s="114">
        <v>2.6355034454386503</v>
      </c>
      <c r="J1257" s="116">
        <v>0</v>
      </c>
    </row>
    <row r="1258" spans="1:10">
      <c r="A1258" s="55">
        <v>1527</v>
      </c>
      <c r="B1258" s="114">
        <v>4.43</v>
      </c>
      <c r="C1258" s="122">
        <v>0.20089285714285715</v>
      </c>
      <c r="D1258" s="116">
        <v>145372460.49661401</v>
      </c>
      <c r="E1258" s="241">
        <v>0.28999999999999998</v>
      </c>
      <c r="F1258" s="122">
        <v>6.8049999999999999E-2</v>
      </c>
      <c r="G1258" s="116">
        <v>9216613995.4853287</v>
      </c>
      <c r="H1258" s="116">
        <v>3494759000</v>
      </c>
      <c r="I1258" s="114">
        <v>2.637267403985605</v>
      </c>
      <c r="J1258" s="116">
        <v>17.809882116879859</v>
      </c>
    </row>
    <row r="1259" spans="1:10">
      <c r="A1259" s="55">
        <v>3541</v>
      </c>
      <c r="B1259" s="114">
        <v>1.1100000000000001</v>
      </c>
      <c r="C1259" s="122">
        <v>0.72839506172839508</v>
      </c>
      <c r="D1259" s="116">
        <v>44144144.14414414</v>
      </c>
      <c r="E1259" s="241">
        <v>0.38</v>
      </c>
      <c r="F1259" s="122">
        <v>1.3866666666666666E-2</v>
      </c>
      <c r="G1259" s="116">
        <v>3655135135.1351347</v>
      </c>
      <c r="H1259" s="116">
        <v>1385782000</v>
      </c>
      <c r="I1259" s="114">
        <v>2.63759749739507</v>
      </c>
      <c r="J1259" s="116">
        <v>25.602382043060004</v>
      </c>
    </row>
    <row r="1260" spans="1:10">
      <c r="A1260" s="55">
        <v>4991</v>
      </c>
      <c r="B1260" s="45">
        <v>1.94</v>
      </c>
      <c r="C1260" s="123">
        <v>0.88198757763975155</v>
      </c>
      <c r="D1260" s="121">
        <v>56185567.010309279</v>
      </c>
      <c r="E1260" s="241">
        <v>0.43</v>
      </c>
      <c r="F1260" s="123">
        <v>3.1949999999999985E-2</v>
      </c>
      <c r="G1260" s="46">
        <v>4393711340.2061853</v>
      </c>
      <c r="H1260" s="46">
        <v>1662089000</v>
      </c>
      <c r="I1260" s="56">
        <v>2.6434874066347742</v>
      </c>
      <c r="J1260" s="125">
        <v>11.425693335269349</v>
      </c>
    </row>
    <row r="1261" spans="1:10">
      <c r="A1261" s="55">
        <v>2704</v>
      </c>
      <c r="B1261" s="114">
        <v>0.43</v>
      </c>
      <c r="C1261" s="122">
        <v>0.49557522123893805</v>
      </c>
      <c r="D1261" s="116">
        <v>362790697.67441863</v>
      </c>
      <c r="E1261" s="241">
        <v>0.35</v>
      </c>
      <c r="F1261" s="122">
        <v>7.1749999999999982E-3</v>
      </c>
      <c r="G1261" s="116">
        <v>9613953488.3720932</v>
      </c>
      <c r="H1261" s="116">
        <v>3635117000</v>
      </c>
      <c r="I1261" s="114">
        <v>2.6447438936276586</v>
      </c>
      <c r="J1261" s="116">
        <v>31.089078073089702</v>
      </c>
    </row>
    <row r="1262" spans="1:10">
      <c r="A1262" s="55">
        <v>1468</v>
      </c>
      <c r="B1262" s="114">
        <v>-0.08</v>
      </c>
      <c r="C1262" s="122">
        <v>1</v>
      </c>
      <c r="D1262" s="116">
        <v>162500000</v>
      </c>
      <c r="E1262" s="241">
        <v>0</v>
      </c>
      <c r="F1262" s="122">
        <v>9.3483333333333321E-2</v>
      </c>
      <c r="G1262" s="116">
        <v>1540500000</v>
      </c>
      <c r="H1262" s="116">
        <v>582285000</v>
      </c>
      <c r="I1262" s="114">
        <v>2.6456116849996136</v>
      </c>
      <c r="J1262" s="116">
        <v>0</v>
      </c>
    </row>
    <row r="1263" spans="1:10">
      <c r="A1263" s="55">
        <v>1262</v>
      </c>
      <c r="B1263" s="114">
        <v>2.73</v>
      </c>
      <c r="C1263" s="122">
        <v>1</v>
      </c>
      <c r="D1263" s="116">
        <v>148351648.35164836</v>
      </c>
      <c r="E1263" s="241">
        <v>0.36</v>
      </c>
      <c r="F1263" s="122">
        <v>1.0950000000000001E-2</v>
      </c>
      <c r="G1263" s="116">
        <v>16615384615.384617</v>
      </c>
      <c r="H1263" s="116">
        <v>6218198000</v>
      </c>
      <c r="I1263" s="114">
        <v>2.6720578237271662</v>
      </c>
      <c r="J1263" s="116">
        <v>10.256410256410257</v>
      </c>
    </row>
    <row r="1264" spans="1:10">
      <c r="A1264" s="55">
        <v>8080</v>
      </c>
      <c r="B1264" s="45">
        <v>-0.48</v>
      </c>
      <c r="C1264" s="123">
        <v>0.71698113207547165</v>
      </c>
      <c r="D1264" s="121">
        <v>64583333.333333336</v>
      </c>
      <c r="E1264" s="241">
        <v>0</v>
      </c>
      <c r="F1264" s="123">
        <v>8.9166666666667135E-4</v>
      </c>
      <c r="G1264" s="46">
        <v>1233541666.6666667</v>
      </c>
      <c r="H1264" s="46">
        <v>459838000</v>
      </c>
      <c r="I1264" s="56">
        <v>2.6825570454522389</v>
      </c>
      <c r="J1264" s="125">
        <v>0</v>
      </c>
    </row>
    <row r="1265" spans="1:10">
      <c r="A1265" s="55">
        <v>9918</v>
      </c>
      <c r="B1265" s="45">
        <v>0.06</v>
      </c>
      <c r="C1265" s="123">
        <v>0.59183673469387754</v>
      </c>
      <c r="D1265" s="121">
        <v>183333333.33333334</v>
      </c>
      <c r="E1265" s="241">
        <v>0.15</v>
      </c>
      <c r="F1265" s="123">
        <v>-3.0924999999999998E-2</v>
      </c>
      <c r="G1265" s="46">
        <v>5683333333.333334</v>
      </c>
      <c r="H1265" s="46">
        <v>2115457000</v>
      </c>
      <c r="I1265" s="56">
        <v>2.6865747369638493</v>
      </c>
      <c r="J1265" s="125">
        <v>50</v>
      </c>
    </row>
    <row r="1266" spans="1:10">
      <c r="A1266" s="55">
        <v>1410</v>
      </c>
      <c r="B1266" s="114">
        <v>0.47</v>
      </c>
      <c r="C1266" s="122">
        <v>0.88732394366197187</v>
      </c>
      <c r="D1266" s="116">
        <v>72340425.531914905</v>
      </c>
      <c r="E1266" s="241">
        <v>0.37</v>
      </c>
      <c r="F1266" s="122">
        <v>1.0250000000000004E-2</v>
      </c>
      <c r="G1266" s="116">
        <v>1696382978.7234044</v>
      </c>
      <c r="H1266" s="116">
        <v>630159000</v>
      </c>
      <c r="I1266" s="114">
        <v>2.6919919872974987</v>
      </c>
      <c r="J1266" s="116">
        <v>14.057328605200944</v>
      </c>
    </row>
    <row r="1267" spans="1:10">
      <c r="A1267" s="55">
        <v>2606</v>
      </c>
      <c r="B1267" s="114">
        <v>0.5</v>
      </c>
      <c r="C1267" s="122">
        <v>0</v>
      </c>
      <c r="D1267" s="116">
        <v>856000000</v>
      </c>
      <c r="E1267" s="241">
        <v>0.06</v>
      </c>
      <c r="F1267" s="122">
        <v>-1.6641666666666662E-2</v>
      </c>
      <c r="G1267" s="116">
        <v>21314400000</v>
      </c>
      <c r="H1267" s="116">
        <v>7911856000</v>
      </c>
      <c r="I1267" s="114">
        <v>2.6939822969477705</v>
      </c>
      <c r="J1267" s="116">
        <v>0</v>
      </c>
    </row>
    <row r="1268" spans="1:10">
      <c r="A1268" s="55">
        <v>3105</v>
      </c>
      <c r="B1268" s="114">
        <v>1.32</v>
      </c>
      <c r="C1268" s="122">
        <v>0.94187779433681074</v>
      </c>
      <c r="D1268" s="116">
        <v>609848484.84848487</v>
      </c>
      <c r="E1268" s="241">
        <v>0.4</v>
      </c>
      <c r="F1268" s="122">
        <v>2.4916666666666667E-2</v>
      </c>
      <c r="G1268" s="116">
        <v>32565909090.909092</v>
      </c>
      <c r="H1268" s="116">
        <v>12014717000</v>
      </c>
      <c r="I1268" s="114">
        <v>2.7105015532957699</v>
      </c>
      <c r="J1268" s="116">
        <v>10.737737341772149</v>
      </c>
    </row>
    <row r="1269" spans="1:10">
      <c r="A1269" s="55">
        <v>9908</v>
      </c>
      <c r="B1269" s="45">
        <v>0.49</v>
      </c>
      <c r="C1269" s="123">
        <v>0.45121951219512196</v>
      </c>
      <c r="D1269" s="121">
        <v>502040816.32653064</v>
      </c>
      <c r="E1269" s="241">
        <v>0.22</v>
      </c>
      <c r="F1269" s="123">
        <v>-3.1208333333333334E-2</v>
      </c>
      <c r="G1269" s="46">
        <v>11220612244.897961</v>
      </c>
      <c r="H1269" s="46">
        <v>4131098000</v>
      </c>
      <c r="I1269" s="56">
        <v>2.7161331551316286</v>
      </c>
      <c r="J1269" s="125">
        <v>25.271649200220629</v>
      </c>
    </row>
    <row r="1270" spans="1:10">
      <c r="A1270" s="55">
        <v>4950</v>
      </c>
      <c r="B1270" s="45">
        <v>1.65</v>
      </c>
      <c r="C1270" s="123">
        <v>0</v>
      </c>
      <c r="D1270" s="121">
        <v>52121212.121212125</v>
      </c>
      <c r="E1270" s="241">
        <v>0.17</v>
      </c>
      <c r="F1270" s="123">
        <v>0.21737499999999998</v>
      </c>
      <c r="G1270" s="46">
        <v>912121212.12121224</v>
      </c>
      <c r="H1270" s="46">
        <v>335295000</v>
      </c>
      <c r="I1270" s="56">
        <v>2.7203543510079551</v>
      </c>
      <c r="J1270" s="125">
        <v>0</v>
      </c>
    </row>
    <row r="1271" spans="1:10">
      <c r="A1271" s="55">
        <v>6202</v>
      </c>
      <c r="B1271" s="45">
        <v>0.97</v>
      </c>
      <c r="C1271" s="123">
        <v>0.82045454545454544</v>
      </c>
      <c r="D1271" s="121">
        <v>226804123.71134022</v>
      </c>
      <c r="E1271" s="241">
        <v>0.5</v>
      </c>
      <c r="F1271" s="123">
        <v>2.8424999999999995E-2</v>
      </c>
      <c r="G1271" s="46">
        <v>10795876288.659794</v>
      </c>
      <c r="H1271" s="46">
        <v>3967840000</v>
      </c>
      <c r="I1271" s="56">
        <v>2.7208446632575392</v>
      </c>
      <c r="J1271" s="125">
        <v>14.952737241911072</v>
      </c>
    </row>
    <row r="1272" spans="1:10">
      <c r="A1272" s="55">
        <v>8942</v>
      </c>
      <c r="B1272" s="45">
        <v>2.4700000000000002</v>
      </c>
      <c r="C1272" s="123">
        <v>0.70336391437308865</v>
      </c>
      <c r="D1272" s="121">
        <v>154655870.44534412</v>
      </c>
      <c r="E1272" s="241">
        <v>0.38</v>
      </c>
      <c r="F1272" s="123">
        <v>2.6508333333333328E-2</v>
      </c>
      <c r="G1272" s="46">
        <v>13362267206.477734</v>
      </c>
      <c r="H1272" s="46">
        <v>4885063000</v>
      </c>
      <c r="I1272" s="56">
        <v>2.7353316029860277</v>
      </c>
      <c r="J1272" s="125">
        <v>12.433022355219151</v>
      </c>
    </row>
    <row r="1273" spans="1:10">
      <c r="A1273" s="55">
        <v>1752</v>
      </c>
      <c r="B1273" s="114">
        <v>0.69</v>
      </c>
      <c r="C1273" s="122">
        <v>0.84112149532710279</v>
      </c>
      <c r="D1273" s="116">
        <v>91304347.826086968</v>
      </c>
      <c r="E1273" s="241">
        <v>0.36</v>
      </c>
      <c r="F1273" s="122">
        <v>3.4891666666666675E-2</v>
      </c>
      <c r="G1273" s="116">
        <v>4186304347.8260875</v>
      </c>
      <c r="H1273" s="116">
        <v>1520326000</v>
      </c>
      <c r="I1273" s="114">
        <v>2.7535570317327256</v>
      </c>
      <c r="J1273" s="116">
        <v>19.750201288244767</v>
      </c>
    </row>
    <row r="1274" spans="1:10">
      <c r="A1274" s="55">
        <v>1589</v>
      </c>
      <c r="B1274" s="114">
        <v>3.29</v>
      </c>
      <c r="C1274" s="122">
        <v>0.74631268436578169</v>
      </c>
      <c r="D1274" s="116">
        <v>112158054.71124619</v>
      </c>
      <c r="E1274" s="241">
        <v>0.31</v>
      </c>
      <c r="F1274" s="122">
        <v>1.7274999999999999E-2</v>
      </c>
      <c r="G1274" s="116">
        <v>22375531914.893616</v>
      </c>
      <c r="H1274" s="116">
        <v>8122470000</v>
      </c>
      <c r="I1274" s="114">
        <v>2.754769413108773</v>
      </c>
      <c r="J1274" s="116">
        <v>20.312631401900596</v>
      </c>
    </row>
    <row r="1275" spans="1:10">
      <c r="A1275" s="55">
        <v>1762</v>
      </c>
      <c r="B1275" s="114">
        <v>0.41</v>
      </c>
      <c r="C1275" s="122">
        <v>0.66666666666666663</v>
      </c>
      <c r="D1275" s="116">
        <v>78048780.48780489</v>
      </c>
      <c r="E1275" s="241">
        <v>0.37</v>
      </c>
      <c r="F1275" s="122">
        <v>0.17020833333333332</v>
      </c>
      <c r="G1275" s="116">
        <v>3207804878.0487809</v>
      </c>
      <c r="H1275" s="116">
        <v>1162100000</v>
      </c>
      <c r="I1275" s="114">
        <v>2.7603518441173573</v>
      </c>
      <c r="J1275" s="116">
        <v>37.591463414634148</v>
      </c>
    </row>
    <row r="1276" spans="1:10">
      <c r="A1276" s="55">
        <v>2114</v>
      </c>
      <c r="B1276" s="114">
        <v>2.17</v>
      </c>
      <c r="C1276" s="122">
        <v>0.76724137931034486</v>
      </c>
      <c r="D1276" s="116">
        <v>67281105.990783408</v>
      </c>
      <c r="E1276" s="241">
        <v>0.34</v>
      </c>
      <c r="F1276" s="122">
        <v>-2.0633333333333333E-2</v>
      </c>
      <c r="G1276" s="116">
        <v>5066267281.1059904</v>
      </c>
      <c r="H1276" s="116">
        <v>1831220000</v>
      </c>
      <c r="I1276" s="114">
        <v>2.7666076610707564</v>
      </c>
      <c r="J1276" s="116">
        <v>11.306891730958421</v>
      </c>
    </row>
    <row r="1277" spans="1:10">
      <c r="A1277" s="55">
        <v>6206</v>
      </c>
      <c r="B1277" s="45">
        <v>1.98</v>
      </c>
      <c r="C1277" s="123">
        <v>0.88037383177570094</v>
      </c>
      <c r="D1277" s="121">
        <v>145959595.95959595</v>
      </c>
      <c r="E1277" s="241">
        <v>0.35</v>
      </c>
      <c r="F1277" s="123">
        <v>2.5141666666666673E-2</v>
      </c>
      <c r="G1277" s="46">
        <v>14420808080.808079</v>
      </c>
      <c r="H1277" s="46">
        <v>5209985000</v>
      </c>
      <c r="I1277" s="56">
        <v>2.7679173895525762</v>
      </c>
      <c r="J1277" s="125">
        <v>14.169829934161145</v>
      </c>
    </row>
    <row r="1278" spans="1:10">
      <c r="A1278" s="55">
        <v>3556</v>
      </c>
      <c r="B1278" s="114">
        <v>0.88</v>
      </c>
      <c r="C1278" s="122">
        <v>0.88709677419354838</v>
      </c>
      <c r="D1278" s="116">
        <v>54545454.545454547</v>
      </c>
      <c r="E1278" s="241">
        <v>0.57999999999999996</v>
      </c>
      <c r="F1278" s="122">
        <v>5.0583333333333334E-2</v>
      </c>
      <c r="G1278" s="116">
        <v>2798181818.181818</v>
      </c>
      <c r="H1278" s="116">
        <v>1001550000</v>
      </c>
      <c r="I1278" s="114">
        <v>2.7938513485915011</v>
      </c>
      <c r="J1278" s="116">
        <v>16.428719008264462</v>
      </c>
    </row>
    <row r="1279" spans="1:10">
      <c r="A1279" s="55">
        <v>4549</v>
      </c>
      <c r="B1279" s="45">
        <v>0.98</v>
      </c>
      <c r="C1279" s="123">
        <v>0.6</v>
      </c>
      <c r="D1279" s="121">
        <v>37755102.040816329</v>
      </c>
      <c r="E1279" s="241">
        <v>0.49</v>
      </c>
      <c r="F1279" s="123">
        <v>-4.4000000000000037E-3</v>
      </c>
      <c r="G1279" s="46">
        <v>2303061224.4897962</v>
      </c>
      <c r="H1279" s="46">
        <v>824045000</v>
      </c>
      <c r="I1279" s="56">
        <v>2.7948245842032851</v>
      </c>
      <c r="J1279" s="125">
        <v>25.935374149659864</v>
      </c>
    </row>
    <row r="1280" spans="1:10">
      <c r="A1280" s="55">
        <v>8079</v>
      </c>
      <c r="B1280" s="45">
        <v>0.38</v>
      </c>
      <c r="C1280" s="123">
        <v>0.96610169491525422</v>
      </c>
      <c r="D1280" s="121">
        <v>81578947.368421048</v>
      </c>
      <c r="E1280" s="241">
        <v>0.38</v>
      </c>
      <c r="F1280" s="123">
        <v>1.2374999999999999E-2</v>
      </c>
      <c r="G1280" s="46">
        <v>1386842105.2631578</v>
      </c>
      <c r="H1280" s="46">
        <v>495768000</v>
      </c>
      <c r="I1280" s="56">
        <v>2.7973610746622573</v>
      </c>
      <c r="J1280" s="125">
        <v>11.576638965835642</v>
      </c>
    </row>
    <row r="1281" spans="1:10">
      <c r="A1281" s="55">
        <v>3257</v>
      </c>
      <c r="B1281" s="114">
        <v>0.89</v>
      </c>
      <c r="C1281" s="122">
        <v>0.63291139240506333</v>
      </c>
      <c r="D1281" s="116">
        <v>59550561.797752805</v>
      </c>
      <c r="E1281" s="241">
        <v>0.51</v>
      </c>
      <c r="F1281" s="122">
        <v>2.9891666666666667E-2</v>
      </c>
      <c r="G1281" s="116">
        <v>2390955056.1797752</v>
      </c>
      <c r="H1281" s="116">
        <v>854565000</v>
      </c>
      <c r="I1281" s="114">
        <v>2.7978621359168412</v>
      </c>
      <c r="J1281" s="116">
        <v>17.81938202247191</v>
      </c>
    </row>
    <row r="1282" spans="1:10">
      <c r="A1282" s="55">
        <v>3682</v>
      </c>
      <c r="B1282" s="114">
        <v>-0.24</v>
      </c>
      <c r="C1282" s="122">
        <v>1</v>
      </c>
      <c r="D1282" s="116">
        <v>3808333333.3333335</v>
      </c>
      <c r="E1282" s="241">
        <v>0.05</v>
      </c>
      <c r="F1282" s="122">
        <v>-1.5341666666666668E-2</v>
      </c>
      <c r="G1282" s="116">
        <v>41701250000</v>
      </c>
      <c r="H1282" s="116">
        <v>14848518000</v>
      </c>
      <c r="I1282" s="114">
        <v>2.808445260328337</v>
      </c>
      <c r="J1282" s="116">
        <v>0</v>
      </c>
    </row>
    <row r="1283" spans="1:10">
      <c r="A1283" s="55">
        <v>2066</v>
      </c>
      <c r="B1283" s="114">
        <v>2.62</v>
      </c>
      <c r="C1283" s="122">
        <v>0.64539007092198586</v>
      </c>
      <c r="D1283" s="116">
        <v>35877862.595419846</v>
      </c>
      <c r="E1283" s="241">
        <v>0.31</v>
      </c>
      <c r="F1283" s="122">
        <v>5.4333333333333317E-3</v>
      </c>
      <c r="G1283" s="116">
        <v>3641603053.4351144</v>
      </c>
      <c r="H1283" s="116">
        <v>1294041000</v>
      </c>
      <c r="I1283" s="114">
        <v>2.8141326692393167</v>
      </c>
      <c r="J1283" s="116">
        <v>15.006605989430415</v>
      </c>
    </row>
    <row r="1284" spans="1:10">
      <c r="A1284" s="55">
        <v>5007</v>
      </c>
      <c r="B1284" s="45">
        <v>0.78</v>
      </c>
      <c r="C1284" s="123">
        <v>0.81880733944954132</v>
      </c>
      <c r="D1284" s="121">
        <v>296153846.15384614</v>
      </c>
      <c r="E1284" s="241">
        <v>0.22</v>
      </c>
      <c r="F1284" s="123">
        <v>5.3750000000000004E-3</v>
      </c>
      <c r="G1284" s="46">
        <v>18894615384.615383</v>
      </c>
      <c r="H1284" s="46">
        <v>6697038000</v>
      </c>
      <c r="I1284" s="56">
        <v>2.8213391330040807</v>
      </c>
      <c r="J1284" s="125">
        <v>24.973784385549092</v>
      </c>
    </row>
    <row r="1285" spans="1:10">
      <c r="A1285" s="55">
        <v>4129</v>
      </c>
      <c r="B1285" s="45">
        <v>0.7</v>
      </c>
      <c r="C1285" s="123">
        <v>0.92307692307692313</v>
      </c>
      <c r="D1285" s="121">
        <v>57142857.142857149</v>
      </c>
      <c r="E1285" s="241">
        <v>0.75</v>
      </c>
      <c r="F1285" s="123">
        <v>4.9650000000000007E-2</v>
      </c>
      <c r="G1285" s="46">
        <v>3931428571.4285717</v>
      </c>
      <c r="H1285" s="46">
        <v>1392125000</v>
      </c>
      <c r="I1285" s="56">
        <v>2.8240485383342526</v>
      </c>
      <c r="J1285" s="125">
        <v>26.619047619047617</v>
      </c>
    </row>
    <row r="1286" spans="1:10">
      <c r="A1286" s="55">
        <v>3131</v>
      </c>
      <c r="B1286" s="114">
        <v>4.92</v>
      </c>
      <c r="C1286" s="122">
        <v>0.89304812834224601</v>
      </c>
      <c r="D1286" s="116">
        <v>24593495.934959348</v>
      </c>
      <c r="E1286" s="241">
        <v>0.48</v>
      </c>
      <c r="F1286" s="122">
        <v>6.0824999999999997E-2</v>
      </c>
      <c r="G1286" s="116">
        <v>5644207317.0731707</v>
      </c>
      <c r="H1286" s="116">
        <v>1998036000</v>
      </c>
      <c r="I1286" s="114">
        <v>2.8248776884266205</v>
      </c>
      <c r="J1286" s="116">
        <v>13.058182415656493</v>
      </c>
    </row>
    <row r="1287" spans="1:10">
      <c r="A1287" s="55">
        <v>3035</v>
      </c>
      <c r="B1287" s="114">
        <v>0.43</v>
      </c>
      <c r="C1287" s="122">
        <v>0.9193083573487032</v>
      </c>
      <c r="D1287" s="116">
        <v>390697674.41860467</v>
      </c>
      <c r="E1287" s="241">
        <v>0.49</v>
      </c>
      <c r="F1287" s="122">
        <v>1.4433333333333333E-2</v>
      </c>
      <c r="G1287" s="116">
        <v>18714418604.651165</v>
      </c>
      <c r="H1287" s="116">
        <v>6579114000</v>
      </c>
      <c r="I1287" s="114">
        <v>2.8445195819150064</v>
      </c>
      <c r="J1287" s="116">
        <v>30.293249252752059</v>
      </c>
    </row>
    <row r="1288" spans="1:10">
      <c r="A1288" s="55">
        <v>6225</v>
      </c>
      <c r="B1288" s="45">
        <v>-0.11</v>
      </c>
      <c r="C1288" s="123">
        <v>1</v>
      </c>
      <c r="D1288" s="121">
        <v>90909090.909090906</v>
      </c>
      <c r="E1288" s="241">
        <v>0.25</v>
      </c>
      <c r="F1288" s="123">
        <v>28.251999999999999</v>
      </c>
      <c r="G1288" s="46">
        <v>237272727.27272725</v>
      </c>
      <c r="H1288" s="46">
        <v>82782000</v>
      </c>
      <c r="I1288" s="56">
        <v>2.8662357429480716</v>
      </c>
      <c r="J1288" s="125">
        <v>0</v>
      </c>
    </row>
    <row r="1289" spans="1:10">
      <c r="A1289" s="55">
        <v>8409</v>
      </c>
      <c r="B1289" s="45">
        <v>-0.39</v>
      </c>
      <c r="C1289" s="123">
        <v>1</v>
      </c>
      <c r="D1289" s="121">
        <v>28205128.205128204</v>
      </c>
      <c r="E1289" s="241">
        <v>0.54</v>
      </c>
      <c r="F1289" s="123">
        <v>0.42080833333333328</v>
      </c>
      <c r="G1289" s="46">
        <v>843333333.33333325</v>
      </c>
      <c r="H1289" s="46">
        <v>294076000</v>
      </c>
      <c r="I1289" s="56">
        <v>2.867739405233114</v>
      </c>
      <c r="J1289" s="125">
        <v>0</v>
      </c>
    </row>
    <row r="1290" spans="1:10">
      <c r="A1290" s="55">
        <v>6183</v>
      </c>
      <c r="B1290" s="45">
        <v>0.41</v>
      </c>
      <c r="C1290" s="123">
        <v>0.93846153846153846</v>
      </c>
      <c r="D1290" s="121">
        <v>151219512.19512197</v>
      </c>
      <c r="E1290" s="241">
        <v>0.48</v>
      </c>
      <c r="F1290" s="123">
        <v>3.4458333333333369E-2</v>
      </c>
      <c r="G1290" s="46">
        <v>3772926829.2682929</v>
      </c>
      <c r="H1290" s="46">
        <v>1313554000</v>
      </c>
      <c r="I1290" s="56">
        <v>2.8723043203920757</v>
      </c>
      <c r="J1290" s="125">
        <v>16.211015593762497</v>
      </c>
    </row>
    <row r="1291" spans="1:10">
      <c r="A1291" s="55">
        <v>3563</v>
      </c>
      <c r="B1291" s="114">
        <v>1.51</v>
      </c>
      <c r="C1291" s="122">
        <v>0.83653846153846156</v>
      </c>
      <c r="D1291" s="116">
        <v>42384105.960264899</v>
      </c>
      <c r="E1291" s="241">
        <v>0.64</v>
      </c>
      <c r="F1291" s="122">
        <v>7.4249999999999984E-3</v>
      </c>
      <c r="G1291" s="116">
        <v>1771655629.1390727</v>
      </c>
      <c r="H1291" s="116">
        <v>611079000</v>
      </c>
      <c r="I1291" s="114">
        <v>2.8992251887874936</v>
      </c>
      <c r="J1291" s="116">
        <v>8.2728172337672223</v>
      </c>
    </row>
    <row r="1292" spans="1:10">
      <c r="A1292" s="55">
        <v>4966</v>
      </c>
      <c r="B1292" s="45">
        <v>4.28</v>
      </c>
      <c r="C1292" s="123">
        <v>0.95439189189189189</v>
      </c>
      <c r="D1292" s="121">
        <v>75000000</v>
      </c>
      <c r="E1292" s="241">
        <v>0.4</v>
      </c>
      <c r="F1292" s="123">
        <v>3.9658333333333344E-2</v>
      </c>
      <c r="G1292" s="46">
        <v>20962500000</v>
      </c>
      <c r="H1292" s="46">
        <v>7197130000</v>
      </c>
      <c r="I1292" s="56">
        <v>2.9126193357630057</v>
      </c>
      <c r="J1292" s="125">
        <v>17.106111984120417</v>
      </c>
    </row>
    <row r="1293" spans="1:10">
      <c r="A1293" s="55">
        <v>4119</v>
      </c>
      <c r="B1293" s="45">
        <v>1.34</v>
      </c>
      <c r="C1293" s="123">
        <v>0.9363636363636364</v>
      </c>
      <c r="D1293" s="121">
        <v>70895522.388059691</v>
      </c>
      <c r="E1293" s="241">
        <v>0.33</v>
      </c>
      <c r="F1293" s="123">
        <v>3.688333333333333E-2</v>
      </c>
      <c r="G1293" s="46">
        <v>5295895522.3880587</v>
      </c>
      <c r="H1293" s="46">
        <v>1810500000</v>
      </c>
      <c r="I1293" s="56">
        <v>2.9251010894162159</v>
      </c>
      <c r="J1293" s="125">
        <v>14.883712505433994</v>
      </c>
    </row>
    <row r="1294" spans="1:10">
      <c r="A1294" s="55">
        <v>1795</v>
      </c>
      <c r="B1294" s="114">
        <v>0.06</v>
      </c>
      <c r="C1294" s="122">
        <v>1</v>
      </c>
      <c r="D1294" s="116">
        <v>250000000</v>
      </c>
      <c r="E1294" s="241">
        <v>0.62</v>
      </c>
      <c r="F1294" s="122">
        <v>6.2316666666666666E-2</v>
      </c>
      <c r="G1294" s="116">
        <v>16250000000</v>
      </c>
      <c r="H1294" s="116">
        <v>5518256000</v>
      </c>
      <c r="I1294" s="114">
        <v>2.9447709566210776</v>
      </c>
      <c r="J1294" s="116">
        <v>50</v>
      </c>
    </row>
    <row r="1295" spans="1:10">
      <c r="A1295" s="55">
        <v>5904</v>
      </c>
      <c r="B1295" s="45">
        <v>2.93</v>
      </c>
      <c r="C1295" s="123">
        <v>0.97736625514403297</v>
      </c>
      <c r="D1295" s="121">
        <v>95221843.003412962</v>
      </c>
      <c r="E1295" s="241">
        <v>0.42</v>
      </c>
      <c r="F1295" s="123">
        <v>8.5750000000000045E-3</v>
      </c>
      <c r="G1295" s="46">
        <v>31518430034.129692</v>
      </c>
      <c r="H1295" s="46">
        <v>10687825000</v>
      </c>
      <c r="I1295" s="56">
        <v>2.9490031914004664</v>
      </c>
      <c r="J1295" s="125">
        <v>28.896353511765756</v>
      </c>
    </row>
    <row r="1296" spans="1:10">
      <c r="A1296" s="55">
        <v>1437</v>
      </c>
      <c r="B1296" s="114">
        <v>0.11</v>
      </c>
      <c r="C1296" s="122">
        <v>0.81578947368421051</v>
      </c>
      <c r="D1296" s="116">
        <v>200000000</v>
      </c>
      <c r="E1296" s="241">
        <v>0.24</v>
      </c>
      <c r="F1296" s="122">
        <v>-2.185833333333333E-2</v>
      </c>
      <c r="G1296" s="116">
        <v>2330000000</v>
      </c>
      <c r="H1296" s="116">
        <v>786253000</v>
      </c>
      <c r="I1296" s="114">
        <v>2.9634227150802603</v>
      </c>
      <c r="J1296" s="116">
        <v>32.456011730205283</v>
      </c>
    </row>
    <row r="1297" spans="1:11">
      <c r="A1297" s="55">
        <v>6224</v>
      </c>
      <c r="B1297" s="45">
        <v>1.6</v>
      </c>
      <c r="C1297" s="123">
        <v>0.88505747126436785</v>
      </c>
      <c r="D1297" s="121">
        <v>80000000</v>
      </c>
      <c r="E1297" s="241">
        <v>0.52</v>
      </c>
      <c r="F1297" s="123">
        <v>1.6125E-2</v>
      </c>
      <c r="G1297" s="46">
        <v>4976000000</v>
      </c>
      <c r="H1297" s="46">
        <v>1673936000</v>
      </c>
      <c r="I1297" s="56">
        <v>2.972634557115684</v>
      </c>
      <c r="J1297" s="125">
        <v>10.980925324675324</v>
      </c>
    </row>
    <row r="1298" spans="1:11">
      <c r="A1298" s="55">
        <v>6101</v>
      </c>
      <c r="B1298" s="45">
        <v>-0.79</v>
      </c>
      <c r="C1298" s="123">
        <v>1</v>
      </c>
      <c r="D1298" s="121">
        <v>59493670.886075944</v>
      </c>
      <c r="E1298" s="241">
        <v>-0.33</v>
      </c>
      <c r="F1298" s="123">
        <v>-3.3024999999999999E-2</v>
      </c>
      <c r="G1298" s="46">
        <v>1395126582.2784808</v>
      </c>
      <c r="H1298" s="46">
        <v>468344000</v>
      </c>
      <c r="I1298" s="56">
        <v>2.9788501235811302</v>
      </c>
      <c r="J1298" s="125">
        <v>0</v>
      </c>
    </row>
    <row r="1299" spans="1:11">
      <c r="A1299" s="55">
        <v>3523</v>
      </c>
      <c r="B1299" s="114">
        <v>-0.56999999999999995</v>
      </c>
      <c r="C1299" s="122">
        <v>1</v>
      </c>
      <c r="D1299" s="116">
        <v>96491228.070175454</v>
      </c>
      <c r="E1299" s="241">
        <v>-0.08</v>
      </c>
      <c r="F1299" s="122">
        <v>-4.6216666666666677E-2</v>
      </c>
      <c r="G1299" s="116">
        <v>2701754385.9649129</v>
      </c>
      <c r="H1299" s="116">
        <v>905326000</v>
      </c>
      <c r="I1299" s="114">
        <v>2.984288958855609</v>
      </c>
      <c r="J1299" s="116">
        <v>0</v>
      </c>
    </row>
    <row r="1300" spans="1:11">
      <c r="A1300" s="55">
        <v>4947</v>
      </c>
      <c r="B1300" s="45">
        <v>4.32</v>
      </c>
      <c r="C1300" s="123">
        <v>0.83333333333333337</v>
      </c>
      <c r="D1300" s="121">
        <v>44444444.44444444</v>
      </c>
      <c r="E1300" s="241">
        <v>0.51</v>
      </c>
      <c r="F1300" s="123">
        <v>3.8475000000000009E-2</v>
      </c>
      <c r="G1300" s="46">
        <v>9533333333.3333321</v>
      </c>
      <c r="H1300" s="46">
        <v>3166428000</v>
      </c>
      <c r="I1300" s="56">
        <v>3.0107532315067109</v>
      </c>
      <c r="J1300" s="125">
        <v>14.89583333333333</v>
      </c>
      <c r="K1300" s="26"/>
    </row>
    <row r="1301" spans="1:11">
      <c r="A1301" s="55">
        <v>9926</v>
      </c>
      <c r="B1301" s="45">
        <v>0.49</v>
      </c>
      <c r="C1301" s="123">
        <v>0.81097560975609762</v>
      </c>
      <c r="D1301" s="121">
        <v>171428571.42857143</v>
      </c>
      <c r="E1301" s="241">
        <v>0.27</v>
      </c>
      <c r="F1301" s="123">
        <v>-2.013333333333334E-2</v>
      </c>
      <c r="G1301" s="46">
        <v>6805714285.7142868</v>
      </c>
      <c r="H1301" s="46">
        <v>2243758000</v>
      </c>
      <c r="I1301" s="56">
        <v>3.0331766107192872</v>
      </c>
      <c r="J1301" s="125">
        <v>24.976216050329906</v>
      </c>
    </row>
    <row r="1302" spans="1:11">
      <c r="A1302" s="55">
        <v>3474</v>
      </c>
      <c r="B1302" s="114">
        <v>0.88</v>
      </c>
      <c r="C1302" s="122">
        <v>0.78807180081065431</v>
      </c>
      <c r="D1302" s="116">
        <v>6561363636.363636</v>
      </c>
      <c r="E1302" s="241">
        <v>0.28000000000000003</v>
      </c>
      <c r="F1302" s="122">
        <v>-4.9825000000000001E-2</v>
      </c>
      <c r="G1302" s="116">
        <v>185686590909.09091</v>
      </c>
      <c r="H1302" s="116">
        <v>60762323000</v>
      </c>
      <c r="I1302" s="114">
        <v>3.0559495052401289</v>
      </c>
      <c r="J1302" s="116">
        <v>10.201827700220427</v>
      </c>
    </row>
    <row r="1303" spans="1:11">
      <c r="A1303" s="55">
        <v>5508</v>
      </c>
      <c r="B1303" s="45">
        <v>0.56000000000000005</v>
      </c>
      <c r="C1303" s="123">
        <v>1</v>
      </c>
      <c r="D1303" s="121">
        <v>216071428.57142854</v>
      </c>
      <c r="E1303" s="241">
        <v>0.37</v>
      </c>
      <c r="F1303" s="123">
        <v>0.48424166666666668</v>
      </c>
      <c r="G1303" s="46">
        <v>5704285714.2857132</v>
      </c>
      <c r="H1303" s="46">
        <v>1860912000</v>
      </c>
      <c r="I1303" s="56">
        <v>3.0653172822173822</v>
      </c>
      <c r="J1303" s="125">
        <v>11.785714285714285</v>
      </c>
    </row>
    <row r="1304" spans="1:11">
      <c r="A1304" s="55">
        <v>4416</v>
      </c>
      <c r="B1304" s="45">
        <v>-0.03</v>
      </c>
      <c r="C1304" s="123">
        <v>1</v>
      </c>
      <c r="D1304" s="121">
        <v>66666666.666666672</v>
      </c>
      <c r="E1304" s="241">
        <v>0.52</v>
      </c>
      <c r="F1304" s="123">
        <v>12.947749999999999</v>
      </c>
      <c r="G1304" s="46">
        <v>5366666666.666667</v>
      </c>
      <c r="H1304" s="46">
        <v>1746061000</v>
      </c>
      <c r="I1304" s="56">
        <v>3.0735848671189991</v>
      </c>
      <c r="J1304" s="125">
        <v>0</v>
      </c>
    </row>
    <row r="1305" spans="1:11">
      <c r="A1305" s="55">
        <v>1590</v>
      </c>
      <c r="B1305" s="114">
        <v>1.45</v>
      </c>
      <c r="C1305" s="122">
        <v>1</v>
      </c>
      <c r="D1305" s="116">
        <v>178620689.65517241</v>
      </c>
      <c r="E1305" s="241">
        <v>0.51</v>
      </c>
      <c r="F1305" s="122">
        <v>5.9808333333333352E-2</v>
      </c>
      <c r="G1305" s="116">
        <v>27150344827.586205</v>
      </c>
      <c r="H1305" s="116">
        <v>8801592000</v>
      </c>
      <c r="I1305" s="114">
        <v>3.0847084058868219</v>
      </c>
      <c r="J1305" s="116">
        <v>26.206896551724139</v>
      </c>
    </row>
    <row r="1306" spans="1:11">
      <c r="A1306" s="55">
        <v>1813</v>
      </c>
      <c r="B1306" s="114">
        <v>0.81</v>
      </c>
      <c r="C1306" s="122">
        <v>0.22807017543859648</v>
      </c>
      <c r="D1306" s="116">
        <v>46913580.246913575</v>
      </c>
      <c r="E1306" s="241">
        <v>0.33</v>
      </c>
      <c r="F1306" s="122">
        <v>2.0966666666666675E-2</v>
      </c>
      <c r="G1306" s="116">
        <v>1212716049.3827159</v>
      </c>
      <c r="H1306" s="116">
        <v>392011000</v>
      </c>
      <c r="I1306" s="114">
        <v>3.0935765817355021</v>
      </c>
      <c r="J1306" s="116">
        <v>34.982193732193728</v>
      </c>
    </row>
    <row r="1307" spans="1:11">
      <c r="A1307" s="55">
        <v>4164</v>
      </c>
      <c r="B1307" s="45">
        <v>0.52</v>
      </c>
      <c r="C1307" s="123">
        <v>1</v>
      </c>
      <c r="D1307" s="121">
        <v>130769230.76923077</v>
      </c>
      <c r="E1307" s="241">
        <v>0.33</v>
      </c>
      <c r="F1307" s="123">
        <v>0.19730833333333334</v>
      </c>
      <c r="G1307" s="46">
        <v>7427692307.6923075</v>
      </c>
      <c r="H1307" s="46">
        <v>2398351000</v>
      </c>
      <c r="I1307" s="56">
        <v>3.09699969174333</v>
      </c>
      <c r="J1307" s="125">
        <v>27.307692307692307</v>
      </c>
    </row>
    <row r="1308" spans="1:11">
      <c r="A1308" s="55">
        <v>1229</v>
      </c>
      <c r="B1308" s="114">
        <v>0.37</v>
      </c>
      <c r="C1308" s="122">
        <v>0.10268714011516315</v>
      </c>
      <c r="D1308" s="116">
        <v>883783783.78378379</v>
      </c>
      <c r="E1308" s="241">
        <v>0.16</v>
      </c>
      <c r="F1308" s="122">
        <v>7.1833333333333332E-3</v>
      </c>
      <c r="G1308" s="116">
        <v>16438378378.37838</v>
      </c>
      <c r="H1308" s="116">
        <v>5304258000</v>
      </c>
      <c r="I1308" s="114">
        <v>3.0990910280718587</v>
      </c>
      <c r="J1308" s="116">
        <v>50</v>
      </c>
    </row>
    <row r="1309" spans="1:11">
      <c r="A1309" s="55">
        <v>2228</v>
      </c>
      <c r="B1309" s="114">
        <v>2.7</v>
      </c>
      <c r="C1309" s="122">
        <v>0.75570032573289903</v>
      </c>
      <c r="D1309" s="116">
        <v>71851851.851851851</v>
      </c>
      <c r="E1309" s="241">
        <v>0.32</v>
      </c>
      <c r="F1309" s="122">
        <v>2.4175000000000002E-2</v>
      </c>
      <c r="G1309" s="116">
        <v>12250740740.74074</v>
      </c>
      <c r="H1309" s="116">
        <v>3949743000</v>
      </c>
      <c r="I1309" s="114">
        <v>3.10165515597869</v>
      </c>
      <c r="J1309" s="116">
        <v>20.890605044699871</v>
      </c>
    </row>
    <row r="1310" spans="1:11">
      <c r="A1310" s="55">
        <v>4747</v>
      </c>
      <c r="B1310" s="45">
        <v>0.48</v>
      </c>
      <c r="C1310" s="123">
        <v>0.9285714285714286</v>
      </c>
      <c r="D1310" s="121">
        <v>29166666.666666668</v>
      </c>
      <c r="E1310" s="241">
        <v>0.49</v>
      </c>
      <c r="F1310" s="123">
        <v>2.6466666666666663E-2</v>
      </c>
      <c r="G1310" s="46">
        <v>1182708333.3333333</v>
      </c>
      <c r="H1310" s="46">
        <v>380176000</v>
      </c>
      <c r="I1310" s="56">
        <v>3.1109494900607437</v>
      </c>
      <c r="J1310" s="125">
        <v>22.744391025641022</v>
      </c>
    </row>
    <row r="1311" spans="1:11">
      <c r="A1311" s="55">
        <v>4555</v>
      </c>
      <c r="B1311" s="45">
        <v>1.6</v>
      </c>
      <c r="C1311" s="123">
        <v>0.94791666666666663</v>
      </c>
      <c r="D1311" s="121">
        <v>61250000</v>
      </c>
      <c r="E1311" s="241">
        <v>0.45</v>
      </c>
      <c r="F1311" s="123">
        <v>2.1083333333333339E-2</v>
      </c>
      <c r="G1311" s="46">
        <v>4232374999.9999995</v>
      </c>
      <c r="H1311" s="46">
        <v>1351742000</v>
      </c>
      <c r="I1311" s="56">
        <v>3.1310523753793249</v>
      </c>
      <c r="J1311" s="125">
        <v>11.390109890109891</v>
      </c>
    </row>
    <row r="1312" spans="1:11">
      <c r="A1312" s="55">
        <v>3631</v>
      </c>
      <c r="B1312" s="114">
        <v>-0.69</v>
      </c>
      <c r="C1312" s="122">
        <v>0.4157303370786517</v>
      </c>
      <c r="D1312" s="116">
        <v>79710144.927536234</v>
      </c>
      <c r="E1312" s="241">
        <v>0.04</v>
      </c>
      <c r="F1312" s="122">
        <v>-2.435E-2</v>
      </c>
      <c r="G1312" s="116">
        <v>2000724637.6811595</v>
      </c>
      <c r="H1312" s="116">
        <v>638017000</v>
      </c>
      <c r="I1312" s="114">
        <v>3.1358484768919315</v>
      </c>
      <c r="J1312" s="116">
        <v>0</v>
      </c>
    </row>
    <row r="1313" spans="1:10">
      <c r="A1313" s="55">
        <v>9917</v>
      </c>
      <c r="B1313" s="45">
        <v>1.22</v>
      </c>
      <c r="C1313" s="123">
        <v>0.87939221272554602</v>
      </c>
      <c r="D1313" s="121">
        <v>440983606.55737704</v>
      </c>
      <c r="E1313" s="241">
        <v>0.38</v>
      </c>
      <c r="F1313" s="123">
        <v>-9.0833333333333304E-4</v>
      </c>
      <c r="G1313" s="46">
        <v>41849344262.295082</v>
      </c>
      <c r="H1313" s="46">
        <v>13288487000</v>
      </c>
      <c r="I1313" s="56">
        <v>3.149293389254554</v>
      </c>
      <c r="J1313" s="125">
        <v>22.113820238643203</v>
      </c>
    </row>
    <row r="1314" spans="1:10">
      <c r="A1314" s="55">
        <v>1906</v>
      </c>
      <c r="B1314" s="114">
        <v>-0.04</v>
      </c>
      <c r="C1314" s="122">
        <v>0</v>
      </c>
      <c r="D1314" s="116">
        <v>150000000</v>
      </c>
      <c r="E1314" s="241">
        <v>0.21</v>
      </c>
      <c r="F1314" s="122">
        <v>5.345833333333333E-2</v>
      </c>
      <c r="G1314" s="116">
        <v>1012500000</v>
      </c>
      <c r="H1314" s="116">
        <v>321120000</v>
      </c>
      <c r="I1314" s="114">
        <v>3.1530269058295963</v>
      </c>
      <c r="J1314" s="116">
        <v>0</v>
      </c>
    </row>
    <row r="1315" spans="1:10">
      <c r="A1315" s="55">
        <v>2434</v>
      </c>
      <c r="B1315" s="114">
        <v>-1.58</v>
      </c>
      <c r="C1315" s="122">
        <v>1</v>
      </c>
      <c r="D1315" s="116">
        <v>110759493.67088607</v>
      </c>
      <c r="E1315" s="241">
        <v>-3.07</v>
      </c>
      <c r="F1315" s="122">
        <v>0.10089166666666664</v>
      </c>
      <c r="G1315" s="116">
        <v>695569620.25316453</v>
      </c>
      <c r="H1315" s="116">
        <v>217746000</v>
      </c>
      <c r="I1315" s="114">
        <v>3.1944082566530017</v>
      </c>
      <c r="J1315" s="116">
        <v>0</v>
      </c>
    </row>
    <row r="1316" spans="1:10">
      <c r="A1316" s="55">
        <v>3623</v>
      </c>
      <c r="B1316" s="114">
        <v>0.87</v>
      </c>
      <c r="C1316" s="122">
        <v>1</v>
      </c>
      <c r="D1316" s="116">
        <v>58620689.655172415</v>
      </c>
      <c r="E1316" s="241">
        <v>0.33</v>
      </c>
      <c r="F1316" s="122">
        <v>4.0749999999999996E-3</v>
      </c>
      <c r="G1316" s="116">
        <v>3206551724.1379313</v>
      </c>
      <c r="H1316" s="116">
        <v>977311000</v>
      </c>
      <c r="I1316" s="114">
        <v>3.2809942015775238</v>
      </c>
      <c r="J1316" s="116">
        <v>15.718390804597702</v>
      </c>
    </row>
    <row r="1317" spans="1:10">
      <c r="A1317" s="55">
        <v>6131</v>
      </c>
      <c r="B1317" s="45">
        <v>-0.27</v>
      </c>
      <c r="C1317" s="123">
        <v>0.98529411764705888</v>
      </c>
      <c r="D1317" s="121">
        <v>103703703.7037037</v>
      </c>
      <c r="E1317" s="241">
        <v>0.14000000000000001</v>
      </c>
      <c r="F1317" s="123">
        <v>4.0833333333333234E-3</v>
      </c>
      <c r="G1317" s="46">
        <v>754962962.96296299</v>
      </c>
      <c r="H1317" s="46">
        <v>229560000</v>
      </c>
      <c r="I1317" s="56">
        <v>3.2887391660697114</v>
      </c>
      <c r="J1317" s="125">
        <v>0</v>
      </c>
    </row>
    <row r="1318" spans="1:10">
      <c r="A1318" s="55">
        <v>1707</v>
      </c>
      <c r="B1318" s="114">
        <v>2.0099999999999998</v>
      </c>
      <c r="C1318" s="122">
        <v>0.93083003952569165</v>
      </c>
      <c r="D1318" s="116">
        <v>130348258.70646767</v>
      </c>
      <c r="E1318" s="241">
        <v>0.88</v>
      </c>
      <c r="F1318" s="122">
        <v>1.947500000000001E-2</v>
      </c>
      <c r="G1318" s="116">
        <v>24309950248.756222</v>
      </c>
      <c r="H1318" s="116">
        <v>7248477000</v>
      </c>
      <c r="I1318" s="114">
        <v>3.3538011155662386</v>
      </c>
      <c r="J1318" s="116">
        <v>24.920250129395487</v>
      </c>
    </row>
    <row r="1319" spans="1:10">
      <c r="A1319" s="55">
        <v>9951</v>
      </c>
      <c r="B1319" s="45">
        <v>2.65</v>
      </c>
      <c r="C1319" s="123">
        <v>0.86290322580645162</v>
      </c>
      <c r="D1319" s="121">
        <v>74716981.132075474</v>
      </c>
      <c r="E1319" s="241">
        <v>0.4</v>
      </c>
      <c r="F1319" s="123">
        <v>2.6733333333333335E-2</v>
      </c>
      <c r="G1319" s="46">
        <v>12701886792.452831</v>
      </c>
      <c r="H1319" s="46">
        <v>3731890000</v>
      </c>
      <c r="I1319" s="56">
        <v>3.4036069638850104</v>
      </c>
      <c r="J1319" s="125">
        <v>18.585787339093635</v>
      </c>
    </row>
    <row r="1320" spans="1:10">
      <c r="A1320" s="55">
        <v>4503</v>
      </c>
      <c r="B1320" s="45">
        <v>0.04</v>
      </c>
      <c r="C1320" s="123">
        <v>1</v>
      </c>
      <c r="D1320" s="121">
        <v>50000000</v>
      </c>
      <c r="E1320" s="241">
        <v>0.42</v>
      </c>
      <c r="F1320" s="123">
        <v>0.81336666666666668</v>
      </c>
      <c r="G1320" s="46">
        <v>712500000</v>
      </c>
      <c r="H1320" s="46">
        <v>209288000</v>
      </c>
      <c r="I1320" s="56">
        <v>3.4043996789113566</v>
      </c>
      <c r="J1320" s="125">
        <v>50</v>
      </c>
    </row>
    <row r="1321" spans="1:10">
      <c r="A1321" s="55">
        <v>2395</v>
      </c>
      <c r="B1321" s="114">
        <v>1.94</v>
      </c>
      <c r="C1321" s="122">
        <v>0.92723004694835676</v>
      </c>
      <c r="D1321" s="116">
        <v>632989690.72164953</v>
      </c>
      <c r="E1321" s="241">
        <v>0.4</v>
      </c>
      <c r="F1321" s="122">
        <v>1.6141666666666665E-2</v>
      </c>
      <c r="G1321" s="116">
        <v>130395876288.65981</v>
      </c>
      <c r="H1321" s="116">
        <v>38039796000</v>
      </c>
      <c r="I1321" s="114">
        <v>3.4278805356542872</v>
      </c>
      <c r="J1321" s="116">
        <v>28.629779459741616</v>
      </c>
    </row>
    <row r="1322" spans="1:10">
      <c r="A1322" s="55">
        <v>8433</v>
      </c>
      <c r="B1322" s="45">
        <v>2.15</v>
      </c>
      <c r="C1322" s="123">
        <v>0.83597883597883593</v>
      </c>
      <c r="D1322" s="121">
        <v>52558139.534883723</v>
      </c>
      <c r="E1322" s="241">
        <v>0.25</v>
      </c>
      <c r="F1322" s="123">
        <v>2.8883333333333334E-2</v>
      </c>
      <c r="G1322" s="46">
        <v>8698372093.0232563</v>
      </c>
      <c r="H1322" s="46">
        <v>2537480000</v>
      </c>
      <c r="I1322" s="56">
        <v>3.4279569072557248</v>
      </c>
      <c r="J1322" s="125">
        <v>23.019944068295555</v>
      </c>
    </row>
    <row r="1323" spans="1:10">
      <c r="A1323" s="55">
        <v>5203</v>
      </c>
      <c r="B1323" s="45">
        <v>1.66</v>
      </c>
      <c r="C1323" s="123">
        <v>0.67123287671232879</v>
      </c>
      <c r="D1323" s="121">
        <v>100000000</v>
      </c>
      <c r="E1323" s="241">
        <v>0.85</v>
      </c>
      <c r="F1323" s="123">
        <v>6.9758333333333311E-2</v>
      </c>
      <c r="G1323" s="46">
        <v>6800000000</v>
      </c>
      <c r="H1323" s="46">
        <v>1978694000</v>
      </c>
      <c r="I1323" s="56">
        <v>3.4366102085517012</v>
      </c>
      <c r="J1323" s="125">
        <v>15.256946151954757</v>
      </c>
    </row>
    <row r="1324" spans="1:10">
      <c r="A1324" s="55">
        <v>2412</v>
      </c>
      <c r="B1324" s="114">
        <v>1.52</v>
      </c>
      <c r="C1324" s="122">
        <v>0.97623719206453019</v>
      </c>
      <c r="D1324" s="116">
        <v>7763815789.4736843</v>
      </c>
      <c r="E1324" s="241">
        <v>0.4</v>
      </c>
      <c r="F1324" s="122">
        <v>1.0999999999999992E-3</v>
      </c>
      <c r="G1324" s="116">
        <v>799673026315.78943</v>
      </c>
      <c r="H1324" s="116">
        <v>231789721000</v>
      </c>
      <c r="I1324" s="114">
        <v>3.4499934805814338</v>
      </c>
      <c r="J1324" s="116">
        <v>17.3531490209445</v>
      </c>
    </row>
    <row r="1325" spans="1:10">
      <c r="A1325" s="55">
        <v>8114</v>
      </c>
      <c r="B1325" s="45">
        <v>3.01</v>
      </c>
      <c r="C1325" s="123">
        <v>0.89196675900277012</v>
      </c>
      <c r="D1325" s="121">
        <v>67774086.378737539</v>
      </c>
      <c r="E1325" s="241">
        <v>0.43</v>
      </c>
      <c r="F1325" s="123">
        <v>3.5549999999999998E-2</v>
      </c>
      <c r="G1325" s="46">
        <v>10504983388.704319</v>
      </c>
      <c r="H1325" s="46">
        <v>3024112000</v>
      </c>
      <c r="I1325" s="56">
        <v>3.4737415111293228</v>
      </c>
      <c r="J1325" s="125">
        <v>14.43299766822806</v>
      </c>
    </row>
    <row r="1326" spans="1:10">
      <c r="A1326" s="55">
        <v>6136</v>
      </c>
      <c r="B1326" s="45">
        <v>1.1200000000000001</v>
      </c>
      <c r="C1326" s="123">
        <v>0</v>
      </c>
      <c r="D1326" s="121">
        <v>116071428.57142857</v>
      </c>
      <c r="E1326" s="241">
        <v>0.3</v>
      </c>
      <c r="F1326" s="123">
        <v>1.7316666666666661E-2</v>
      </c>
      <c r="G1326" s="46">
        <v>2669642857.1428571</v>
      </c>
      <c r="H1326" s="46">
        <v>767554000</v>
      </c>
      <c r="I1326" s="56">
        <v>3.47811731440766</v>
      </c>
      <c r="J1326" s="125">
        <v>0</v>
      </c>
    </row>
    <row r="1327" spans="1:10">
      <c r="A1327" s="55">
        <v>5344</v>
      </c>
      <c r="B1327" s="45">
        <v>-0.25</v>
      </c>
      <c r="C1327" s="123">
        <v>1</v>
      </c>
      <c r="D1327" s="121">
        <v>80000000</v>
      </c>
      <c r="E1327" s="241">
        <v>-0.44</v>
      </c>
      <c r="F1327" s="123">
        <v>3.8350000000000002E-2</v>
      </c>
      <c r="G1327" s="46">
        <v>460800000</v>
      </c>
      <c r="H1327" s="46">
        <v>132462000</v>
      </c>
      <c r="I1327" s="56">
        <v>3.4787335235765728</v>
      </c>
      <c r="J1327" s="125">
        <v>0</v>
      </c>
    </row>
    <row r="1328" spans="1:10">
      <c r="A1328" s="55">
        <v>5347</v>
      </c>
      <c r="B1328" s="45">
        <v>0.52</v>
      </c>
      <c r="C1328" s="123">
        <v>0.88087774294670851</v>
      </c>
      <c r="D1328" s="121">
        <v>1636538461.5384614</v>
      </c>
      <c r="E1328" s="241">
        <v>0.27</v>
      </c>
      <c r="F1328" s="123">
        <v>-1.7708333333333336E-2</v>
      </c>
      <c r="G1328" s="46">
        <v>81499615384.615372</v>
      </c>
      <c r="H1328" s="46">
        <v>23319721000</v>
      </c>
      <c r="I1328" s="56">
        <v>3.4948795221270172</v>
      </c>
      <c r="J1328" s="125">
        <v>27.180057486996986</v>
      </c>
    </row>
    <row r="1329" spans="1:10">
      <c r="A1329" s="55">
        <v>4126</v>
      </c>
      <c r="B1329" s="45">
        <v>1.84</v>
      </c>
      <c r="C1329" s="123">
        <v>0.86390532544378695</v>
      </c>
      <c r="D1329" s="121">
        <v>66304347.826086953</v>
      </c>
      <c r="E1329" s="241">
        <v>0.37</v>
      </c>
      <c r="F1329" s="123">
        <v>4.1941666666666676E-2</v>
      </c>
      <c r="G1329" s="46">
        <v>5669021739.130434</v>
      </c>
      <c r="H1329" s="46">
        <v>1621564000</v>
      </c>
      <c r="I1329" s="56">
        <v>3.4960209644087028</v>
      </c>
      <c r="J1329" s="125">
        <v>13.446899195949971</v>
      </c>
    </row>
    <row r="1330" spans="1:10">
      <c r="A1330" s="55">
        <v>2904</v>
      </c>
      <c r="B1330" s="114">
        <v>0.56999999999999995</v>
      </c>
      <c r="C1330" s="122">
        <v>0.72941176470588232</v>
      </c>
      <c r="D1330" s="116">
        <v>70175438.596491233</v>
      </c>
      <c r="E1330" s="241">
        <v>0.39</v>
      </c>
      <c r="F1330" s="122">
        <v>2.9166666666666924E-4</v>
      </c>
      <c r="G1330" s="116">
        <v>1810526315.7894738</v>
      </c>
      <c r="H1330" s="116">
        <v>511691000</v>
      </c>
      <c r="I1330" s="114">
        <v>3.5383196417163361</v>
      </c>
      <c r="J1330" s="116">
        <v>15.513582342954162</v>
      </c>
    </row>
    <row r="1331" spans="1:10">
      <c r="A1331" s="55">
        <v>5345</v>
      </c>
      <c r="B1331" s="45">
        <v>0.47</v>
      </c>
      <c r="C1331" s="123">
        <v>0</v>
      </c>
      <c r="D1331" s="121">
        <v>48936170.212765962</v>
      </c>
      <c r="E1331" s="241">
        <v>0.41</v>
      </c>
      <c r="F1331" s="123">
        <v>2.5941666666666668E-2</v>
      </c>
      <c r="G1331" s="46">
        <v>456574468.08510643</v>
      </c>
      <c r="H1331" s="46">
        <v>128380000</v>
      </c>
      <c r="I1331" s="56">
        <v>3.5564298807065464</v>
      </c>
      <c r="J1331" s="125">
        <v>0</v>
      </c>
    </row>
    <row r="1332" spans="1:10">
      <c r="A1332" s="55">
        <v>1416</v>
      </c>
      <c r="B1332" s="114">
        <v>-0.26</v>
      </c>
      <c r="C1332" s="122">
        <v>0.87401574803149606</v>
      </c>
      <c r="D1332" s="116">
        <v>273076923.07692307</v>
      </c>
      <c r="E1332" s="241">
        <v>-4.8</v>
      </c>
      <c r="F1332" s="122">
        <v>1.3843166666666669</v>
      </c>
      <c r="G1332" s="116">
        <v>4669615384.6153851</v>
      </c>
      <c r="H1332" s="116">
        <v>1312003000</v>
      </c>
      <c r="I1332" s="114">
        <v>3.559149929242071</v>
      </c>
      <c r="J1332" s="116">
        <v>0</v>
      </c>
    </row>
    <row r="1333" spans="1:10">
      <c r="A1333" s="55">
        <v>2107</v>
      </c>
      <c r="B1333" s="114">
        <v>0.52</v>
      </c>
      <c r="C1333" s="122">
        <v>9.7560975609756101E-2</v>
      </c>
      <c r="D1333" s="116">
        <v>490384615.38461536</v>
      </c>
      <c r="E1333" s="241">
        <v>0.27</v>
      </c>
      <c r="F1333" s="122">
        <v>0.43385000000000007</v>
      </c>
      <c r="G1333" s="116">
        <v>8262980769.2307692</v>
      </c>
      <c r="H1333" s="116">
        <v>2290941000</v>
      </c>
      <c r="I1333" s="114">
        <v>3.6068064473204546</v>
      </c>
      <c r="J1333" s="116">
        <v>50</v>
      </c>
    </row>
    <row r="1334" spans="1:10">
      <c r="A1334" s="55">
        <v>5398</v>
      </c>
      <c r="B1334" s="45">
        <v>-0.41</v>
      </c>
      <c r="C1334" s="123">
        <v>0.54545454545454541</v>
      </c>
      <c r="D1334" s="121">
        <v>41463414.634146348</v>
      </c>
      <c r="E1334" s="241">
        <v>0.31</v>
      </c>
      <c r="F1334" s="123">
        <v>9.5666666666666643E-3</v>
      </c>
      <c r="G1334" s="46">
        <v>791951219.51219535</v>
      </c>
      <c r="H1334" s="46">
        <v>219511000</v>
      </c>
      <c r="I1334" s="56">
        <v>3.6077974202304</v>
      </c>
      <c r="J1334" s="125">
        <v>0</v>
      </c>
    </row>
    <row r="1335" spans="1:10">
      <c r="A1335" s="55">
        <v>1456</v>
      </c>
      <c r="B1335" s="114">
        <v>-7.0000000000000007E-2</v>
      </c>
      <c r="C1335" s="122">
        <v>0.19444444444444445</v>
      </c>
      <c r="D1335" s="116">
        <v>214285714.28571427</v>
      </c>
      <c r="E1335" s="241">
        <v>0.11</v>
      </c>
      <c r="F1335" s="122">
        <v>-3.4450000000000001E-2</v>
      </c>
      <c r="G1335" s="116">
        <v>2046428571.4285715</v>
      </c>
      <c r="H1335" s="116">
        <v>566692000</v>
      </c>
      <c r="I1335" s="114">
        <v>3.6111830966884506</v>
      </c>
      <c r="J1335" s="116">
        <v>0</v>
      </c>
    </row>
    <row r="1336" spans="1:10">
      <c r="A1336" s="55">
        <v>6238</v>
      </c>
      <c r="B1336" s="45">
        <v>3.12</v>
      </c>
      <c r="C1336" s="123">
        <v>1</v>
      </c>
      <c r="D1336" s="121">
        <v>40064102.56410256</v>
      </c>
      <c r="E1336" s="241">
        <v>0.28000000000000003</v>
      </c>
      <c r="F1336" s="123">
        <v>0.1439</v>
      </c>
      <c r="G1336" s="46">
        <v>9354967948.717947</v>
      </c>
      <c r="H1336" s="46">
        <v>2574493000</v>
      </c>
      <c r="I1336" s="56">
        <v>3.6337127149764816</v>
      </c>
      <c r="J1336" s="125">
        <v>18.709935897435898</v>
      </c>
    </row>
    <row r="1337" spans="1:10">
      <c r="A1337" s="55">
        <v>8436</v>
      </c>
      <c r="B1337" s="45">
        <v>1.1299999999999999</v>
      </c>
      <c r="C1337" s="123">
        <v>0.76865671641791045</v>
      </c>
      <c r="D1337" s="121">
        <v>61061946.902654871</v>
      </c>
      <c r="E1337" s="241">
        <v>0.34</v>
      </c>
      <c r="F1337" s="123">
        <v>4.0783333333333331E-2</v>
      </c>
      <c r="G1337" s="46">
        <v>7815929203.5398235</v>
      </c>
      <c r="H1337" s="46">
        <v>2150451000</v>
      </c>
      <c r="I1337" s="56">
        <v>3.6345534976336702</v>
      </c>
      <c r="J1337" s="125">
        <v>36.841653062977926</v>
      </c>
    </row>
    <row r="1338" spans="1:10">
      <c r="A1338" s="55">
        <v>1777</v>
      </c>
      <c r="B1338" s="114">
        <v>1.74</v>
      </c>
      <c r="C1338" s="122">
        <v>0.78666666666666663</v>
      </c>
      <c r="D1338" s="116">
        <v>29885057.47126437</v>
      </c>
      <c r="E1338" s="241">
        <v>0.39</v>
      </c>
      <c r="F1338" s="122">
        <v>2.3083333333333331E-2</v>
      </c>
      <c r="G1338" s="116">
        <v>2495402298.850575</v>
      </c>
      <c r="H1338" s="116">
        <v>683562000</v>
      </c>
      <c r="I1338" s="114">
        <v>3.6505866312793498</v>
      </c>
      <c r="J1338" s="116">
        <v>15.250584453535943</v>
      </c>
    </row>
    <row r="1339" spans="1:10">
      <c r="A1339" s="55">
        <v>4102</v>
      </c>
      <c r="B1339" s="45">
        <v>0.13</v>
      </c>
      <c r="C1339" s="123">
        <v>1</v>
      </c>
      <c r="D1339" s="121">
        <v>46153846.153846152</v>
      </c>
      <c r="E1339" s="241">
        <v>0.25</v>
      </c>
      <c r="F1339" s="123">
        <v>7.4541666666666645E-2</v>
      </c>
      <c r="G1339" s="46">
        <v>1165384615.3846154</v>
      </c>
      <c r="H1339" s="46">
        <v>318509000</v>
      </c>
      <c r="I1339" s="56">
        <v>3.6588749937509313</v>
      </c>
      <c r="J1339" s="125">
        <v>48.557692307692307</v>
      </c>
    </row>
    <row r="1340" spans="1:10">
      <c r="A1340" s="55">
        <v>5245</v>
      </c>
      <c r="B1340" s="45">
        <v>1.43</v>
      </c>
      <c r="C1340" s="123">
        <v>0.8125</v>
      </c>
      <c r="D1340" s="121">
        <v>38461538.461538464</v>
      </c>
      <c r="E1340" s="241">
        <v>0.28999999999999998</v>
      </c>
      <c r="F1340" s="123">
        <v>6.0058333333333332E-2</v>
      </c>
      <c r="G1340" s="46">
        <v>4730769230.7692308</v>
      </c>
      <c r="H1340" s="46">
        <v>1284652000</v>
      </c>
      <c r="I1340" s="56">
        <v>3.6825297674150126</v>
      </c>
      <c r="J1340" s="125">
        <v>26.465841850457235</v>
      </c>
    </row>
    <row r="1341" spans="1:10">
      <c r="A1341" s="55">
        <v>6264</v>
      </c>
      <c r="B1341" s="45">
        <v>-0.23</v>
      </c>
      <c r="C1341" s="123">
        <v>0.83050847457627119</v>
      </c>
      <c r="D1341" s="121">
        <v>139130434.78260869</v>
      </c>
      <c r="E1341" s="241">
        <v>-0.12</v>
      </c>
      <c r="F1341" s="123">
        <v>3.9530999999999992</v>
      </c>
      <c r="G1341" s="46">
        <v>868173913.04347825</v>
      </c>
      <c r="H1341" s="46">
        <v>235066000</v>
      </c>
      <c r="I1341" s="56">
        <v>3.6933198039847457</v>
      </c>
      <c r="J1341" s="125">
        <v>0</v>
      </c>
    </row>
    <row r="1342" spans="1:10">
      <c r="A1342" s="55">
        <v>5302</v>
      </c>
      <c r="B1342" s="45">
        <v>-0.02</v>
      </c>
      <c r="C1342" s="123">
        <v>1</v>
      </c>
      <c r="D1342" s="121">
        <v>150000000</v>
      </c>
      <c r="E1342" s="241">
        <v>0.41</v>
      </c>
      <c r="F1342" s="123">
        <v>0.31212500000000004</v>
      </c>
      <c r="G1342" s="46">
        <v>789000000</v>
      </c>
      <c r="H1342" s="46">
        <v>213427000</v>
      </c>
      <c r="I1342" s="56">
        <v>3.696814367441795</v>
      </c>
      <c r="J1342" s="125">
        <v>0</v>
      </c>
    </row>
    <row r="1343" spans="1:10">
      <c r="A1343" s="55">
        <v>5534</v>
      </c>
      <c r="B1343" s="45">
        <v>1.28</v>
      </c>
      <c r="C1343" s="123">
        <v>1</v>
      </c>
      <c r="D1343" s="121">
        <v>273437500</v>
      </c>
      <c r="E1343" s="241">
        <v>0.44</v>
      </c>
      <c r="F1343" s="123">
        <v>0.67336666666666656</v>
      </c>
      <c r="G1343" s="46">
        <v>11525390625</v>
      </c>
      <c r="H1343" s="46">
        <v>3117403000</v>
      </c>
      <c r="I1343" s="56">
        <v>3.6971128291722311</v>
      </c>
      <c r="J1343" s="125">
        <v>8.232421875</v>
      </c>
    </row>
    <row r="1344" spans="1:10">
      <c r="A1344" s="55">
        <v>1713</v>
      </c>
      <c r="B1344" s="114">
        <v>0.12</v>
      </c>
      <c r="C1344" s="122">
        <v>0.5714285714285714</v>
      </c>
      <c r="D1344" s="116">
        <v>150000000</v>
      </c>
      <c r="E1344" s="241">
        <v>0.15</v>
      </c>
      <c r="F1344" s="122">
        <v>-1.2375000000000002E-2</v>
      </c>
      <c r="G1344" s="116">
        <v>2332500000</v>
      </c>
      <c r="H1344" s="116">
        <v>629491000</v>
      </c>
      <c r="I1344" s="114">
        <v>3.7053746598442232</v>
      </c>
      <c r="J1344" s="116">
        <v>50</v>
      </c>
    </row>
    <row r="1345" spans="1:10">
      <c r="A1345" s="55">
        <v>5704</v>
      </c>
      <c r="B1345" s="45">
        <v>0.26</v>
      </c>
      <c r="C1345" s="123">
        <v>0.83333333333333337</v>
      </c>
      <c r="D1345" s="121">
        <v>38461538.461538464</v>
      </c>
      <c r="E1345" s="241">
        <v>0.42</v>
      </c>
      <c r="F1345" s="123">
        <v>5.834166666666666E-2</v>
      </c>
      <c r="G1345" s="46">
        <v>1228846153.846154</v>
      </c>
      <c r="H1345" s="46">
        <v>330614000</v>
      </c>
      <c r="I1345" s="56">
        <v>3.7168606103980895</v>
      </c>
      <c r="J1345" s="125">
        <v>36.865384615384613</v>
      </c>
    </row>
    <row r="1346" spans="1:10">
      <c r="A1346" s="55">
        <v>8431</v>
      </c>
      <c r="B1346" s="45">
        <v>-0.99</v>
      </c>
      <c r="C1346" s="123">
        <v>1</v>
      </c>
      <c r="D1346" s="121">
        <v>41414141.414141417</v>
      </c>
      <c r="E1346" s="241">
        <v>-0.16</v>
      </c>
      <c r="F1346" s="123">
        <v>-6.4999999999999962E-3</v>
      </c>
      <c r="G1346" s="46">
        <v>3135050505.0505052</v>
      </c>
      <c r="H1346" s="46">
        <v>840982000</v>
      </c>
      <c r="I1346" s="56">
        <v>3.7278449539354055</v>
      </c>
      <c r="J1346" s="125">
        <v>0</v>
      </c>
    </row>
    <row r="1347" spans="1:10">
      <c r="A1347" s="55">
        <v>8083</v>
      </c>
      <c r="B1347" s="45">
        <v>2.4500000000000002</v>
      </c>
      <c r="C1347" s="123">
        <v>0.86250000000000004</v>
      </c>
      <c r="D1347" s="121">
        <v>35102040.816326529</v>
      </c>
      <c r="E1347" s="241">
        <v>0.42</v>
      </c>
      <c r="F1347" s="123">
        <v>2.8916666666666696E-3</v>
      </c>
      <c r="G1347" s="46">
        <v>4703673469.3877544</v>
      </c>
      <c r="H1347" s="46">
        <v>1252522000</v>
      </c>
      <c r="I1347" s="56">
        <v>3.7553619572253059</v>
      </c>
      <c r="J1347" s="125">
        <v>15.853297840875479</v>
      </c>
    </row>
    <row r="1348" spans="1:10">
      <c r="A1348" s="55">
        <v>8109</v>
      </c>
      <c r="B1348" s="45">
        <v>2.65</v>
      </c>
      <c r="C1348" s="123">
        <v>0.5321100917431193</v>
      </c>
      <c r="D1348" s="121">
        <v>59622641.509433962</v>
      </c>
      <c r="E1348" s="241">
        <v>0.5</v>
      </c>
      <c r="F1348" s="123">
        <v>1.8675000000000001E-2</v>
      </c>
      <c r="G1348" s="46">
        <v>3589283018.8679247</v>
      </c>
      <c r="H1348" s="46">
        <v>947294000</v>
      </c>
      <c r="I1348" s="56">
        <v>3.7889852768706702</v>
      </c>
      <c r="J1348" s="125">
        <v>10.673064411190632</v>
      </c>
    </row>
    <row r="1349" spans="1:10">
      <c r="A1349" s="55">
        <v>6228</v>
      </c>
      <c r="B1349" s="45">
        <v>0.02</v>
      </c>
      <c r="C1349" s="123">
        <v>1</v>
      </c>
      <c r="D1349" s="121">
        <v>50000000</v>
      </c>
      <c r="E1349" s="241">
        <v>0.28999999999999998</v>
      </c>
      <c r="F1349" s="123">
        <v>0.20459166666666664</v>
      </c>
      <c r="G1349" s="46">
        <v>390000000</v>
      </c>
      <c r="H1349" s="46">
        <v>102675000</v>
      </c>
      <c r="I1349" s="56">
        <v>3.7983929875821767</v>
      </c>
      <c r="J1349" s="125">
        <v>50</v>
      </c>
    </row>
    <row r="1350" spans="1:10">
      <c r="A1350" s="55">
        <v>8446</v>
      </c>
      <c r="B1350" s="45">
        <v>1.46</v>
      </c>
      <c r="C1350" s="123">
        <v>0.839622641509434</v>
      </c>
      <c r="D1350" s="121">
        <v>42465753.424657539</v>
      </c>
      <c r="E1350" s="241">
        <v>0.46</v>
      </c>
      <c r="F1350" s="123">
        <v>5.0300000000000004E-2</v>
      </c>
      <c r="G1350" s="46">
        <v>3996027397.2602739</v>
      </c>
      <c r="H1350" s="46">
        <v>1051655000</v>
      </c>
      <c r="I1350" s="56">
        <v>3.7997512466163084</v>
      </c>
      <c r="J1350" s="125">
        <v>19.190780360166229</v>
      </c>
    </row>
    <row r="1351" spans="1:10">
      <c r="A1351" s="55">
        <v>5512</v>
      </c>
      <c r="B1351" s="45">
        <v>-0.06</v>
      </c>
      <c r="C1351" s="123">
        <v>0.60447761194029848</v>
      </c>
      <c r="D1351" s="121">
        <v>750000000</v>
      </c>
      <c r="E1351" s="241">
        <v>0.49</v>
      </c>
      <c r="F1351" s="123">
        <v>0.101775</v>
      </c>
      <c r="G1351" s="46">
        <v>7005000000</v>
      </c>
      <c r="H1351" s="46">
        <v>1835129000</v>
      </c>
      <c r="I1351" s="56">
        <v>3.8171703460628654</v>
      </c>
      <c r="J1351" s="125">
        <v>0</v>
      </c>
    </row>
    <row r="1352" spans="1:10">
      <c r="A1352" s="55">
        <v>6184</v>
      </c>
      <c r="B1352" s="45">
        <v>0.47</v>
      </c>
      <c r="C1352" s="123">
        <v>0.7072072072072072</v>
      </c>
      <c r="D1352" s="121">
        <v>131914893.61702128</v>
      </c>
      <c r="E1352" s="241">
        <v>0.43</v>
      </c>
      <c r="F1352" s="123">
        <v>5.5166666666666671E-3</v>
      </c>
      <c r="G1352" s="46">
        <v>6404468085.1063824</v>
      </c>
      <c r="H1352" s="46">
        <v>1672415000</v>
      </c>
      <c r="I1352" s="56">
        <v>3.8294729986913429</v>
      </c>
      <c r="J1352" s="125">
        <v>36.51612684645616</v>
      </c>
    </row>
    <row r="1353" spans="1:10">
      <c r="A1353" s="55">
        <v>6169</v>
      </c>
      <c r="B1353" s="45">
        <v>-1.08</v>
      </c>
      <c r="C1353" s="123">
        <v>0.95833333333333337</v>
      </c>
      <c r="D1353" s="121">
        <v>27777777.777777776</v>
      </c>
      <c r="E1353" s="241">
        <v>0.41</v>
      </c>
      <c r="F1353" s="123">
        <v>6.221666666666667E-2</v>
      </c>
      <c r="G1353" s="46">
        <v>694444444.44444442</v>
      </c>
      <c r="H1353" s="46">
        <v>180637000</v>
      </c>
      <c r="I1353" s="56">
        <v>3.8444197171368235</v>
      </c>
      <c r="J1353" s="125">
        <v>0</v>
      </c>
    </row>
    <row r="1354" spans="1:10">
      <c r="A1354" s="55">
        <v>3164</v>
      </c>
      <c r="B1354" s="114">
        <v>0.12</v>
      </c>
      <c r="C1354" s="122">
        <v>1</v>
      </c>
      <c r="D1354" s="116">
        <v>91666666.666666672</v>
      </c>
      <c r="E1354" s="241">
        <v>0.57999999999999996</v>
      </c>
      <c r="F1354" s="122">
        <v>4.4750000000000005E-2</v>
      </c>
      <c r="G1354" s="116">
        <v>2094583333.3333335</v>
      </c>
      <c r="H1354" s="116">
        <v>535480000</v>
      </c>
      <c r="I1354" s="114">
        <v>3.9115995617639006</v>
      </c>
      <c r="J1354" s="116">
        <v>47.604166666666671</v>
      </c>
    </row>
    <row r="1355" spans="1:10">
      <c r="A1355" s="55">
        <v>6279</v>
      </c>
      <c r="B1355" s="45">
        <v>2.0299999999999998</v>
      </c>
      <c r="C1355" s="123">
        <v>0.83783783783783783</v>
      </c>
      <c r="D1355" s="121">
        <v>97044334.975369468</v>
      </c>
      <c r="E1355" s="241">
        <v>0.39</v>
      </c>
      <c r="F1355" s="123">
        <v>2.3383333333333336E-2</v>
      </c>
      <c r="G1355" s="46">
        <v>13295073891.625618</v>
      </c>
      <c r="H1355" s="46">
        <v>3395658000</v>
      </c>
      <c r="I1355" s="56">
        <v>3.9153159392452412</v>
      </c>
      <c r="J1355" s="125">
        <v>20.137454314317498</v>
      </c>
    </row>
    <row r="1356" spans="1:10">
      <c r="A1356" s="55">
        <v>4133</v>
      </c>
      <c r="B1356" s="45">
        <v>0.15</v>
      </c>
      <c r="C1356" s="123">
        <v>0.76470588235294112</v>
      </c>
      <c r="D1356" s="121">
        <v>60000000</v>
      </c>
      <c r="E1356" s="241">
        <v>0.43</v>
      </c>
      <c r="F1356" s="123">
        <v>2.9749999999999998E-3</v>
      </c>
      <c r="G1356" s="46">
        <v>1773000000</v>
      </c>
      <c r="H1356" s="46">
        <v>451367000</v>
      </c>
      <c r="I1356" s="56">
        <v>3.9280674041301205</v>
      </c>
      <c r="J1356" s="125">
        <v>50</v>
      </c>
    </row>
    <row r="1357" spans="1:10">
      <c r="A1357" s="55">
        <v>3611</v>
      </c>
      <c r="B1357" s="114">
        <v>4.6100000000000003</v>
      </c>
      <c r="C1357" s="122">
        <v>0.83236994219653182</v>
      </c>
      <c r="D1357" s="116">
        <v>38177874.186550975</v>
      </c>
      <c r="E1357" s="241">
        <v>0.45</v>
      </c>
      <c r="F1357" s="122">
        <v>1.5966666666666664E-2</v>
      </c>
      <c r="G1357" s="116">
        <v>10460737527.114967</v>
      </c>
      <c r="H1357" s="116">
        <v>2658833000</v>
      </c>
      <c r="I1357" s="114">
        <v>3.9343341710874533</v>
      </c>
      <c r="J1357" s="116">
        <v>17.851440106049647</v>
      </c>
    </row>
    <row r="1358" spans="1:10">
      <c r="A1358" s="55">
        <v>4557</v>
      </c>
      <c r="B1358" s="45">
        <v>2.4</v>
      </c>
      <c r="C1358" s="123">
        <v>0.76229508196721307</v>
      </c>
      <c r="D1358" s="121">
        <v>30833333.333333336</v>
      </c>
      <c r="E1358" s="241">
        <v>0.34</v>
      </c>
      <c r="F1358" s="123">
        <v>-7.6333333333333336E-2</v>
      </c>
      <c r="G1358" s="46">
        <v>2213833333.3333335</v>
      </c>
      <c r="H1358" s="46">
        <v>559131000</v>
      </c>
      <c r="I1358" s="56">
        <v>3.9594179777786125</v>
      </c>
      <c r="J1358" s="125">
        <v>9.8113799283154126</v>
      </c>
    </row>
    <row r="1359" spans="1:10">
      <c r="A1359" s="55">
        <v>3629</v>
      </c>
      <c r="B1359" s="114">
        <v>-1.38</v>
      </c>
      <c r="C1359" s="122">
        <v>0.9375</v>
      </c>
      <c r="D1359" s="116">
        <v>14492753.623188406</v>
      </c>
      <c r="E1359" s="241">
        <v>-0.3</v>
      </c>
      <c r="F1359" s="122">
        <v>0.34083333333333332</v>
      </c>
      <c r="G1359" s="116">
        <v>473913043.47826093</v>
      </c>
      <c r="H1359" s="116">
        <v>117138000</v>
      </c>
      <c r="I1359" s="114">
        <v>4.0457669029543011</v>
      </c>
      <c r="J1359" s="116">
        <v>0</v>
      </c>
    </row>
    <row r="1360" spans="1:10">
      <c r="A1360" s="55">
        <v>4167</v>
      </c>
      <c r="B1360" s="45">
        <v>-0.61</v>
      </c>
      <c r="C1360" s="123">
        <v>0.94392523364485981</v>
      </c>
      <c r="D1360" s="121">
        <v>190163934.42622951</v>
      </c>
      <c r="E1360" s="241">
        <v>-0.04</v>
      </c>
      <c r="F1360" s="123">
        <v>-3.014166666666666E-2</v>
      </c>
      <c r="G1360" s="46">
        <v>4535409836.0655737</v>
      </c>
      <c r="H1360" s="46">
        <v>1120608000</v>
      </c>
      <c r="I1360" s="56">
        <v>4.0472759752434158</v>
      </c>
      <c r="J1360" s="125">
        <v>0</v>
      </c>
    </row>
    <row r="1361" spans="1:10">
      <c r="A1361" s="55">
        <v>3662</v>
      </c>
      <c r="B1361" s="114">
        <v>0.95</v>
      </c>
      <c r="C1361" s="122">
        <v>0.96678966789667897</v>
      </c>
      <c r="D1361" s="116">
        <v>118947368.42105263</v>
      </c>
      <c r="E1361" s="241">
        <v>0.74</v>
      </c>
      <c r="F1361" s="122">
        <v>0.10447499999999998</v>
      </c>
      <c r="G1361" s="116">
        <v>8873473684.2105255</v>
      </c>
      <c r="H1361" s="116">
        <v>2191195000</v>
      </c>
      <c r="I1361" s="114">
        <v>4.0496047518411302</v>
      </c>
      <c r="J1361" s="116">
        <v>20.305946163117717</v>
      </c>
    </row>
    <row r="1362" spans="1:10">
      <c r="A1362" s="55">
        <v>2707</v>
      </c>
      <c r="B1362" s="114">
        <v>1.68</v>
      </c>
      <c r="C1362" s="122">
        <v>1</v>
      </c>
      <c r="D1362" s="116">
        <v>126785714.28571428</v>
      </c>
      <c r="E1362" s="241">
        <v>0.36</v>
      </c>
      <c r="F1362" s="122">
        <v>1.7083333333333349E-3</v>
      </c>
      <c r="G1362" s="116">
        <v>27132142857.142857</v>
      </c>
      <c r="H1362" s="116">
        <v>6671159000</v>
      </c>
      <c r="I1362" s="114">
        <v>4.0670808261567224</v>
      </c>
      <c r="J1362" s="116">
        <v>31.845238095238095</v>
      </c>
    </row>
    <row r="1363" spans="1:10">
      <c r="A1363" s="55">
        <v>5306</v>
      </c>
      <c r="B1363" s="45">
        <v>2</v>
      </c>
      <c r="C1363" s="123">
        <v>0.70422535211267601</v>
      </c>
      <c r="D1363" s="121">
        <v>112000000</v>
      </c>
      <c r="E1363" s="241">
        <v>0.38</v>
      </c>
      <c r="F1363" s="123">
        <v>3.5583333333333335E-2</v>
      </c>
      <c r="G1363" s="46">
        <v>13888000000</v>
      </c>
      <c r="H1363" s="46">
        <v>3401048000</v>
      </c>
      <c r="I1363" s="56">
        <v>4.0834472197981331</v>
      </c>
      <c r="J1363" s="125">
        <v>22.01</v>
      </c>
    </row>
    <row r="1364" spans="1:10">
      <c r="A1364" s="55">
        <v>6222</v>
      </c>
      <c r="B1364" s="45">
        <v>-0.62</v>
      </c>
      <c r="C1364" s="123">
        <v>0.95833333333333337</v>
      </c>
      <c r="D1364" s="121">
        <v>56451612.903225809</v>
      </c>
      <c r="E1364" s="241">
        <v>-1.46</v>
      </c>
      <c r="F1364" s="123">
        <v>0.65773333333333339</v>
      </c>
      <c r="G1364" s="46">
        <v>402500000</v>
      </c>
      <c r="H1364" s="46">
        <v>97655000</v>
      </c>
      <c r="I1364" s="56">
        <v>4.1216527571552914</v>
      </c>
      <c r="J1364" s="125">
        <v>0</v>
      </c>
    </row>
    <row r="1365" spans="1:10">
      <c r="A1365" s="55">
        <v>2466</v>
      </c>
      <c r="B1365" s="114">
        <v>0.09</v>
      </c>
      <c r="C1365" s="122">
        <v>1</v>
      </c>
      <c r="D1365" s="116">
        <v>144444444.44444445</v>
      </c>
      <c r="E1365" s="241">
        <v>0.19</v>
      </c>
      <c r="F1365" s="122">
        <v>7.958333333333319E-3</v>
      </c>
      <c r="G1365" s="116">
        <v>4831666666.666667</v>
      </c>
      <c r="H1365" s="116">
        <v>1171622000</v>
      </c>
      <c r="I1365" s="114">
        <v>4.1239125474484659</v>
      </c>
      <c r="J1365" s="116">
        <v>50</v>
      </c>
    </row>
    <row r="1366" spans="1:10">
      <c r="A1366" s="55">
        <v>5227</v>
      </c>
      <c r="B1366" s="45">
        <v>-0.45</v>
      </c>
      <c r="C1366" s="123">
        <v>1</v>
      </c>
      <c r="D1366" s="121">
        <v>164444444.44444445</v>
      </c>
      <c r="E1366" s="241">
        <v>0.27</v>
      </c>
      <c r="F1366" s="123">
        <v>1.5516666666666656E-2</v>
      </c>
      <c r="G1366" s="46">
        <v>4546888888.8888884</v>
      </c>
      <c r="H1366" s="46">
        <v>1094652000</v>
      </c>
      <c r="I1366" s="56">
        <v>4.1537300337357337</v>
      </c>
      <c r="J1366" s="125">
        <v>0</v>
      </c>
    </row>
    <row r="1367" spans="1:10">
      <c r="A1367" s="55">
        <v>9945</v>
      </c>
      <c r="B1367" s="45">
        <v>2.72</v>
      </c>
      <c r="C1367" s="123">
        <v>0.13764379214597383</v>
      </c>
      <c r="D1367" s="121">
        <v>1285294117.6470587</v>
      </c>
      <c r="E1367" s="241">
        <v>0.31</v>
      </c>
      <c r="F1367" s="123">
        <v>0.15205000000000005</v>
      </c>
      <c r="G1367" s="46">
        <v>54624999999.999992</v>
      </c>
      <c r="H1367" s="46">
        <v>13053769000</v>
      </c>
      <c r="I1367" s="56">
        <v>4.1846151866177497</v>
      </c>
      <c r="J1367" s="125">
        <v>28.379412824207488</v>
      </c>
    </row>
    <row r="1368" spans="1:10">
      <c r="A1368" s="55">
        <v>3226</v>
      </c>
      <c r="B1368" s="114">
        <v>1.1100000000000001</v>
      </c>
      <c r="C1368" s="122">
        <v>0.68181818181818177</v>
      </c>
      <c r="D1368" s="116">
        <v>64864864.864864856</v>
      </c>
      <c r="E1368" s="241">
        <v>0.25</v>
      </c>
      <c r="F1368" s="122">
        <v>8.4150000000000003E-2</v>
      </c>
      <c r="G1368" s="116">
        <v>4676756756.7567558</v>
      </c>
      <c r="H1368" s="116">
        <v>1103290000</v>
      </c>
      <c r="I1368" s="114">
        <v>4.2389188307305927</v>
      </c>
      <c r="J1368" s="116">
        <v>23.816816816816814</v>
      </c>
    </row>
    <row r="1369" spans="1:10">
      <c r="A1369" s="55">
        <v>1110</v>
      </c>
      <c r="B1369" s="114">
        <v>0.11</v>
      </c>
      <c r="C1369" s="122">
        <v>0.36046511627906974</v>
      </c>
      <c r="D1369" s="116">
        <v>554545454.5454545</v>
      </c>
      <c r="E1369" s="241">
        <v>7.0000000000000007E-2</v>
      </c>
      <c r="F1369" s="122">
        <v>1.3166666666666698E-3</v>
      </c>
      <c r="G1369" s="116">
        <v>7985454545.454545</v>
      </c>
      <c r="H1369" s="116">
        <v>1857270000</v>
      </c>
      <c r="I1369" s="114">
        <v>4.2995657849717839</v>
      </c>
      <c r="J1369" s="116">
        <v>50</v>
      </c>
    </row>
    <row r="1370" spans="1:10">
      <c r="A1370" s="55">
        <v>2235</v>
      </c>
      <c r="B1370" s="114">
        <v>2.02</v>
      </c>
      <c r="C1370" s="122">
        <v>0.79090909090909089</v>
      </c>
      <c r="D1370" s="116">
        <v>32178217.821782179</v>
      </c>
      <c r="E1370" s="241">
        <v>0.33</v>
      </c>
      <c r="F1370" s="122">
        <v>1.9191666666666662E-2</v>
      </c>
      <c r="G1370" s="116">
        <v>3829207920.7920794</v>
      </c>
      <c r="H1370" s="116">
        <v>874855000</v>
      </c>
      <c r="I1370" s="114">
        <v>4.3769629490510766</v>
      </c>
      <c r="J1370" s="116">
        <v>18.6212586775919</v>
      </c>
    </row>
    <row r="1371" spans="1:10">
      <c r="A1371" s="55">
        <v>3552</v>
      </c>
      <c r="B1371" s="114">
        <v>2.64</v>
      </c>
      <c r="C1371" s="122">
        <v>0.92346938775510201</v>
      </c>
      <c r="D1371" s="116">
        <v>84469696.969696969</v>
      </c>
      <c r="E1371" s="241">
        <v>0.31</v>
      </c>
      <c r="F1371" s="122">
        <v>5.5958333333333332E-2</v>
      </c>
      <c r="G1371" s="116">
        <v>30958143939.39394</v>
      </c>
      <c r="H1371" s="116">
        <v>7038880000</v>
      </c>
      <c r="I1371" s="114">
        <v>4.3981633355582055</v>
      </c>
      <c r="J1371" s="116">
        <v>37.582663653105641</v>
      </c>
    </row>
    <row r="1372" spans="1:10">
      <c r="A1372" s="55">
        <v>3228</v>
      </c>
      <c r="B1372" s="119">
        <v>-0.33</v>
      </c>
      <c r="C1372" s="122">
        <v>1</v>
      </c>
      <c r="D1372" s="120">
        <v>63636363.636363633</v>
      </c>
      <c r="E1372" s="241">
        <v>0.66</v>
      </c>
      <c r="F1372" s="122">
        <v>-2.6749999999999951E-3</v>
      </c>
      <c r="G1372" s="120">
        <v>1209090909.090909</v>
      </c>
      <c r="H1372" s="120">
        <v>270627000</v>
      </c>
      <c r="I1372" s="119">
        <v>4.4677393944096817</v>
      </c>
      <c r="J1372" s="120">
        <v>0</v>
      </c>
    </row>
    <row r="1373" spans="1:10">
      <c r="A1373" s="55">
        <v>2330</v>
      </c>
      <c r="B1373" s="114">
        <v>2.91</v>
      </c>
      <c r="C1373" s="122">
        <v>0.83154439181373463</v>
      </c>
      <c r="D1373" s="116">
        <v>25886254295.532646</v>
      </c>
      <c r="E1373" s="241">
        <v>0.48</v>
      </c>
      <c r="F1373" s="122">
        <v>4.8166666666666679E-3</v>
      </c>
      <c r="G1373" s="116">
        <v>3779393127147.7661</v>
      </c>
      <c r="H1373" s="116">
        <v>843497368000</v>
      </c>
      <c r="I1373" s="114">
        <v>4.4806223119688102</v>
      </c>
      <c r="J1373" s="116">
        <v>15.083927508791488</v>
      </c>
    </row>
    <row r="1374" spans="1:10">
      <c r="A1374" s="55">
        <v>1723</v>
      </c>
      <c r="B1374" s="114">
        <v>1.3</v>
      </c>
      <c r="C1374" s="122">
        <v>0.81192660550458717</v>
      </c>
      <c r="D1374" s="116">
        <v>231538461.53846154</v>
      </c>
      <c r="E1374" s="241">
        <v>0.25</v>
      </c>
      <c r="F1374" s="122">
        <v>-1.7525000000000006E-2</v>
      </c>
      <c r="G1374" s="116">
        <v>25816538461.53846</v>
      </c>
      <c r="H1374" s="116">
        <v>5737199000</v>
      </c>
      <c r="I1374" s="114">
        <v>4.4998506172678443</v>
      </c>
      <c r="J1374" s="116">
        <v>26.409169926119077</v>
      </c>
    </row>
    <row r="1375" spans="1:10">
      <c r="A1375" s="55">
        <v>1799</v>
      </c>
      <c r="B1375" s="114">
        <v>-0.37</v>
      </c>
      <c r="C1375" s="122">
        <v>1</v>
      </c>
      <c r="D1375" s="116">
        <v>64864864.864864863</v>
      </c>
      <c r="E1375" s="241">
        <v>0.12</v>
      </c>
      <c r="F1375" s="122">
        <v>0.13013333333333335</v>
      </c>
      <c r="G1375" s="116">
        <v>2124324324.3243244</v>
      </c>
      <c r="H1375" s="116">
        <v>461676000</v>
      </c>
      <c r="I1375" s="114">
        <v>4.6013315059139401</v>
      </c>
      <c r="J1375" s="116">
        <v>0</v>
      </c>
    </row>
    <row r="1376" spans="1:10">
      <c r="A1376" s="55">
        <v>1469</v>
      </c>
      <c r="B1376" s="119">
        <v>-0.02</v>
      </c>
      <c r="C1376" s="122">
        <v>1</v>
      </c>
      <c r="D1376" s="120">
        <v>150000000</v>
      </c>
      <c r="E1376" s="241">
        <v>0.08</v>
      </c>
      <c r="F1376" s="122">
        <v>4.5100000000000008E-2</v>
      </c>
      <c r="G1376" s="120">
        <v>1920000000</v>
      </c>
      <c r="H1376" s="120">
        <v>415633000</v>
      </c>
      <c r="I1376" s="119">
        <v>4.6194599562594885</v>
      </c>
      <c r="J1376" s="120">
        <v>0</v>
      </c>
    </row>
    <row r="1377" spans="1:10">
      <c r="A1377" s="55">
        <v>1476</v>
      </c>
      <c r="B1377" s="114">
        <v>4.93</v>
      </c>
      <c r="C1377" s="122">
        <v>0.87845546292233434</v>
      </c>
      <c r="D1377" s="116">
        <v>261054766.73427993</v>
      </c>
      <c r="E1377" s="241">
        <v>0.27</v>
      </c>
      <c r="F1377" s="122">
        <v>2.7933333333333334E-2</v>
      </c>
      <c r="G1377" s="116">
        <v>118518864097.36308</v>
      </c>
      <c r="H1377" s="116">
        <v>25524679000</v>
      </c>
      <c r="I1377" s="114">
        <v>4.643304783474969</v>
      </c>
      <c r="J1377" s="116">
        <v>26.207717232058005</v>
      </c>
    </row>
    <row r="1378" spans="1:10">
      <c r="A1378" s="55">
        <v>4971</v>
      </c>
      <c r="B1378" s="45">
        <v>0.48</v>
      </c>
      <c r="C1378" s="123">
        <v>1</v>
      </c>
      <c r="D1378" s="121">
        <v>33333333.333333336</v>
      </c>
      <c r="E1378" s="241">
        <v>0.39</v>
      </c>
      <c r="F1378" s="123">
        <v>-6.2666666666666704E-3</v>
      </c>
      <c r="G1378" s="46">
        <v>4000000000.0000005</v>
      </c>
      <c r="H1378" s="46">
        <v>856696000</v>
      </c>
      <c r="I1378" s="56">
        <v>4.6691008245632064</v>
      </c>
      <c r="J1378" s="125">
        <v>50</v>
      </c>
    </row>
    <row r="1379" spans="1:10">
      <c r="A1379" s="55">
        <v>1525</v>
      </c>
      <c r="B1379" s="114">
        <v>1.36</v>
      </c>
      <c r="C1379" s="122">
        <v>0</v>
      </c>
      <c r="D1379" s="116">
        <v>69852941.176470578</v>
      </c>
      <c r="E1379" s="241">
        <v>0.1</v>
      </c>
      <c r="F1379" s="122">
        <v>2.1500000000000002E-2</v>
      </c>
      <c r="G1379" s="116">
        <v>5741911764.7058821</v>
      </c>
      <c r="H1379" s="116">
        <v>1201629000</v>
      </c>
      <c r="I1379" s="114">
        <v>4.7784397386430273</v>
      </c>
      <c r="J1379" s="116">
        <v>0</v>
      </c>
    </row>
    <row r="1380" spans="1:10">
      <c r="A1380" s="55">
        <v>6409</v>
      </c>
      <c r="B1380" s="45">
        <v>6.05</v>
      </c>
      <c r="C1380" s="123">
        <v>0.89808917197452232</v>
      </c>
      <c r="D1380" s="121">
        <v>74380165.2892562</v>
      </c>
      <c r="E1380" s="241">
        <v>0.31</v>
      </c>
      <c r="F1380" s="123">
        <v>1.6450000000000003E-2</v>
      </c>
      <c r="G1380" s="46">
        <v>38677685950.413223</v>
      </c>
      <c r="H1380" s="46">
        <v>8039456000</v>
      </c>
      <c r="I1380" s="56">
        <v>4.810982975765179</v>
      </c>
      <c r="J1380" s="125">
        <v>23.925912900767834</v>
      </c>
    </row>
    <row r="1381" spans="1:10">
      <c r="A1381" s="55">
        <v>2712</v>
      </c>
      <c r="B1381" s="114">
        <v>0.43</v>
      </c>
      <c r="C1381" s="122">
        <v>0.96825396825396826</v>
      </c>
      <c r="D1381" s="116">
        <v>106976744.18604651</v>
      </c>
      <c r="E1381" s="241">
        <v>0.46</v>
      </c>
      <c r="F1381" s="122">
        <v>5.4024999999999983E-2</v>
      </c>
      <c r="G1381" s="116">
        <v>2695813953.4883718</v>
      </c>
      <c r="H1381" s="116">
        <v>554991000</v>
      </c>
      <c r="I1381" s="114">
        <v>4.8574012073860153</v>
      </c>
      <c r="J1381" s="116">
        <v>15.131528783835302</v>
      </c>
    </row>
    <row r="1382" spans="1:10">
      <c r="A1382" s="55">
        <v>6198</v>
      </c>
      <c r="B1382" s="45">
        <v>-0.23</v>
      </c>
      <c r="C1382" s="123">
        <v>1</v>
      </c>
      <c r="D1382" s="121">
        <v>21739130.434782609</v>
      </c>
      <c r="E1382" s="241">
        <v>0.7</v>
      </c>
      <c r="F1382" s="123">
        <v>4.0541666666666677E-2</v>
      </c>
      <c r="G1382" s="46">
        <v>352173913.04347825</v>
      </c>
      <c r="H1382" s="46">
        <v>72469000</v>
      </c>
      <c r="I1382" s="56">
        <v>4.8596491333325735</v>
      </c>
      <c r="J1382" s="125">
        <v>0</v>
      </c>
    </row>
    <row r="1383" spans="1:10">
      <c r="A1383" s="55">
        <v>1463</v>
      </c>
      <c r="B1383" s="114">
        <v>0.15</v>
      </c>
      <c r="C1383" s="122">
        <v>3.3333333333333333E-2</v>
      </c>
      <c r="D1383" s="116">
        <v>160000000</v>
      </c>
      <c r="E1383" s="241">
        <v>0.17</v>
      </c>
      <c r="F1383" s="122">
        <v>1.5066666666666673E-2</v>
      </c>
      <c r="G1383" s="116">
        <v>2528000000</v>
      </c>
      <c r="H1383" s="116">
        <v>509728000</v>
      </c>
      <c r="I1383" s="114">
        <v>4.959507815933204</v>
      </c>
      <c r="J1383" s="116">
        <v>50</v>
      </c>
    </row>
    <row r="1384" spans="1:10">
      <c r="A1384" s="55">
        <v>2455</v>
      </c>
      <c r="B1384" s="114">
        <v>0.69</v>
      </c>
      <c r="C1384" s="122">
        <v>0.86337209302325579</v>
      </c>
      <c r="D1384" s="116">
        <v>247826086.95652175</v>
      </c>
      <c r="E1384" s="241">
        <v>0.36</v>
      </c>
      <c r="F1384" s="122">
        <v>4.3958333333333328E-2</v>
      </c>
      <c r="G1384" s="116">
        <v>12292173913.04348</v>
      </c>
      <c r="H1384" s="116">
        <v>2462702000</v>
      </c>
      <c r="I1384" s="114">
        <v>4.9913363098919321</v>
      </c>
      <c r="J1384" s="116">
        <v>20.814912409115312</v>
      </c>
    </row>
    <row r="1385" spans="1:10">
      <c r="A1385" s="55">
        <v>3259</v>
      </c>
      <c r="B1385" s="114">
        <v>-0.65</v>
      </c>
      <c r="C1385" s="122">
        <v>1</v>
      </c>
      <c r="D1385" s="116">
        <v>80000000</v>
      </c>
      <c r="E1385" s="241">
        <v>0.21</v>
      </c>
      <c r="F1385" s="122">
        <v>4.2258333333333335E-2</v>
      </c>
      <c r="G1385" s="116">
        <v>2428000000</v>
      </c>
      <c r="H1385" s="116">
        <v>482373000</v>
      </c>
      <c r="I1385" s="114">
        <v>5.0334492187580979</v>
      </c>
      <c r="J1385" s="116">
        <v>0</v>
      </c>
    </row>
    <row r="1386" spans="1:10">
      <c r="A1386" s="55">
        <v>1805</v>
      </c>
      <c r="B1386" s="114">
        <v>-0.25</v>
      </c>
      <c r="C1386" s="122">
        <v>1</v>
      </c>
      <c r="D1386" s="116">
        <v>80000000</v>
      </c>
      <c r="E1386" s="241">
        <v>0.11</v>
      </c>
      <c r="F1386" s="122">
        <v>8.0833333333332757E-4</v>
      </c>
      <c r="G1386" s="116">
        <v>500000000</v>
      </c>
      <c r="H1386" s="116">
        <v>99210000</v>
      </c>
      <c r="I1386" s="114">
        <v>5.0398145348251182</v>
      </c>
      <c r="J1386" s="116">
        <v>0</v>
      </c>
    </row>
    <row r="1387" spans="1:10">
      <c r="A1387" s="55">
        <v>6452</v>
      </c>
      <c r="B1387" s="45">
        <v>4.03</v>
      </c>
      <c r="C1387" s="123">
        <v>0.89419087136929465</v>
      </c>
      <c r="D1387" s="121">
        <v>63771712.158808932</v>
      </c>
      <c r="E1387" s="241">
        <v>0.41</v>
      </c>
      <c r="F1387" s="123">
        <v>5.2500000000000047E-3</v>
      </c>
      <c r="G1387" s="46">
        <v>22320099255.583126</v>
      </c>
      <c r="H1387" s="46">
        <v>4408709000</v>
      </c>
      <c r="I1387" s="56">
        <v>5.0627290790984674</v>
      </c>
      <c r="J1387" s="125">
        <v>24.281346974259179</v>
      </c>
    </row>
    <row r="1388" spans="1:10">
      <c r="A1388" s="55">
        <v>2390</v>
      </c>
      <c r="B1388" s="114">
        <v>0.4</v>
      </c>
      <c r="C1388" s="122">
        <v>0</v>
      </c>
      <c r="D1388" s="116">
        <v>215000000</v>
      </c>
      <c r="E1388" s="241">
        <v>0.14000000000000001</v>
      </c>
      <c r="F1388" s="122">
        <v>6.6275000000000014E-2</v>
      </c>
      <c r="G1388" s="116">
        <v>4482750000</v>
      </c>
      <c r="H1388" s="116">
        <v>865931000</v>
      </c>
      <c r="I1388" s="114">
        <v>5.1767981513538608</v>
      </c>
      <c r="J1388" s="116">
        <v>0</v>
      </c>
    </row>
    <row r="1389" spans="1:10">
      <c r="A1389" s="55">
        <v>8450</v>
      </c>
      <c r="B1389" s="45">
        <v>1.1399999999999999</v>
      </c>
      <c r="C1389" s="123">
        <v>0.7558139534883721</v>
      </c>
      <c r="D1389" s="121">
        <v>43859649.122807018</v>
      </c>
      <c r="E1389" s="241">
        <v>0.55000000000000004</v>
      </c>
      <c r="F1389" s="123">
        <v>1.5216666666666665E-2</v>
      </c>
      <c r="G1389" s="46">
        <v>3368421052.6315789</v>
      </c>
      <c r="H1389" s="46">
        <v>643917000</v>
      </c>
      <c r="I1389" s="56">
        <v>5.2311416729665146</v>
      </c>
      <c r="J1389" s="125">
        <v>22.2834008097166</v>
      </c>
    </row>
    <row r="1390" spans="1:10">
      <c r="A1390" s="55">
        <v>6146</v>
      </c>
      <c r="B1390" s="45">
        <v>2.4</v>
      </c>
      <c r="C1390" s="123">
        <v>0.98076923076923073</v>
      </c>
      <c r="D1390" s="121">
        <v>86666666.666666672</v>
      </c>
      <c r="E1390" s="241">
        <v>0.49</v>
      </c>
      <c r="F1390" s="123">
        <v>9.3333333333333256E-4</v>
      </c>
      <c r="G1390" s="46">
        <v>16553333333.333334</v>
      </c>
      <c r="H1390" s="46">
        <v>3156938000</v>
      </c>
      <c r="I1390" s="56">
        <v>5.2434774877851051</v>
      </c>
      <c r="J1390" s="125">
        <v>20.285947712418302</v>
      </c>
    </row>
    <row r="1391" spans="1:10">
      <c r="A1391" s="55">
        <v>5324</v>
      </c>
      <c r="B1391" s="45">
        <v>-0.59</v>
      </c>
      <c r="C1391" s="123">
        <v>0.797752808988764</v>
      </c>
      <c r="D1391" s="121">
        <v>76271186.440677971</v>
      </c>
      <c r="E1391" s="241">
        <v>0.78</v>
      </c>
      <c r="F1391" s="123">
        <v>1.2500000000000011E-4</v>
      </c>
      <c r="G1391" s="46">
        <v>751271186.440678</v>
      </c>
      <c r="H1391" s="46">
        <v>142493000</v>
      </c>
      <c r="I1391" s="56">
        <v>5.2723374933553089</v>
      </c>
      <c r="J1391" s="125">
        <v>0</v>
      </c>
    </row>
    <row r="1392" spans="1:10">
      <c r="A1392" s="55">
        <v>1565</v>
      </c>
      <c r="B1392" s="114">
        <v>9.35</v>
      </c>
      <c r="C1392" s="122">
        <v>0.81027667984189722</v>
      </c>
      <c r="D1392" s="116">
        <v>50374331.550802141</v>
      </c>
      <c r="E1392" s="241">
        <v>0.36</v>
      </c>
      <c r="F1392" s="122">
        <v>1.8191666666666665E-2</v>
      </c>
      <c r="G1392" s="116">
        <v>32189197860.96257</v>
      </c>
      <c r="H1392" s="116">
        <v>5860212000</v>
      </c>
      <c r="I1392" s="114">
        <v>5.4928384606158565</v>
      </c>
      <c r="J1392" s="116">
        <v>21.086083213773318</v>
      </c>
    </row>
    <row r="1393" spans="1:10">
      <c r="A1393" s="55">
        <v>8432</v>
      </c>
      <c r="B1393" s="45">
        <v>0.35</v>
      </c>
      <c r="C1393" s="123">
        <v>0.82051282051282048</v>
      </c>
      <c r="D1393" s="121">
        <v>40000000</v>
      </c>
      <c r="E1393" s="241">
        <v>0.65</v>
      </c>
      <c r="F1393" s="123">
        <v>5.2166666666666672E-3</v>
      </c>
      <c r="G1393" s="46">
        <v>2828000000</v>
      </c>
      <c r="H1393" s="46">
        <v>513650000</v>
      </c>
      <c r="I1393" s="56">
        <v>5.5056945390830334</v>
      </c>
      <c r="J1393" s="125">
        <v>50</v>
      </c>
    </row>
    <row r="1394" spans="1:10">
      <c r="A1394" s="55">
        <v>3008</v>
      </c>
      <c r="B1394" s="114">
        <v>61.17</v>
      </c>
      <c r="C1394" s="122">
        <v>0.87198772064466612</v>
      </c>
      <c r="D1394" s="116">
        <v>134150727.48079124</v>
      </c>
      <c r="E1394" s="241">
        <v>0.55000000000000004</v>
      </c>
      <c r="F1394" s="122">
        <v>-5.0916666666666706E-3</v>
      </c>
      <c r="G1394" s="116">
        <v>315254209579.85944</v>
      </c>
      <c r="H1394" s="116">
        <v>55904550000</v>
      </c>
      <c r="I1394" s="114">
        <v>5.6391511885858918</v>
      </c>
      <c r="J1394" s="116">
        <v>11.014353763525241</v>
      </c>
    </row>
    <row r="1395" spans="1:10">
      <c r="A1395" s="55">
        <v>6194</v>
      </c>
      <c r="B1395" s="45">
        <v>-0.2</v>
      </c>
      <c r="C1395" s="123">
        <v>1</v>
      </c>
      <c r="D1395" s="121">
        <v>90000000</v>
      </c>
      <c r="E1395" s="241">
        <v>-0.09</v>
      </c>
      <c r="F1395" s="123">
        <v>0.12340833333333336</v>
      </c>
      <c r="G1395" s="46">
        <v>1737000000</v>
      </c>
      <c r="H1395" s="46">
        <v>306404000</v>
      </c>
      <c r="I1395" s="56">
        <v>5.6689860445686087</v>
      </c>
      <c r="J1395" s="125">
        <v>0</v>
      </c>
    </row>
    <row r="1396" spans="1:10">
      <c r="A1396" s="55">
        <v>8406</v>
      </c>
      <c r="B1396" s="45">
        <v>4.38</v>
      </c>
      <c r="C1396" s="123">
        <v>1</v>
      </c>
      <c r="D1396" s="121">
        <v>92465753.424657539</v>
      </c>
      <c r="E1396" s="241">
        <v>0.63</v>
      </c>
      <c r="F1396" s="123">
        <v>1.681666666666666E-2</v>
      </c>
      <c r="G1396" s="46">
        <v>34674657534.246574</v>
      </c>
      <c r="H1396" s="46">
        <v>6101120000</v>
      </c>
      <c r="I1396" s="56">
        <v>5.6833265915514817</v>
      </c>
      <c r="J1396" s="125">
        <v>21.404109589041095</v>
      </c>
    </row>
    <row r="1397" spans="1:10">
      <c r="A1397" s="55">
        <v>4137</v>
      </c>
      <c r="B1397" s="45">
        <v>4.1100000000000003</v>
      </c>
      <c r="C1397" s="123">
        <v>0.87588652482269502</v>
      </c>
      <c r="D1397" s="121">
        <v>79562043.795620427</v>
      </c>
      <c r="E1397" s="241">
        <v>0.74</v>
      </c>
      <c r="F1397" s="123">
        <v>0.11064999999999998</v>
      </c>
      <c r="G1397" s="46">
        <v>24982481751.824814</v>
      </c>
      <c r="H1397" s="46">
        <v>4394266000</v>
      </c>
      <c r="I1397" s="56">
        <v>5.6852456705681478</v>
      </c>
      <c r="J1397" s="125">
        <v>21.806199946806938</v>
      </c>
    </row>
    <row r="1398" spans="1:10">
      <c r="A1398" s="55">
        <v>2722</v>
      </c>
      <c r="B1398" s="114">
        <v>0.93</v>
      </c>
      <c r="C1398" s="122">
        <v>0.9850746268656716</v>
      </c>
      <c r="D1398" s="116">
        <v>94623655.913978487</v>
      </c>
      <c r="E1398" s="241">
        <v>0.65</v>
      </c>
      <c r="F1398" s="122">
        <v>5.5724999999999997E-2</v>
      </c>
      <c r="G1398" s="116">
        <v>4243870967.7419353</v>
      </c>
      <c r="H1398" s="116">
        <v>738027000</v>
      </c>
      <c r="I1398" s="114">
        <v>5.7502922897697983</v>
      </c>
      <c r="J1398" s="116">
        <v>12.239125122189638</v>
      </c>
    </row>
    <row r="1399" spans="1:10">
      <c r="A1399" s="55">
        <v>2496</v>
      </c>
      <c r="B1399" s="114">
        <v>-0.04</v>
      </c>
      <c r="C1399" s="122">
        <v>1</v>
      </c>
      <c r="D1399" s="116">
        <v>50000000</v>
      </c>
      <c r="E1399" s="241">
        <v>0.21</v>
      </c>
      <c r="F1399" s="122">
        <v>8.613333333333334E-2</v>
      </c>
      <c r="G1399" s="116">
        <v>852500000</v>
      </c>
      <c r="H1399" s="116">
        <v>145855000</v>
      </c>
      <c r="I1399" s="114">
        <v>5.8448459086078639</v>
      </c>
      <c r="J1399" s="116">
        <v>0</v>
      </c>
    </row>
    <row r="1400" spans="1:10">
      <c r="A1400" s="55">
        <v>1536</v>
      </c>
      <c r="B1400" s="114">
        <v>1.48</v>
      </c>
      <c r="C1400" s="122">
        <v>0.84470989761092152</v>
      </c>
      <c r="D1400" s="116">
        <v>235135135.13513514</v>
      </c>
      <c r="E1400" s="241">
        <v>0.36</v>
      </c>
      <c r="F1400" s="122">
        <v>3.349166666666667E-2</v>
      </c>
      <c r="G1400" s="116">
        <v>31037837837.837837</v>
      </c>
      <c r="H1400" s="116">
        <v>5295316000</v>
      </c>
      <c r="I1400" s="114">
        <v>5.8613759476937428</v>
      </c>
      <c r="J1400" s="116">
        <v>26.396396396396394</v>
      </c>
    </row>
    <row r="1401" spans="1:10">
      <c r="A1401" s="55">
        <v>3094</v>
      </c>
      <c r="B1401" s="114">
        <v>0.34</v>
      </c>
      <c r="C1401" s="122">
        <v>0.36363636363636365</v>
      </c>
      <c r="D1401" s="116">
        <v>82352941.176470578</v>
      </c>
      <c r="E1401" s="241">
        <v>0.67</v>
      </c>
      <c r="F1401" s="122">
        <v>3.0358333333333334E-2</v>
      </c>
      <c r="G1401" s="116">
        <v>1959999999.9999998</v>
      </c>
      <c r="H1401" s="116">
        <v>328896000</v>
      </c>
      <c r="I1401" s="114">
        <v>5.9593306090679112</v>
      </c>
      <c r="J1401" s="116">
        <v>48.124999999999993</v>
      </c>
    </row>
    <row r="1402" spans="1:10">
      <c r="A1402" s="55">
        <v>1783</v>
      </c>
      <c r="B1402" s="114">
        <v>-0.08</v>
      </c>
      <c r="C1402" s="122">
        <v>1</v>
      </c>
      <c r="D1402" s="116">
        <v>75000000</v>
      </c>
      <c r="E1402" s="241">
        <v>0.4</v>
      </c>
      <c r="F1402" s="122">
        <v>5.1324999999999989E-2</v>
      </c>
      <c r="G1402" s="116">
        <v>1575000000</v>
      </c>
      <c r="H1402" s="116">
        <v>261167000</v>
      </c>
      <c r="I1402" s="114">
        <v>6.0306240834408635</v>
      </c>
      <c r="J1402" s="116">
        <v>0</v>
      </c>
    </row>
    <row r="1403" spans="1:10">
      <c r="A1403" s="55">
        <v>4994</v>
      </c>
      <c r="B1403" s="45">
        <v>0.43</v>
      </c>
      <c r="C1403" s="123">
        <v>0</v>
      </c>
      <c r="D1403" s="121">
        <v>111627906.97674419</v>
      </c>
      <c r="E1403" s="241">
        <v>0.91</v>
      </c>
      <c r="F1403" s="123">
        <v>-2.9166666666666691E-4</v>
      </c>
      <c r="G1403" s="46">
        <v>7546046511.6279068</v>
      </c>
      <c r="H1403" s="46">
        <v>1223725000</v>
      </c>
      <c r="I1403" s="56">
        <v>6.1664561168791243</v>
      </c>
      <c r="J1403" s="125">
        <v>0</v>
      </c>
    </row>
    <row r="1404" spans="1:10">
      <c r="A1404" s="55">
        <v>5269</v>
      </c>
      <c r="B1404" s="45">
        <v>1.62</v>
      </c>
      <c r="C1404" s="123">
        <v>0.66666666666666663</v>
      </c>
      <c r="D1404" s="121">
        <v>56790123.456790119</v>
      </c>
      <c r="E1404" s="241">
        <v>0.48</v>
      </c>
      <c r="F1404" s="123">
        <v>2.4099999999999993E-2</v>
      </c>
      <c r="G1404" s="46">
        <v>9938271604.9382706</v>
      </c>
      <c r="H1404" s="46">
        <v>1555521000</v>
      </c>
      <c r="I1404" s="56">
        <v>6.3890308166448868</v>
      </c>
      <c r="J1404" s="125">
        <v>40.50925925925926</v>
      </c>
    </row>
    <row r="1405" spans="1:10">
      <c r="A1405" s="55">
        <v>2915</v>
      </c>
      <c r="B1405" s="114">
        <v>3</v>
      </c>
      <c r="C1405" s="122">
        <v>0</v>
      </c>
      <c r="D1405" s="116">
        <v>889333333.33333337</v>
      </c>
      <c r="E1405" s="241">
        <v>0.1</v>
      </c>
      <c r="F1405" s="122">
        <v>0.1396583333333333</v>
      </c>
      <c r="G1405" s="116">
        <v>51581333333.333336</v>
      </c>
      <c r="H1405" s="116">
        <v>8066776000</v>
      </c>
      <c r="I1405" s="114">
        <v>6.3942934988319173</v>
      </c>
      <c r="J1405" s="116">
        <v>0</v>
      </c>
    </row>
    <row r="1406" spans="1:10">
      <c r="A1406" s="55">
        <v>5530</v>
      </c>
      <c r="B1406" s="45">
        <v>1.05</v>
      </c>
      <c r="C1406" s="123">
        <v>0.82440476190476186</v>
      </c>
      <c r="D1406" s="121">
        <v>400000000</v>
      </c>
      <c r="E1406" s="241">
        <v>0.68</v>
      </c>
      <c r="F1406" s="123">
        <v>-3.8891666666666665E-2</v>
      </c>
      <c r="G1406" s="46">
        <v>22960000000</v>
      </c>
      <c r="H1406" s="46">
        <v>3565641000</v>
      </c>
      <c r="I1406" s="56">
        <v>6.439234908954659</v>
      </c>
      <c r="J1406" s="125">
        <v>16.577617328519857</v>
      </c>
    </row>
    <row r="1407" spans="1:10">
      <c r="A1407" s="55">
        <v>6415</v>
      </c>
      <c r="B1407" s="45">
        <v>3.68</v>
      </c>
      <c r="C1407" s="123">
        <v>0.90677966101694918</v>
      </c>
      <c r="D1407" s="121">
        <v>76902173.913043469</v>
      </c>
      <c r="E1407" s="241">
        <v>0.46</v>
      </c>
      <c r="F1407" s="123">
        <v>4.5150000000000003E-2</v>
      </c>
      <c r="G1407" s="46">
        <v>30530163043.478256</v>
      </c>
      <c r="H1407" s="46">
        <v>4701515000</v>
      </c>
      <c r="I1407" s="56">
        <v>6.4936861933819747</v>
      </c>
      <c r="J1407" s="125">
        <v>29.742736692401461</v>
      </c>
    </row>
    <row r="1408" spans="1:10">
      <c r="A1408" s="55">
        <v>3205</v>
      </c>
      <c r="B1408" s="114">
        <v>4.1100000000000003</v>
      </c>
      <c r="C1408" s="122">
        <v>0.81481481481481477</v>
      </c>
      <c r="D1408" s="116">
        <v>25304136.253041361</v>
      </c>
      <c r="E1408" s="241">
        <v>0.4</v>
      </c>
      <c r="F1408" s="122">
        <v>0.11169166666666668</v>
      </c>
      <c r="G1408" s="116">
        <v>8185888077.85888</v>
      </c>
      <c r="H1408" s="116">
        <v>1240383000</v>
      </c>
      <c r="I1408" s="114">
        <v>6.5994842543463434</v>
      </c>
      <c r="J1408" s="116">
        <v>24.149800928998008</v>
      </c>
    </row>
    <row r="1409" spans="1:10">
      <c r="A1409" s="55">
        <v>8422</v>
      </c>
      <c r="B1409" s="45">
        <v>2.99</v>
      </c>
      <c r="C1409" s="123">
        <v>0.96534653465346532</v>
      </c>
      <c r="D1409" s="121">
        <v>108695652.17391303</v>
      </c>
      <c r="E1409" s="241">
        <v>0.56000000000000005</v>
      </c>
      <c r="F1409" s="123">
        <v>4.0391666666666666E-2</v>
      </c>
      <c r="G1409" s="46">
        <v>18152173913.043476</v>
      </c>
      <c r="H1409" s="46">
        <v>2750470000</v>
      </c>
      <c r="I1409" s="56">
        <v>6.5996625715035888</v>
      </c>
      <c r="J1409" s="125">
        <v>14.464454163450817</v>
      </c>
    </row>
    <row r="1410" spans="1:10">
      <c r="A1410" s="55">
        <v>4161</v>
      </c>
      <c r="B1410" s="45">
        <v>0.04</v>
      </c>
      <c r="C1410" s="123">
        <v>1</v>
      </c>
      <c r="D1410" s="121">
        <v>50000000</v>
      </c>
      <c r="E1410" s="241">
        <v>0.34</v>
      </c>
      <c r="F1410" s="123">
        <v>-2.268333333333333E-2</v>
      </c>
      <c r="G1410" s="46">
        <v>3000000000</v>
      </c>
      <c r="H1410" s="46">
        <v>452586000</v>
      </c>
      <c r="I1410" s="56">
        <v>6.6285744587768951</v>
      </c>
      <c r="J1410" s="125">
        <v>50</v>
      </c>
    </row>
    <row r="1411" spans="1:10">
      <c r="A1411" s="55">
        <v>8076</v>
      </c>
      <c r="B1411" s="45">
        <v>0.4</v>
      </c>
      <c r="C1411" s="123">
        <v>0.75</v>
      </c>
      <c r="D1411" s="121">
        <v>235000000</v>
      </c>
      <c r="E1411" s="241">
        <v>0.25</v>
      </c>
      <c r="F1411" s="123">
        <v>1.8633333333333325E-2</v>
      </c>
      <c r="G1411" s="46">
        <v>18471000000</v>
      </c>
      <c r="H1411" s="46">
        <v>2782270000</v>
      </c>
      <c r="I1411" s="56">
        <v>6.6388236943215428</v>
      </c>
      <c r="J1411" s="125">
        <v>50</v>
      </c>
    </row>
    <row r="1412" spans="1:10">
      <c r="A1412" s="55">
        <v>3293</v>
      </c>
      <c r="B1412" s="114">
        <v>1.36</v>
      </c>
      <c r="C1412" s="122">
        <v>0.90697674418604646</v>
      </c>
      <c r="D1412" s="116">
        <v>69852941.176470578</v>
      </c>
      <c r="E1412" s="241">
        <v>0.79</v>
      </c>
      <c r="F1412" s="122">
        <v>6.4791666666666678E-2</v>
      </c>
      <c r="G1412" s="116">
        <v>12748161764.705881</v>
      </c>
      <c r="H1412" s="116">
        <v>1917300000</v>
      </c>
      <c r="I1412" s="114">
        <v>6.6490177670191839</v>
      </c>
      <c r="J1412" s="116">
        <v>36.988593514328812</v>
      </c>
    </row>
    <row r="1413" spans="1:10">
      <c r="A1413" s="55">
        <v>6111</v>
      </c>
      <c r="B1413" s="45">
        <v>2.2599999999999998</v>
      </c>
      <c r="C1413" s="123">
        <v>0.5757575757575758</v>
      </c>
      <c r="D1413" s="121">
        <v>45575221.238938056</v>
      </c>
      <c r="E1413" s="241">
        <v>0.84</v>
      </c>
      <c r="F1413" s="123">
        <v>0.22402500000000003</v>
      </c>
      <c r="G1413" s="46">
        <v>5036061946.9026556</v>
      </c>
      <c r="H1413" s="46">
        <v>756013000</v>
      </c>
      <c r="I1413" s="56">
        <v>6.6613430548187074</v>
      </c>
      <c r="J1413" s="125">
        <v>21.230204937121563</v>
      </c>
    </row>
    <row r="1414" spans="1:10">
      <c r="A1414" s="55">
        <v>4198</v>
      </c>
      <c r="B1414" s="45">
        <v>-0.81</v>
      </c>
      <c r="C1414" s="123">
        <v>1</v>
      </c>
      <c r="D1414" s="121">
        <v>141975308.64197531</v>
      </c>
      <c r="E1414" s="241">
        <v>0.18</v>
      </c>
      <c r="F1414" s="123">
        <v>0.26032499999999997</v>
      </c>
      <c r="G1414" s="46">
        <v>4379938271.6049385</v>
      </c>
      <c r="H1414" s="46">
        <v>642388000</v>
      </c>
      <c r="I1414" s="56">
        <v>6.8182130917839974</v>
      </c>
      <c r="J1414" s="125">
        <v>0</v>
      </c>
    </row>
    <row r="1415" spans="1:10">
      <c r="A1415" s="55">
        <v>4128</v>
      </c>
      <c r="B1415" s="45">
        <v>-0.15</v>
      </c>
      <c r="C1415" s="123">
        <v>1</v>
      </c>
      <c r="D1415" s="121">
        <v>420000000</v>
      </c>
      <c r="E1415" s="241">
        <v>0.37</v>
      </c>
      <c r="F1415" s="123">
        <v>1.5883333333333336E-2</v>
      </c>
      <c r="G1415" s="46">
        <v>10500000000</v>
      </c>
      <c r="H1415" s="46">
        <v>1536570000</v>
      </c>
      <c r="I1415" s="56">
        <v>6.8334016673500066</v>
      </c>
      <c r="J1415" s="125">
        <v>0</v>
      </c>
    </row>
    <row r="1416" spans="1:10">
      <c r="A1416" s="55">
        <v>4171</v>
      </c>
      <c r="B1416" s="45">
        <v>0.17</v>
      </c>
      <c r="C1416" s="123">
        <v>1</v>
      </c>
      <c r="D1416" s="121">
        <v>35294117.647058822</v>
      </c>
      <c r="E1416" s="241">
        <v>0.79</v>
      </c>
      <c r="F1416" s="123">
        <v>7.9916666666666678E-2</v>
      </c>
      <c r="G1416" s="46">
        <v>1034117647.0588235</v>
      </c>
      <c r="H1416" s="46">
        <v>149150000</v>
      </c>
      <c r="I1416" s="56">
        <v>6.9334069531265401</v>
      </c>
      <c r="J1416" s="125">
        <v>43.088235294117645</v>
      </c>
    </row>
    <row r="1417" spans="1:10">
      <c r="A1417" s="55">
        <v>6237</v>
      </c>
      <c r="B1417" s="45">
        <v>1.57</v>
      </c>
      <c r="C1417" s="123">
        <v>0</v>
      </c>
      <c r="D1417" s="121">
        <v>77707006.369426742</v>
      </c>
      <c r="E1417" s="241">
        <v>0.62</v>
      </c>
      <c r="F1417" s="123">
        <v>2.0449999999999999E-2</v>
      </c>
      <c r="G1417" s="46">
        <v>2556560509.5541396</v>
      </c>
      <c r="H1417" s="46">
        <v>364604000</v>
      </c>
      <c r="I1417" s="56">
        <v>7.0118827811931288</v>
      </c>
      <c r="J1417" s="125">
        <v>0</v>
      </c>
    </row>
    <row r="1418" spans="1:10">
      <c r="A1418" s="55">
        <v>6236</v>
      </c>
      <c r="B1418" s="45">
        <v>-0.35</v>
      </c>
      <c r="C1418" s="123">
        <v>1</v>
      </c>
      <c r="D1418" s="121">
        <v>31428571.428571429</v>
      </c>
      <c r="E1418" s="241">
        <v>0.72</v>
      </c>
      <c r="F1418" s="123">
        <v>2.8825E-2</v>
      </c>
      <c r="G1418" s="46">
        <v>1016714285.7142857</v>
      </c>
      <c r="H1418" s="46">
        <v>142256000</v>
      </c>
      <c r="I1418" s="56">
        <v>7.1470748911419255</v>
      </c>
      <c r="J1418" s="125">
        <v>0</v>
      </c>
    </row>
    <row r="1419" spans="1:10">
      <c r="A1419" s="55">
        <v>4426</v>
      </c>
      <c r="B1419" s="45">
        <v>1.91</v>
      </c>
      <c r="C1419" s="123">
        <v>0.92088607594936711</v>
      </c>
      <c r="D1419" s="121">
        <v>91099476.439790577</v>
      </c>
      <c r="E1419" s="241">
        <v>0.46</v>
      </c>
      <c r="F1419" s="123">
        <v>7.7791666666666676E-2</v>
      </c>
      <c r="G1419" s="46">
        <v>15942408376.96335</v>
      </c>
      <c r="H1419" s="46">
        <v>2185676000</v>
      </c>
      <c r="I1419" s="56">
        <v>7.2940400942149477</v>
      </c>
      <c r="J1419" s="125">
        <v>24.873607887587486</v>
      </c>
    </row>
    <row r="1420" spans="1:10">
      <c r="A1420" s="55">
        <v>5455</v>
      </c>
      <c r="B1420" s="45">
        <v>-0.32</v>
      </c>
      <c r="C1420" s="123">
        <v>1</v>
      </c>
      <c r="D1420" s="121">
        <v>34375000</v>
      </c>
      <c r="E1420" s="241">
        <v>-2</v>
      </c>
      <c r="F1420" s="123">
        <v>0.29832500000000001</v>
      </c>
      <c r="G1420" s="46">
        <v>183218750</v>
      </c>
      <c r="H1420" s="46">
        <v>25061000</v>
      </c>
      <c r="I1420" s="56">
        <v>7.31091137624197</v>
      </c>
      <c r="J1420" s="125">
        <v>0</v>
      </c>
    </row>
    <row r="1421" spans="1:10">
      <c r="A1421" s="55">
        <v>3152</v>
      </c>
      <c r="B1421" s="114">
        <v>3.52</v>
      </c>
      <c r="C1421" s="122">
        <v>0.87710843373493974</v>
      </c>
      <c r="D1421" s="116">
        <v>69034090.909090906</v>
      </c>
      <c r="E1421" s="241">
        <v>0.63</v>
      </c>
      <c r="F1421" s="122">
        <v>3.4433333333333337E-2</v>
      </c>
      <c r="G1421" s="116">
        <v>12978409090.90909</v>
      </c>
      <c r="H1421" s="116">
        <v>1761223000</v>
      </c>
      <c r="I1421" s="114">
        <v>7.368975473809444</v>
      </c>
      <c r="J1421" s="116">
        <v>15.223058191808192</v>
      </c>
    </row>
    <row r="1422" spans="1:10">
      <c r="A1422" s="55">
        <v>1529</v>
      </c>
      <c r="B1422" s="114">
        <v>-0.05</v>
      </c>
      <c r="C1422" s="122">
        <v>0.26190476190476192</v>
      </c>
      <c r="D1422" s="116">
        <v>300000000</v>
      </c>
      <c r="E1422" s="241">
        <v>-0.1</v>
      </c>
      <c r="F1422" s="122">
        <v>3.2671749999999999</v>
      </c>
      <c r="G1422" s="116">
        <v>1620000000</v>
      </c>
      <c r="H1422" s="116">
        <v>219243000</v>
      </c>
      <c r="I1422" s="114">
        <v>7.3890614523610791</v>
      </c>
      <c r="J1422" s="116">
        <v>0</v>
      </c>
    </row>
    <row r="1423" spans="1:10">
      <c r="A1423" s="55">
        <v>8077</v>
      </c>
      <c r="B1423" s="45">
        <v>-0.25</v>
      </c>
      <c r="C1423" s="123">
        <v>1</v>
      </c>
      <c r="D1423" s="121">
        <v>52000000</v>
      </c>
      <c r="E1423" s="241">
        <v>0.18</v>
      </c>
      <c r="F1423" s="123">
        <v>0.92888333333333339</v>
      </c>
      <c r="G1423" s="46">
        <v>2441400000</v>
      </c>
      <c r="H1423" s="46">
        <v>320060000</v>
      </c>
      <c r="I1423" s="56">
        <v>7.6279447603574333</v>
      </c>
      <c r="J1423" s="125">
        <v>0</v>
      </c>
    </row>
    <row r="1424" spans="1:10">
      <c r="A1424" s="55">
        <v>8437</v>
      </c>
      <c r="B1424" s="45">
        <v>2.63</v>
      </c>
      <c r="C1424" s="123">
        <v>0.88</v>
      </c>
      <c r="D1424" s="121">
        <v>32699619.771863118</v>
      </c>
      <c r="E1424" s="241">
        <v>0.74</v>
      </c>
      <c r="F1424" s="123">
        <v>7.4900000000000008E-2</v>
      </c>
      <c r="G1424" s="46">
        <v>4839543726.2357416</v>
      </c>
      <c r="H1424" s="46">
        <v>626950000</v>
      </c>
      <c r="I1424" s="56">
        <v>7.7191861013410028</v>
      </c>
      <c r="J1424" s="125">
        <v>15.986864846180435</v>
      </c>
    </row>
    <row r="1425" spans="1:11">
      <c r="A1425" s="55">
        <v>4107</v>
      </c>
      <c r="B1425" s="45">
        <v>1.45</v>
      </c>
      <c r="C1425" s="123">
        <v>0.8044692737430168</v>
      </c>
      <c r="D1425" s="121">
        <v>70344827.586206898</v>
      </c>
      <c r="E1425" s="241">
        <v>0.43</v>
      </c>
      <c r="F1425" s="123">
        <v>1.1075E-2</v>
      </c>
      <c r="G1425" s="46">
        <v>9813103448.2758617</v>
      </c>
      <c r="H1425" s="46">
        <v>1259640000</v>
      </c>
      <c r="I1425" s="56">
        <v>7.7904031693784432</v>
      </c>
      <c r="J1425" s="125">
        <v>29.897629310344826</v>
      </c>
    </row>
    <row r="1426" spans="1:11">
      <c r="A1426" s="55">
        <v>4415</v>
      </c>
      <c r="B1426" s="45">
        <v>0.02</v>
      </c>
      <c r="C1426" s="123">
        <v>1</v>
      </c>
      <c r="D1426" s="121">
        <v>50000000</v>
      </c>
      <c r="E1426" s="241">
        <v>0.45</v>
      </c>
      <c r="F1426" s="123">
        <v>4.9893749999999999</v>
      </c>
      <c r="G1426" s="46">
        <v>722500000</v>
      </c>
      <c r="H1426" s="46">
        <v>92692000</v>
      </c>
      <c r="I1426" s="56">
        <v>7.7946316834246749</v>
      </c>
      <c r="J1426" s="125">
        <v>50</v>
      </c>
    </row>
    <row r="1427" spans="1:11">
      <c r="A1427" s="55">
        <v>5287</v>
      </c>
      <c r="B1427" s="45">
        <v>3.29</v>
      </c>
      <c r="C1427" s="123">
        <v>0.96415770609318996</v>
      </c>
      <c r="D1427" s="121">
        <v>41033434.650455929</v>
      </c>
      <c r="E1427" s="241">
        <v>0.82</v>
      </c>
      <c r="F1427" s="123">
        <v>6.2250000000000014E-3</v>
      </c>
      <c r="G1427" s="46">
        <v>10586626139.817629</v>
      </c>
      <c r="H1427" s="46">
        <v>1356343000</v>
      </c>
      <c r="I1427" s="56">
        <v>7.8052720733749714</v>
      </c>
      <c r="J1427" s="125">
        <v>20.333668546118123</v>
      </c>
      <c r="K1427" s="26"/>
    </row>
    <row r="1428" spans="1:11">
      <c r="A1428" s="55">
        <v>1432</v>
      </c>
      <c r="B1428" s="114">
        <v>-0.02</v>
      </c>
      <c r="C1428" s="122">
        <v>0</v>
      </c>
      <c r="D1428" s="116">
        <v>150000000</v>
      </c>
      <c r="E1428" s="241">
        <v>0.57999999999999996</v>
      </c>
      <c r="F1428" s="122">
        <v>0.17395833333333335</v>
      </c>
      <c r="G1428" s="116">
        <v>3082500000</v>
      </c>
      <c r="H1428" s="116">
        <v>380642000</v>
      </c>
      <c r="I1428" s="114">
        <v>8.0981604762480224</v>
      </c>
      <c r="J1428" s="116">
        <v>0</v>
      </c>
    </row>
    <row r="1429" spans="1:11">
      <c r="A1429" s="55">
        <v>3040</v>
      </c>
      <c r="B1429" s="114">
        <v>0.86</v>
      </c>
      <c r="C1429" s="122">
        <v>0</v>
      </c>
      <c r="D1429" s="116">
        <v>62790697.674418606</v>
      </c>
      <c r="E1429" s="241">
        <v>0.62</v>
      </c>
      <c r="F1429" s="122">
        <v>4.1500000000000009E-3</v>
      </c>
      <c r="G1429" s="116">
        <v>1883720930.2325583</v>
      </c>
      <c r="H1429" s="116">
        <v>223323000</v>
      </c>
      <c r="I1429" s="114">
        <v>8.4349616037423747</v>
      </c>
      <c r="J1429" s="116">
        <v>0</v>
      </c>
    </row>
    <row r="1430" spans="1:11">
      <c r="A1430" s="55">
        <v>3658</v>
      </c>
      <c r="B1430" s="114">
        <v>6.64</v>
      </c>
      <c r="C1430" s="122">
        <v>0.76704055220017253</v>
      </c>
      <c r="D1430" s="116">
        <v>70933734.939759046</v>
      </c>
      <c r="E1430" s="241">
        <v>0.7</v>
      </c>
      <c r="F1430" s="122">
        <v>2.4909499999999998</v>
      </c>
      <c r="G1430" s="116">
        <v>57172590361.445793</v>
      </c>
      <c r="H1430" s="116">
        <v>6651806000</v>
      </c>
      <c r="I1430" s="114">
        <v>8.5950477752125956</v>
      </c>
      <c r="J1430" s="116">
        <v>39.562948080285146</v>
      </c>
    </row>
    <row r="1431" spans="1:11">
      <c r="A1431" s="55">
        <v>9902</v>
      </c>
      <c r="B1431" s="45">
        <v>0.22</v>
      </c>
      <c r="C1431" s="123">
        <v>0</v>
      </c>
      <c r="D1431" s="121">
        <v>100000000</v>
      </c>
      <c r="E1431" s="241">
        <v>0.11</v>
      </c>
      <c r="F1431" s="123">
        <v>0.48234999999999989</v>
      </c>
      <c r="G1431" s="46">
        <v>900000000</v>
      </c>
      <c r="H1431" s="46">
        <v>103961000</v>
      </c>
      <c r="I1431" s="56">
        <v>8.6570925635574874</v>
      </c>
      <c r="J1431" s="125">
        <v>0</v>
      </c>
    </row>
    <row r="1432" spans="1:11">
      <c r="A1432" s="55">
        <v>8926</v>
      </c>
      <c r="B1432" s="45">
        <v>0.56999999999999995</v>
      </c>
      <c r="C1432" s="123">
        <v>7.4850299401197598E-2</v>
      </c>
      <c r="D1432" s="121">
        <v>592982456.14035094</v>
      </c>
      <c r="E1432" s="241">
        <v>0.21</v>
      </c>
      <c r="F1432" s="123">
        <v>3.9291666666666662E-2</v>
      </c>
      <c r="G1432" s="46">
        <v>13697894736.842108</v>
      </c>
      <c r="H1432" s="46">
        <v>1564591000</v>
      </c>
      <c r="I1432" s="56">
        <v>8.7549364254569451</v>
      </c>
      <c r="J1432" s="125">
        <v>50</v>
      </c>
    </row>
    <row r="1433" spans="1:11">
      <c r="A1433" s="55">
        <v>4105</v>
      </c>
      <c r="B1433" s="45">
        <v>0.97</v>
      </c>
      <c r="C1433" s="123">
        <v>0.83058823529411763</v>
      </c>
      <c r="D1433" s="121">
        <v>249484536.08247423</v>
      </c>
      <c r="E1433" s="241">
        <v>0.72</v>
      </c>
      <c r="F1433" s="123">
        <v>3.3608333333333337E-2</v>
      </c>
      <c r="G1433" s="46">
        <v>28441237113.402061</v>
      </c>
      <c r="H1433" s="46">
        <v>3195213000</v>
      </c>
      <c r="I1433" s="56">
        <v>8.9012022401642898</v>
      </c>
      <c r="J1433" s="125">
        <v>35.374258929353701</v>
      </c>
    </row>
    <row r="1434" spans="1:11">
      <c r="A1434" s="55">
        <v>8341</v>
      </c>
      <c r="B1434" s="45">
        <v>1.2</v>
      </c>
      <c r="C1434" s="123">
        <v>0.97358490566037736</v>
      </c>
      <c r="D1434" s="121">
        <v>111666666.66666667</v>
      </c>
      <c r="E1434" s="241">
        <v>0.55000000000000004</v>
      </c>
      <c r="F1434" s="123">
        <v>4.1283333333333332E-2</v>
      </c>
      <c r="G1434" s="46">
        <v>14460833333.333334</v>
      </c>
      <c r="H1434" s="46">
        <v>1624502000</v>
      </c>
      <c r="I1434" s="56">
        <v>8.9017023883832298</v>
      </c>
      <c r="J1434" s="125">
        <v>27.711159560723512</v>
      </c>
    </row>
    <row r="1435" spans="1:11">
      <c r="A1435" s="55">
        <v>3685</v>
      </c>
      <c r="B1435" s="114">
        <v>-0.7</v>
      </c>
      <c r="C1435" s="122">
        <v>0</v>
      </c>
      <c r="D1435" s="116">
        <v>80000000</v>
      </c>
      <c r="E1435" s="241">
        <v>0.28000000000000003</v>
      </c>
      <c r="F1435" s="122">
        <v>-2.2016666666666667E-2</v>
      </c>
      <c r="G1435" s="116">
        <v>5088000000</v>
      </c>
      <c r="H1435" s="116">
        <v>563774000</v>
      </c>
      <c r="I1435" s="114">
        <v>9.0248929535594051</v>
      </c>
      <c r="J1435" s="116">
        <v>0</v>
      </c>
    </row>
    <row r="1436" spans="1:11">
      <c r="A1436" s="55">
        <v>2059</v>
      </c>
      <c r="B1436" s="114">
        <v>7.99</v>
      </c>
      <c r="C1436" s="122">
        <v>0.6807909604519774</v>
      </c>
      <c r="D1436" s="116">
        <v>95244055.068836048</v>
      </c>
      <c r="E1436" s="241">
        <v>0.57999999999999996</v>
      </c>
      <c r="F1436" s="122">
        <v>1.2708333333333334E-2</v>
      </c>
      <c r="G1436" s="116">
        <v>41240675844.806007</v>
      </c>
      <c r="H1436" s="116">
        <v>4498369000</v>
      </c>
      <c r="I1436" s="114">
        <v>9.1679174929415552</v>
      </c>
      <c r="J1436" s="116">
        <v>19.900653825580733</v>
      </c>
    </row>
    <row r="1437" spans="1:11">
      <c r="A1437" s="55">
        <v>1789</v>
      </c>
      <c r="B1437" s="114">
        <v>0.27</v>
      </c>
      <c r="C1437" s="122">
        <v>0.71865443425076447</v>
      </c>
      <c r="D1437" s="116">
        <v>722222222.22222221</v>
      </c>
      <c r="E1437" s="241">
        <v>0.46</v>
      </c>
      <c r="F1437" s="122">
        <v>2.5174999999999999E-2</v>
      </c>
      <c r="G1437" s="116">
        <v>36327777777.777779</v>
      </c>
      <c r="H1437" s="116">
        <v>3955207000</v>
      </c>
      <c r="I1437" s="114">
        <v>9.1847981098783897</v>
      </c>
      <c r="J1437" s="116">
        <v>50</v>
      </c>
    </row>
    <row r="1438" spans="1:11">
      <c r="A1438" s="55">
        <v>1419</v>
      </c>
      <c r="B1438" s="114">
        <v>0.6</v>
      </c>
      <c r="C1438" s="122">
        <v>0</v>
      </c>
      <c r="D1438" s="116">
        <v>298333333.33333337</v>
      </c>
      <c r="E1438" s="241">
        <v>0.21</v>
      </c>
      <c r="F1438" s="122">
        <v>-3.9583333333333276E-3</v>
      </c>
      <c r="G1438" s="116">
        <v>10441666666.666668</v>
      </c>
      <c r="H1438" s="116">
        <v>1121969000</v>
      </c>
      <c r="I1438" s="114">
        <v>9.3065554098791221</v>
      </c>
      <c r="J1438" s="116">
        <v>0</v>
      </c>
    </row>
    <row r="1439" spans="1:11">
      <c r="A1439" s="55">
        <v>6199</v>
      </c>
      <c r="B1439" s="45">
        <v>-0.05</v>
      </c>
      <c r="C1439" s="123">
        <v>0</v>
      </c>
      <c r="D1439" s="121">
        <v>60000000</v>
      </c>
      <c r="E1439" s="241">
        <v>0.85</v>
      </c>
      <c r="F1439" s="123">
        <v>5.531666666666666E-2</v>
      </c>
      <c r="G1439" s="46">
        <v>702000000</v>
      </c>
      <c r="H1439" s="46">
        <v>74670000</v>
      </c>
      <c r="I1439" s="56">
        <v>9.4013660104459618</v>
      </c>
      <c r="J1439" s="125">
        <v>0</v>
      </c>
    </row>
    <row r="1440" spans="1:11">
      <c r="A1440" s="55">
        <v>3520</v>
      </c>
      <c r="B1440" s="114">
        <v>0.15</v>
      </c>
      <c r="C1440" s="122">
        <v>1</v>
      </c>
      <c r="D1440" s="116">
        <v>53333333.333333336</v>
      </c>
      <c r="E1440" s="241">
        <v>0.15</v>
      </c>
      <c r="F1440" s="122">
        <v>1.3475000000000001E-2</v>
      </c>
      <c r="G1440" s="116">
        <v>5029333333.333333</v>
      </c>
      <c r="H1440" s="116">
        <v>518757000</v>
      </c>
      <c r="I1440" s="114">
        <v>9.6949695779205545</v>
      </c>
      <c r="J1440" s="116">
        <v>50</v>
      </c>
    </row>
    <row r="1441" spans="1:10">
      <c r="A1441" s="55">
        <v>3083</v>
      </c>
      <c r="B1441" s="114">
        <v>-0.79</v>
      </c>
      <c r="C1441" s="122">
        <v>1</v>
      </c>
      <c r="D1441" s="116">
        <v>86075949.367088601</v>
      </c>
      <c r="E1441" s="241">
        <v>0.78</v>
      </c>
      <c r="F1441" s="122">
        <v>9.6166666666666664E-2</v>
      </c>
      <c r="G1441" s="116">
        <v>3339746835.4430375</v>
      </c>
      <c r="H1441" s="116">
        <v>343892000</v>
      </c>
      <c r="I1441" s="114">
        <v>9.7116153776273872</v>
      </c>
      <c r="J1441" s="116">
        <v>0</v>
      </c>
    </row>
    <row r="1442" spans="1:10">
      <c r="A1442" s="55">
        <v>2231</v>
      </c>
      <c r="B1442" s="114">
        <v>4.63</v>
      </c>
      <c r="C1442" s="122">
        <v>0.88907849829351537</v>
      </c>
      <c r="D1442" s="116">
        <v>72570194.384449244</v>
      </c>
      <c r="E1442" s="241">
        <v>0.54</v>
      </c>
      <c r="F1442" s="122">
        <v>1.7366666666666669E-2</v>
      </c>
      <c r="G1442" s="116">
        <v>27830669546.436283</v>
      </c>
      <c r="H1442" s="116">
        <v>2824357000</v>
      </c>
      <c r="I1442" s="114">
        <v>9.853807272393782</v>
      </c>
      <c r="J1442" s="116">
        <v>23.290793166489099</v>
      </c>
    </row>
    <row r="1443" spans="1:10">
      <c r="A1443" s="55">
        <v>1729</v>
      </c>
      <c r="B1443" s="114">
        <v>0.03</v>
      </c>
      <c r="C1443" s="122">
        <v>1</v>
      </c>
      <c r="D1443" s="116">
        <v>200000000</v>
      </c>
      <c r="E1443" s="241">
        <v>0.21</v>
      </c>
      <c r="F1443" s="122">
        <v>2.4808333333333335E-2</v>
      </c>
      <c r="G1443" s="116">
        <v>14019999999.999998</v>
      </c>
      <c r="H1443" s="116">
        <v>1407767000</v>
      </c>
      <c r="I1443" s="114">
        <v>9.9590344140756226</v>
      </c>
      <c r="J1443" s="116">
        <v>50</v>
      </c>
    </row>
    <row r="1444" spans="1:10">
      <c r="A1444" s="55">
        <v>2424</v>
      </c>
      <c r="B1444" s="114">
        <v>0.49</v>
      </c>
      <c r="C1444" s="122">
        <v>0</v>
      </c>
      <c r="D1444" s="116">
        <v>30612244.897959184</v>
      </c>
      <c r="E1444" s="241">
        <v>0</v>
      </c>
      <c r="F1444" s="122">
        <v>17.059866666666668</v>
      </c>
      <c r="G1444" s="116">
        <v>958163265.30612242</v>
      </c>
      <c r="H1444" s="116">
        <v>4494000</v>
      </c>
      <c r="I1444" s="114">
        <v>10</v>
      </c>
      <c r="J1444" s="116">
        <v>0</v>
      </c>
    </row>
    <row r="1445" spans="1:10">
      <c r="A1445" s="55">
        <v>3073</v>
      </c>
      <c r="B1445" s="114">
        <v>-0.1</v>
      </c>
      <c r="C1445" s="122">
        <v>1</v>
      </c>
      <c r="D1445" s="116">
        <v>50000000</v>
      </c>
      <c r="E1445" s="241">
        <v>0.25</v>
      </c>
      <c r="F1445" s="122">
        <v>3.5016666666666661E-2</v>
      </c>
      <c r="G1445" s="116">
        <v>484000000</v>
      </c>
      <c r="H1445" s="116">
        <v>41191000</v>
      </c>
      <c r="I1445" s="114">
        <v>10</v>
      </c>
      <c r="J1445" s="116">
        <v>0</v>
      </c>
    </row>
    <row r="1446" spans="1:10">
      <c r="A1446" s="55">
        <v>5523</v>
      </c>
      <c r="B1446" s="45">
        <v>-0.2</v>
      </c>
      <c r="C1446" s="123">
        <v>0.55319148936170215</v>
      </c>
      <c r="D1446" s="121">
        <v>115000000</v>
      </c>
      <c r="E1446" s="241">
        <v>1</v>
      </c>
      <c r="F1446" s="123">
        <v>3.9963833333333327</v>
      </c>
      <c r="G1446" s="46">
        <v>908500000</v>
      </c>
      <c r="H1446" s="46">
        <v>8904000</v>
      </c>
      <c r="I1446" s="56">
        <v>10</v>
      </c>
      <c r="J1446" s="125">
        <v>0</v>
      </c>
    </row>
    <row r="1447" spans="1:10">
      <c r="A1447" s="55">
        <v>4190</v>
      </c>
      <c r="B1447" s="45">
        <v>1.72</v>
      </c>
      <c r="C1447" s="123">
        <v>0.90374331550802134</v>
      </c>
      <c r="D1447" s="121">
        <v>51744186.046511628</v>
      </c>
      <c r="E1447" s="241">
        <v>0.68</v>
      </c>
      <c r="F1447" s="123">
        <v>-7.2458333333333333E-2</v>
      </c>
      <c r="G1447" s="46">
        <v>6959593023.2558136</v>
      </c>
      <c r="H1447" s="46">
        <v>666837000</v>
      </c>
      <c r="I1447" s="56">
        <v>10</v>
      </c>
      <c r="J1447" s="125">
        <v>21.631605201596258</v>
      </c>
    </row>
    <row r="1448" spans="1:10">
      <c r="A1448" s="55">
        <v>1235</v>
      </c>
      <c r="B1448" s="114">
        <v>0.95</v>
      </c>
      <c r="C1448" s="122">
        <v>0</v>
      </c>
      <c r="D1448" s="116">
        <v>58947368.421052635</v>
      </c>
      <c r="E1448" s="241">
        <v>0.13</v>
      </c>
      <c r="F1448" s="122">
        <v>4.5275000000000003E-2</v>
      </c>
      <c r="G1448" s="116">
        <v>1125894736.8421054</v>
      </c>
      <c r="H1448" s="116">
        <v>107666000</v>
      </c>
      <c r="I1448" s="114">
        <v>10</v>
      </c>
      <c r="J1448" s="116">
        <v>0</v>
      </c>
    </row>
    <row r="1449" spans="1:10">
      <c r="A1449" s="55">
        <v>1436</v>
      </c>
      <c r="B1449" s="114">
        <v>-0.2</v>
      </c>
      <c r="C1449" s="122">
        <v>0.69444444444444442</v>
      </c>
      <c r="D1449" s="116">
        <v>70000000</v>
      </c>
      <c r="E1449" s="241">
        <v>0.3</v>
      </c>
      <c r="F1449" s="122">
        <v>7.0625083333333327</v>
      </c>
      <c r="G1449" s="116">
        <v>2800000000</v>
      </c>
      <c r="H1449" s="116">
        <v>268587000</v>
      </c>
      <c r="I1449" s="114">
        <v>10</v>
      </c>
      <c r="J1449" s="116">
        <v>0</v>
      </c>
    </row>
    <row r="1450" spans="1:10">
      <c r="A1450" s="55">
        <v>1438</v>
      </c>
      <c r="B1450" s="114">
        <v>0.04</v>
      </c>
      <c r="C1450" s="122">
        <v>1</v>
      </c>
      <c r="D1450" s="116">
        <v>100000000</v>
      </c>
      <c r="E1450" s="241">
        <f>VLOOKUP(1438,季財報!$A:$H,8,0)</f>
        <v>4</v>
      </c>
      <c r="F1450" s="122">
        <v>243.42361666666667</v>
      </c>
      <c r="G1450" s="116">
        <v>420000000</v>
      </c>
      <c r="H1450" s="116">
        <v>23634000</v>
      </c>
      <c r="I1450" s="114">
        <v>10</v>
      </c>
      <c r="J1450" s="116">
        <v>26.25</v>
      </c>
    </row>
    <row r="1451" spans="1:10">
      <c r="A1451" s="55">
        <v>1786</v>
      </c>
      <c r="B1451" s="114">
        <v>0.48</v>
      </c>
      <c r="C1451" s="122">
        <v>0.76666666666666672</v>
      </c>
      <c r="D1451" s="116">
        <v>52083333.333333336</v>
      </c>
      <c r="E1451" s="241">
        <v>0.6</v>
      </c>
      <c r="F1451" s="122">
        <v>0.17208333333333334</v>
      </c>
      <c r="G1451" s="116">
        <v>2963541666.6666665</v>
      </c>
      <c r="H1451" s="116">
        <v>264842000</v>
      </c>
      <c r="I1451" s="114">
        <v>10</v>
      </c>
      <c r="J1451" s="116">
        <v>38.654891304347828</v>
      </c>
    </row>
    <row r="1452" spans="1:10">
      <c r="A1452" s="55">
        <v>1903</v>
      </c>
      <c r="B1452" s="114">
        <v>-0.01</v>
      </c>
      <c r="C1452" s="122">
        <v>1</v>
      </c>
      <c r="D1452" s="116">
        <v>400000000</v>
      </c>
      <c r="E1452" s="241">
        <v>-0.31</v>
      </c>
      <c r="F1452" s="122">
        <v>-9.8958333333333329E-2</v>
      </c>
      <c r="G1452" s="116">
        <v>11600000000</v>
      </c>
      <c r="H1452" s="116">
        <v>206335000</v>
      </c>
      <c r="I1452" s="114">
        <v>10</v>
      </c>
      <c r="J1452" s="116">
        <v>0</v>
      </c>
    </row>
    <row r="1453" spans="1:10">
      <c r="A1453" s="55">
        <v>2363</v>
      </c>
      <c r="B1453" s="114">
        <v>0.17</v>
      </c>
      <c r="C1453" s="122">
        <v>0</v>
      </c>
      <c r="D1453" s="116">
        <v>600000000</v>
      </c>
      <c r="E1453" s="241">
        <v>0.35</v>
      </c>
      <c r="F1453" s="122">
        <v>3.0291666666666672E-2</v>
      </c>
      <c r="G1453" s="116">
        <v>4086000000</v>
      </c>
      <c r="H1453" s="116">
        <v>227138000</v>
      </c>
      <c r="I1453" s="114">
        <v>10</v>
      </c>
      <c r="J1453" s="116">
        <v>0</v>
      </c>
    </row>
    <row r="1454" spans="1:10">
      <c r="A1454" s="55">
        <v>2701</v>
      </c>
      <c r="B1454" s="114">
        <v>0.3</v>
      </c>
      <c r="C1454" s="122">
        <v>0.1981981981981982</v>
      </c>
      <c r="D1454" s="116">
        <v>393333333.33333337</v>
      </c>
      <c r="E1454" s="241">
        <v>0.45</v>
      </c>
      <c r="F1454" s="122">
        <v>9.8000000000000049E-3</v>
      </c>
      <c r="G1454" s="116">
        <v>5900000000.000001</v>
      </c>
      <c r="H1454" s="116">
        <v>397359000</v>
      </c>
      <c r="I1454" s="114">
        <v>10</v>
      </c>
      <c r="J1454" s="116">
        <v>50</v>
      </c>
    </row>
    <row r="1455" spans="1:10">
      <c r="A1455" s="55">
        <v>2706</v>
      </c>
      <c r="B1455" s="119">
        <v>0.38</v>
      </c>
      <c r="C1455" s="122">
        <v>0.19078947368421054</v>
      </c>
      <c r="D1455" s="120">
        <v>415789473.68421054</v>
      </c>
      <c r="E1455" s="241">
        <v>0.73</v>
      </c>
      <c r="F1455" s="122">
        <v>-4.0416666666666665E-3</v>
      </c>
      <c r="G1455" s="120">
        <v>7733684210.5263166</v>
      </c>
      <c r="H1455" s="120">
        <v>362860000</v>
      </c>
      <c r="I1455" s="119">
        <v>10</v>
      </c>
      <c r="J1455" s="120">
        <v>50</v>
      </c>
    </row>
    <row r="1456" spans="1:10">
      <c r="A1456" s="55">
        <v>2841</v>
      </c>
      <c r="B1456" s="114">
        <v>0.28000000000000003</v>
      </c>
      <c r="C1456" s="122">
        <v>0</v>
      </c>
      <c r="D1456" s="116">
        <v>703571428.57142854</v>
      </c>
      <c r="E1456" s="241">
        <v>0.78</v>
      </c>
      <c r="F1456" s="122">
        <v>0.58757499999999996</v>
      </c>
      <c r="G1456" s="116">
        <v>7387500000</v>
      </c>
      <c r="H1456" s="116">
        <v>589233000</v>
      </c>
      <c r="I1456" s="114">
        <v>10</v>
      </c>
      <c r="J1456" s="116">
        <v>0</v>
      </c>
    </row>
    <row r="1457" spans="1:10">
      <c r="A1457" s="55">
        <v>2901</v>
      </c>
      <c r="B1457" s="114">
        <v>0.28999999999999998</v>
      </c>
      <c r="C1457" s="122">
        <v>0.8571428571428571</v>
      </c>
      <c r="D1457" s="116">
        <v>72413793.103448287</v>
      </c>
      <c r="E1457" s="241">
        <v>0.92</v>
      </c>
      <c r="F1457" s="122">
        <v>7.6349999999999987E-2</v>
      </c>
      <c r="G1457" s="116">
        <v>1846551724.1379313</v>
      </c>
      <c r="H1457" s="116">
        <v>156176000</v>
      </c>
      <c r="I1457" s="114">
        <v>10</v>
      </c>
      <c r="J1457" s="116">
        <v>25.646551724137932</v>
      </c>
    </row>
    <row r="1458" spans="1:10">
      <c r="A1458" s="55">
        <v>2913</v>
      </c>
      <c r="B1458" s="114">
        <v>0.24</v>
      </c>
      <c r="C1458" s="122">
        <v>0.13589743589743589</v>
      </c>
      <c r="D1458" s="116">
        <v>795833333.33333337</v>
      </c>
      <c r="E1458" s="241">
        <v>0.52</v>
      </c>
      <c r="F1458" s="122">
        <v>-5.3225000000000001E-2</v>
      </c>
      <c r="G1458" s="116">
        <v>10942708333.333334</v>
      </c>
      <c r="H1458" s="116">
        <v>936246000</v>
      </c>
      <c r="I1458" s="114">
        <v>10</v>
      </c>
      <c r="J1458" s="116">
        <v>50</v>
      </c>
    </row>
    <row r="1459" spans="1:10">
      <c r="A1459" s="55">
        <v>3064</v>
      </c>
      <c r="B1459" s="114">
        <v>-0.57999999999999996</v>
      </c>
      <c r="C1459" s="122">
        <v>1</v>
      </c>
      <c r="D1459" s="116">
        <v>72413793.103448287</v>
      </c>
      <c r="E1459" s="241">
        <v>0.51</v>
      </c>
      <c r="F1459" s="122">
        <v>0.28856666666666669</v>
      </c>
      <c r="G1459" s="116">
        <v>1451896551.7241383</v>
      </c>
      <c r="H1459" s="116">
        <v>129578000</v>
      </c>
      <c r="I1459" s="114">
        <v>10</v>
      </c>
      <c r="J1459" s="116">
        <v>0</v>
      </c>
    </row>
    <row r="1460" spans="1:10">
      <c r="A1460" s="55">
        <v>3081</v>
      </c>
      <c r="B1460" s="114">
        <v>4.0599999999999996</v>
      </c>
      <c r="C1460" s="122">
        <v>0.96370967741935487</v>
      </c>
      <c r="D1460" s="116">
        <v>68719211.822660103</v>
      </c>
      <c r="E1460" s="241">
        <v>0.67</v>
      </c>
      <c r="F1460" s="122">
        <v>5.229166666666666E-2</v>
      </c>
      <c r="G1460" s="116">
        <v>35252955665.024635</v>
      </c>
      <c r="H1460" s="116">
        <v>2027760000</v>
      </c>
      <c r="I1460" s="114">
        <v>10</v>
      </c>
      <c r="J1460" s="116">
        <v>32.778201455160044</v>
      </c>
    </row>
    <row r="1461" spans="1:10">
      <c r="A1461" s="55">
        <v>3176</v>
      </c>
      <c r="B1461" s="114">
        <v>-0.92</v>
      </c>
      <c r="C1461" s="122">
        <v>1</v>
      </c>
      <c r="D1461" s="116">
        <v>138043478.26086956</v>
      </c>
      <c r="E1461" s="241">
        <v>0.26</v>
      </c>
      <c r="F1461" s="122">
        <v>1.6999999999999998E-2</v>
      </c>
      <c r="G1461" s="116">
        <v>10808804347.826086</v>
      </c>
      <c r="H1461" s="116">
        <v>368646000</v>
      </c>
      <c r="I1461" s="114">
        <v>10</v>
      </c>
      <c r="J1461" s="116">
        <v>0</v>
      </c>
    </row>
    <row r="1462" spans="1:10">
      <c r="A1462" s="55">
        <v>3529</v>
      </c>
      <c r="B1462" s="114">
        <v>1.4</v>
      </c>
      <c r="C1462" s="122">
        <v>0.90677966101694918</v>
      </c>
      <c r="D1462" s="116">
        <v>75714285.714285716</v>
      </c>
      <c r="E1462" s="241">
        <v>1</v>
      </c>
      <c r="F1462" s="122">
        <v>2.3959916666666667</v>
      </c>
      <c r="G1462" s="116">
        <v>27711428571.428574</v>
      </c>
      <c r="H1462" s="116">
        <v>1091620000</v>
      </c>
      <c r="I1462" s="114">
        <v>10</v>
      </c>
      <c r="J1462" s="116">
        <v>50</v>
      </c>
    </row>
    <row r="1463" spans="1:10">
      <c r="A1463" s="55">
        <v>4108</v>
      </c>
      <c r="B1463" s="45">
        <v>-0.22</v>
      </c>
      <c r="C1463" s="123">
        <v>1</v>
      </c>
      <c r="D1463" s="121">
        <v>163636363.63636363</v>
      </c>
      <c r="E1463" s="241">
        <v>0.2</v>
      </c>
      <c r="F1463" s="123">
        <v>1.9399999999999997E-2</v>
      </c>
      <c r="G1463" s="46">
        <v>4598181818.181818</v>
      </c>
      <c r="H1463" s="46">
        <v>20834000</v>
      </c>
      <c r="I1463" s="56">
        <v>10</v>
      </c>
      <c r="J1463" s="125">
        <v>0</v>
      </c>
    </row>
    <row r="1464" spans="1:10">
      <c r="A1464" s="55">
        <v>4130</v>
      </c>
      <c r="B1464" s="45">
        <v>0.16</v>
      </c>
      <c r="C1464" s="123">
        <v>1</v>
      </c>
      <c r="D1464" s="121">
        <v>100000000</v>
      </c>
      <c r="E1464" s="241">
        <v>0.5</v>
      </c>
      <c r="F1464" s="123">
        <v>4.5874999999999999E-2</v>
      </c>
      <c r="G1464" s="46">
        <v>6300000000</v>
      </c>
      <c r="H1464" s="46">
        <v>477596000</v>
      </c>
      <c r="I1464" s="56">
        <v>10</v>
      </c>
      <c r="J1464" s="125">
        <v>50</v>
      </c>
    </row>
    <row r="1465" spans="1:10">
      <c r="A1465" s="55">
        <v>4131</v>
      </c>
      <c r="B1465" s="45">
        <v>-0.12</v>
      </c>
      <c r="C1465" s="123">
        <v>1</v>
      </c>
      <c r="D1465" s="121">
        <v>33333333.333333336</v>
      </c>
      <c r="E1465" s="241">
        <v>0.6</v>
      </c>
      <c r="F1465" s="123">
        <v>0.45105833333333339</v>
      </c>
      <c r="G1465" s="46">
        <v>330333333.33333337</v>
      </c>
      <c r="H1465" s="46">
        <v>22839000</v>
      </c>
      <c r="I1465" s="56">
        <v>10</v>
      </c>
      <c r="J1465" s="125">
        <v>0</v>
      </c>
    </row>
    <row r="1466" spans="1:10">
      <c r="A1466" s="55">
        <v>4142</v>
      </c>
      <c r="B1466" s="45">
        <v>-0.81</v>
      </c>
      <c r="C1466" s="123">
        <v>1</v>
      </c>
      <c r="D1466" s="121">
        <v>235802469.13580245</v>
      </c>
      <c r="E1466" s="241">
        <v>-0.78</v>
      </c>
      <c r="F1466" s="123">
        <v>3.1893083333333343</v>
      </c>
      <c r="G1466" s="46">
        <v>5706419753.0864191</v>
      </c>
      <c r="H1466" s="46">
        <v>290736000</v>
      </c>
      <c r="I1466" s="56">
        <v>10</v>
      </c>
      <c r="J1466" s="125">
        <v>0</v>
      </c>
    </row>
    <row r="1467" spans="1:10">
      <c r="A1467" s="55">
        <v>4152</v>
      </c>
      <c r="B1467" s="45">
        <v>-3.37</v>
      </c>
      <c r="C1467" s="123">
        <v>1</v>
      </c>
      <c r="D1467" s="121">
        <v>55192878.338278927</v>
      </c>
      <c r="E1467" s="241">
        <v>1</v>
      </c>
      <c r="F1467" s="123">
        <v>0.38545000000000001</v>
      </c>
      <c r="G1467" s="46">
        <v>7561424332.3442125</v>
      </c>
      <c r="H1467" s="46">
        <v>59771000</v>
      </c>
      <c r="I1467" s="56">
        <v>10</v>
      </c>
      <c r="J1467" s="125">
        <v>0</v>
      </c>
    </row>
    <row r="1468" spans="1:10">
      <c r="A1468" s="55">
        <v>4157</v>
      </c>
      <c r="B1468" s="45">
        <v>-0.15</v>
      </c>
      <c r="C1468" s="123">
        <v>1</v>
      </c>
      <c r="D1468" s="121">
        <v>673333333.33333337</v>
      </c>
      <c r="E1468" s="241">
        <v>0.75</v>
      </c>
      <c r="F1468" s="123">
        <v>-6.8083333333333372E-3</v>
      </c>
      <c r="G1468" s="46">
        <v>19493000000</v>
      </c>
      <c r="H1468" s="46">
        <v>78004000</v>
      </c>
      <c r="I1468" s="56">
        <v>10</v>
      </c>
      <c r="J1468" s="125">
        <v>0</v>
      </c>
    </row>
    <row r="1469" spans="1:10">
      <c r="A1469" s="55">
        <v>4162</v>
      </c>
      <c r="B1469" s="45">
        <v>0.34</v>
      </c>
      <c r="C1469" s="123">
        <v>0.85152838427947597</v>
      </c>
      <c r="D1469" s="121">
        <v>102941176.47058822</v>
      </c>
      <c r="E1469" s="241">
        <v>0.67</v>
      </c>
      <c r="F1469" s="123">
        <v>53.591550000000005</v>
      </c>
      <c r="G1469" s="46">
        <v>22749999999.999996</v>
      </c>
      <c r="H1469" s="46">
        <v>507245000</v>
      </c>
      <c r="I1469" s="56">
        <v>10</v>
      </c>
      <c r="J1469" s="125">
        <v>50</v>
      </c>
    </row>
    <row r="1470" spans="1:10">
      <c r="A1470" s="55">
        <v>4168</v>
      </c>
      <c r="B1470" s="45">
        <v>-0.27</v>
      </c>
      <c r="C1470" s="123">
        <v>1</v>
      </c>
      <c r="D1470" s="121">
        <v>74074074.074074075</v>
      </c>
      <c r="E1470" s="241">
        <f>VLOOKUP(4168,季財報!$A:$H,8,0)</f>
        <v>1</v>
      </c>
      <c r="F1470" s="123">
        <v>1.8128416666666665</v>
      </c>
      <c r="G1470" s="46">
        <v>3507407407.4074078</v>
      </c>
      <c r="H1470" s="46">
        <v>6961000</v>
      </c>
      <c r="I1470" s="56">
        <v>10</v>
      </c>
      <c r="J1470" s="125">
        <v>0</v>
      </c>
    </row>
    <row r="1471" spans="1:10">
      <c r="A1471" s="55">
        <v>4180</v>
      </c>
      <c r="B1471" s="45">
        <v>-0.64</v>
      </c>
      <c r="C1471" s="123">
        <v>0</v>
      </c>
      <c r="D1471" s="121">
        <v>112500000</v>
      </c>
      <c r="E1471" s="241">
        <v>0.16</v>
      </c>
      <c r="F1471" s="123">
        <v>8.7958333333333361E-2</v>
      </c>
      <c r="G1471" s="46">
        <v>18000000000</v>
      </c>
      <c r="H1471" s="46">
        <v>424181000</v>
      </c>
      <c r="I1471" s="56">
        <v>10</v>
      </c>
      <c r="J1471" s="125">
        <v>0</v>
      </c>
    </row>
    <row r="1472" spans="1:10">
      <c r="A1472" s="55">
        <v>4188</v>
      </c>
      <c r="B1472" s="45">
        <v>-0.35</v>
      </c>
      <c r="C1472" s="123">
        <v>1</v>
      </c>
      <c r="D1472" s="121">
        <v>40000000</v>
      </c>
      <c r="E1472" s="241">
        <f>VLOOKUP(4188,季財報!$A:$H,8,0)</f>
        <v>2</v>
      </c>
      <c r="F1472" s="123">
        <v>6.4041666666666663E-2</v>
      </c>
      <c r="G1472" s="46">
        <v>1126000000</v>
      </c>
      <c r="H1472" s="46">
        <v>141000</v>
      </c>
      <c r="I1472" s="56">
        <v>10</v>
      </c>
      <c r="J1472" s="125">
        <v>0</v>
      </c>
    </row>
    <row r="1473" spans="1:10">
      <c r="A1473" s="55">
        <v>4192</v>
      </c>
      <c r="B1473" s="45">
        <v>-1.22</v>
      </c>
      <c r="C1473" s="123">
        <v>1</v>
      </c>
      <c r="D1473" s="121">
        <v>58196721.311475411</v>
      </c>
      <c r="E1473" s="241">
        <v>0.5</v>
      </c>
      <c r="F1473" s="123">
        <v>1.6044416666666665</v>
      </c>
      <c r="G1473" s="46">
        <v>2327868852.4590163</v>
      </c>
      <c r="H1473" s="46">
        <v>15461000</v>
      </c>
      <c r="I1473" s="56">
        <v>10</v>
      </c>
      <c r="J1473" s="125">
        <v>0</v>
      </c>
    </row>
    <row r="1474" spans="1:10">
      <c r="A1474" s="55">
        <v>4529</v>
      </c>
      <c r="B1474" s="45">
        <v>-0.39</v>
      </c>
      <c r="C1474" s="123">
        <v>1</v>
      </c>
      <c r="D1474" s="121">
        <v>76923076.923076928</v>
      </c>
      <c r="E1474" s="241">
        <v>1</v>
      </c>
      <c r="F1474" s="123">
        <v>0.22785</v>
      </c>
      <c r="G1474" s="46">
        <v>2492307692.3076925</v>
      </c>
      <c r="H1474" s="46">
        <v>6358000</v>
      </c>
      <c r="I1474" s="56">
        <v>10</v>
      </c>
      <c r="J1474" s="125">
        <v>0</v>
      </c>
    </row>
    <row r="1475" spans="1:10">
      <c r="A1475" s="55">
        <v>4726</v>
      </c>
      <c r="B1475" s="45">
        <v>-0.04</v>
      </c>
      <c r="C1475" s="123">
        <v>1</v>
      </c>
      <c r="D1475" s="121">
        <v>100000000</v>
      </c>
      <c r="E1475" s="241">
        <v>0.54</v>
      </c>
      <c r="F1475" s="123">
        <v>0.472825</v>
      </c>
      <c r="G1475" s="46">
        <v>4355000000</v>
      </c>
      <c r="H1475" s="46">
        <v>134857000</v>
      </c>
      <c r="I1475" s="56">
        <v>10</v>
      </c>
      <c r="J1475" s="125">
        <v>0</v>
      </c>
    </row>
    <row r="1476" spans="1:10">
      <c r="A1476" s="55">
        <v>4728</v>
      </c>
      <c r="B1476" s="45">
        <v>-0.17</v>
      </c>
      <c r="C1476" s="123">
        <v>1</v>
      </c>
      <c r="D1476" s="121">
        <v>52941176.47058823</v>
      </c>
      <c r="E1476" s="241">
        <v>0.47</v>
      </c>
      <c r="F1476" s="123">
        <v>0.15305833333333335</v>
      </c>
      <c r="G1476" s="46">
        <v>2067352941.1764703</v>
      </c>
      <c r="H1476" s="46">
        <v>115807000</v>
      </c>
      <c r="I1476" s="56">
        <v>10</v>
      </c>
      <c r="J1476" s="125">
        <v>0</v>
      </c>
    </row>
    <row r="1477" spans="1:10">
      <c r="A1477" s="55">
        <v>4743</v>
      </c>
      <c r="B1477" s="45">
        <v>-0.1</v>
      </c>
      <c r="C1477" s="123">
        <v>1</v>
      </c>
      <c r="D1477" s="121">
        <v>190000000</v>
      </c>
      <c r="E1477" s="241">
        <v>0.5</v>
      </c>
      <c r="F1477" s="123">
        <v>0.97155000000000002</v>
      </c>
      <c r="G1477" s="46">
        <v>6479000000</v>
      </c>
      <c r="H1477" s="46">
        <v>7769000</v>
      </c>
      <c r="I1477" s="56">
        <v>10</v>
      </c>
      <c r="J1477" s="125">
        <v>0</v>
      </c>
    </row>
    <row r="1478" spans="1:10">
      <c r="A1478" s="55">
        <v>4905</v>
      </c>
      <c r="B1478" s="45">
        <v>1.01</v>
      </c>
      <c r="C1478" s="123">
        <v>0</v>
      </c>
      <c r="D1478" s="121">
        <v>51485148.514851488</v>
      </c>
      <c r="E1478" s="241">
        <v>0.51</v>
      </c>
      <c r="F1478" s="123">
        <v>0.10575000000000002</v>
      </c>
      <c r="G1478" s="46">
        <v>2512475247.5247526</v>
      </c>
      <c r="H1478" s="46">
        <v>115140000</v>
      </c>
      <c r="I1478" s="56">
        <v>10</v>
      </c>
      <c r="J1478" s="125">
        <v>0</v>
      </c>
    </row>
    <row r="1479" spans="1:10">
      <c r="A1479" s="55">
        <v>4911</v>
      </c>
      <c r="B1479" s="45">
        <v>-0.04</v>
      </c>
      <c r="C1479" s="123">
        <v>1</v>
      </c>
      <c r="D1479" s="121">
        <v>50000000</v>
      </c>
      <c r="E1479" s="241">
        <v>0.71</v>
      </c>
      <c r="F1479" s="123">
        <v>0.21448333333333328</v>
      </c>
      <c r="G1479" s="46">
        <v>3704999999.9999995</v>
      </c>
      <c r="H1479" s="46">
        <v>54074000</v>
      </c>
      <c r="I1479" s="56">
        <v>10</v>
      </c>
      <c r="J1479" s="125">
        <v>0</v>
      </c>
    </row>
    <row r="1480" spans="1:10">
      <c r="A1480" s="55">
        <v>5263</v>
      </c>
      <c r="B1480" s="45">
        <v>1.51</v>
      </c>
      <c r="C1480" s="123">
        <v>0.67619047619047623</v>
      </c>
      <c r="D1480" s="121">
        <v>43708609.271523178</v>
      </c>
      <c r="E1480" s="241">
        <v>0.47</v>
      </c>
      <c r="F1480" s="123">
        <v>8.8525000000000006E-2</v>
      </c>
      <c r="G1480" s="46">
        <v>12194701986.754967</v>
      </c>
      <c r="H1480" s="46">
        <v>704828000</v>
      </c>
      <c r="I1480" s="56">
        <v>10</v>
      </c>
      <c r="J1480" s="125">
        <v>50</v>
      </c>
    </row>
    <row r="1481" spans="1:10">
      <c r="A1481" s="55">
        <v>5274</v>
      </c>
      <c r="B1481" s="45">
        <v>3.71</v>
      </c>
      <c r="C1481" s="123">
        <v>0.8651685393258427</v>
      </c>
      <c r="D1481" s="121">
        <v>31536388.140161727</v>
      </c>
      <c r="E1481" s="241">
        <v>0.56999999999999995</v>
      </c>
      <c r="F1481" s="123">
        <v>1.1899999999999999E-2</v>
      </c>
      <c r="G1481" s="46">
        <v>11163881401.61725</v>
      </c>
      <c r="H1481" s="46">
        <v>993263000</v>
      </c>
      <c r="I1481" s="56">
        <v>10</v>
      </c>
      <c r="J1481" s="125">
        <v>27.572023663667871</v>
      </c>
    </row>
    <row r="1482" spans="1:10">
      <c r="A1482" s="55">
        <v>5481</v>
      </c>
      <c r="B1482" s="45">
        <v>-0.26</v>
      </c>
      <c r="C1482" s="123">
        <v>0.69620253164556967</v>
      </c>
      <c r="D1482" s="121">
        <v>100000000</v>
      </c>
      <c r="E1482" s="241">
        <v>-2.62</v>
      </c>
      <c r="F1482" s="123">
        <v>-0.27863333333333334</v>
      </c>
      <c r="G1482" s="46">
        <v>1580000000</v>
      </c>
      <c r="H1482" s="46">
        <v>75154000</v>
      </c>
      <c r="I1482" s="56">
        <v>10</v>
      </c>
      <c r="J1482" s="125">
        <v>0</v>
      </c>
    </row>
    <row r="1483" spans="1:10">
      <c r="A1483" s="55">
        <v>5514</v>
      </c>
      <c r="B1483" s="45">
        <v>-0.21</v>
      </c>
      <c r="C1483" s="123">
        <v>0.32692307692307693</v>
      </c>
      <c r="D1483" s="121">
        <v>166666666.66666669</v>
      </c>
      <c r="E1483" s="241">
        <v>0</v>
      </c>
      <c r="F1483" s="123">
        <v>18.361766666666664</v>
      </c>
      <c r="G1483" s="46">
        <v>1566666666.666667</v>
      </c>
      <c r="H1483" s="46">
        <v>94445000</v>
      </c>
      <c r="I1483" s="56">
        <v>10</v>
      </c>
      <c r="J1483" s="125">
        <v>0</v>
      </c>
    </row>
    <row r="1484" spans="1:10">
      <c r="A1484" s="55">
        <v>5529</v>
      </c>
      <c r="B1484" s="45">
        <v>-0.24</v>
      </c>
      <c r="C1484" s="123">
        <v>0.86046511627906974</v>
      </c>
      <c r="D1484" s="121">
        <v>104166666.66666667</v>
      </c>
      <c r="E1484" s="241">
        <v>1</v>
      </c>
      <c r="F1484" s="123">
        <v>2.7801083333333332</v>
      </c>
      <c r="G1484" s="46">
        <v>818750000.00000012</v>
      </c>
      <c r="H1484" s="46">
        <v>22096000</v>
      </c>
      <c r="I1484" s="56">
        <v>10</v>
      </c>
      <c r="J1484" s="125">
        <v>0</v>
      </c>
    </row>
    <row r="1485" spans="1:10">
      <c r="A1485" s="55">
        <v>8038</v>
      </c>
      <c r="B1485" s="45">
        <v>-0.02</v>
      </c>
      <c r="C1485" s="123">
        <v>1</v>
      </c>
      <c r="D1485" s="121">
        <v>50000000</v>
      </c>
      <c r="E1485" s="241">
        <v>-0.27</v>
      </c>
      <c r="F1485" s="123">
        <v>0.23318333333333333</v>
      </c>
      <c r="G1485" s="46">
        <v>2650000000</v>
      </c>
      <c r="H1485" s="46">
        <v>83210000</v>
      </c>
      <c r="I1485" s="56">
        <v>10</v>
      </c>
      <c r="J1485" s="125">
        <v>0</v>
      </c>
    </row>
    <row r="1486" spans="1:10">
      <c r="A1486" s="55">
        <v>8082</v>
      </c>
      <c r="B1486" s="45">
        <v>-0.03</v>
      </c>
      <c r="C1486" s="123">
        <v>0.36</v>
      </c>
      <c r="D1486" s="121">
        <v>100000000</v>
      </c>
      <c r="E1486" s="241">
        <f>VLOOKUP(8082,季財報!$A:$H,8,0)</f>
        <v>1</v>
      </c>
      <c r="F1486" s="123">
        <v>-0.16800000000000001</v>
      </c>
      <c r="G1486" s="46">
        <v>200000000</v>
      </c>
      <c r="H1486" s="46">
        <v>3738000</v>
      </c>
      <c r="I1486" s="56">
        <v>10</v>
      </c>
      <c r="J1486" s="125">
        <v>0</v>
      </c>
    </row>
    <row r="1487" spans="1:10">
      <c r="A1487" s="55">
        <v>8913</v>
      </c>
      <c r="B1487" s="45">
        <v>0.19</v>
      </c>
      <c r="C1487" s="123">
        <v>0.4</v>
      </c>
      <c r="D1487" s="121">
        <v>52631578.947368421</v>
      </c>
      <c r="E1487" s="241">
        <v>0.61</v>
      </c>
      <c r="F1487" s="123">
        <v>1.5691666666666666E-2</v>
      </c>
      <c r="G1487" s="46">
        <v>789473684.21052635</v>
      </c>
      <c r="H1487" s="46">
        <v>72297000</v>
      </c>
      <c r="I1487" s="56">
        <v>10</v>
      </c>
      <c r="J1487" s="125">
        <v>49.34210526315789</v>
      </c>
    </row>
  </sheetData>
  <autoFilter ref="A1:J1487"/>
  <sortState ref="A2:K2000">
    <sortCondition ref="I2:I2000"/>
  </sortState>
  <phoneticPr fontId="1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8" r:id="rId4" name="CommandButton6">
          <controlPr defaultSize="0" autoLine="0" autoPict="0" r:id="rId5">
            <anchor moveWithCells="1">
              <from>
                <xdr:col>0</xdr:col>
                <xdr:colOff>28575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8" r:id="rId4" name="CommandButton6"/>
      </mc:Fallback>
    </mc:AlternateContent>
    <mc:AlternateContent xmlns:mc="http://schemas.openxmlformats.org/markup-compatibility/2006">
      <mc:Choice Requires="x14">
        <control shapeId="3085" r:id="rId6" name="CommandButton9">
          <controlPr defaultSize="0" autoLine="0" r:id="rId7">
            <anchor moveWithCells="1">
              <from>
                <xdr:col>10</xdr:col>
                <xdr:colOff>57150</xdr:colOff>
                <xdr:row>0</xdr:row>
                <xdr:rowOff>0</xdr:rowOff>
              </from>
              <to>
                <xdr:col>10</xdr:col>
                <xdr:colOff>685800</xdr:colOff>
                <xdr:row>0</xdr:row>
                <xdr:rowOff>409575</xdr:rowOff>
              </to>
            </anchor>
          </controlPr>
        </control>
      </mc:Choice>
      <mc:Fallback>
        <control shapeId="3085" r:id="rId6" name="CommandButton9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4</xdr:col>
                <xdr:colOff>76200</xdr:colOff>
                <xdr:row>0</xdr:row>
                <xdr:rowOff>0</xdr:rowOff>
              </from>
              <to>
                <xdr:col>4</xdr:col>
                <xdr:colOff>933450</xdr:colOff>
                <xdr:row>0</xdr:row>
                <xdr:rowOff>409575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7" r:id="rId10" name="CommandButton4">
          <controlPr defaultSize="0" autoLine="0" r:id="rId11">
            <anchor moveWithCells="1">
              <from>
                <xdr:col>6</xdr:col>
                <xdr:colOff>66675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77" r:id="rId10" name="CommandButton4"/>
      </mc:Fallback>
    </mc:AlternateContent>
    <mc:AlternateContent xmlns:mc="http://schemas.openxmlformats.org/markup-compatibility/2006">
      <mc:Choice Requires="x14">
        <control shapeId="3079" r:id="rId12" name="CommandButton5">
          <controlPr defaultSize="0" autoLine="0" autoPict="0" r:id="rId13">
            <anchor moveWithCells="1">
              <from>
                <xdr:col>5</xdr:col>
                <xdr:colOff>38100</xdr:colOff>
                <xdr:row>0</xdr:row>
                <xdr:rowOff>0</xdr:rowOff>
              </from>
              <to>
                <xdr:col>5</xdr:col>
                <xdr:colOff>1066800</xdr:colOff>
                <xdr:row>0</xdr:row>
                <xdr:rowOff>409575</xdr:rowOff>
              </to>
            </anchor>
          </controlPr>
        </control>
      </mc:Choice>
      <mc:Fallback>
        <control shapeId="3079" r:id="rId12" name="CommandButton5"/>
      </mc:Fallback>
    </mc:AlternateContent>
    <mc:AlternateContent xmlns:mc="http://schemas.openxmlformats.org/markup-compatibility/2006">
      <mc:Choice Requires="x14">
        <control shapeId="3080" r:id="rId14" name="CommandButton1">
          <controlPr defaultSize="0" autoLine="0" r:id="rId15">
            <anchor moveWithCells="1">
              <from>
                <xdr:col>11</xdr:col>
                <xdr:colOff>47625</xdr:colOff>
                <xdr:row>0</xdr:row>
                <xdr:rowOff>0</xdr:rowOff>
              </from>
              <to>
                <xdr:col>11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0" r:id="rId14" name="CommandButton1"/>
      </mc:Fallback>
    </mc:AlternateContent>
    <mc:AlternateContent xmlns:mc="http://schemas.openxmlformats.org/markup-compatibility/2006">
      <mc:Choice Requires="x14">
        <control shapeId="3086" r:id="rId16" name="CommandButton10">
          <controlPr defaultSize="0" autoLine="0" r:id="rId17">
            <anchor moveWithCells="1">
              <from>
                <xdr:col>12</xdr:col>
                <xdr:colOff>38100</xdr:colOff>
                <xdr:row>0</xdr:row>
                <xdr:rowOff>0</xdr:rowOff>
              </from>
              <to>
                <xdr:col>12</xdr:col>
                <xdr:colOff>676275</xdr:colOff>
                <xdr:row>0</xdr:row>
                <xdr:rowOff>409575</xdr:rowOff>
              </to>
            </anchor>
          </controlPr>
        </control>
      </mc:Choice>
      <mc:Fallback>
        <control shapeId="3086" r:id="rId16" name="CommandButton10"/>
      </mc:Fallback>
    </mc:AlternateContent>
    <mc:AlternateContent xmlns:mc="http://schemas.openxmlformats.org/markup-compatibility/2006">
      <mc:Choice Requires="x14">
        <control shapeId="3087" r:id="rId18" name="CommandButton2">
          <controlPr defaultSize="0" autoLine="0" autoPict="0" r:id="rId19">
            <anchor moveWithCells="1">
              <from>
                <xdr:col>8</xdr:col>
                <xdr:colOff>28575</xdr:colOff>
                <xdr:row>0</xdr:row>
                <xdr:rowOff>0</xdr:rowOff>
              </from>
              <to>
                <xdr:col>9</xdr:col>
                <xdr:colOff>0</xdr:colOff>
                <xdr:row>0</xdr:row>
                <xdr:rowOff>409575</xdr:rowOff>
              </to>
            </anchor>
          </controlPr>
        </control>
      </mc:Choice>
      <mc:Fallback>
        <control shapeId="3087" r:id="rId18" name="CommandButton2"/>
      </mc:Fallback>
    </mc:AlternateContent>
    <mc:AlternateContent xmlns:mc="http://schemas.openxmlformats.org/markup-compatibility/2006">
      <mc:Choice Requires="x14">
        <control shapeId="3089" r:id="rId20" name="CommandButton7">
          <controlPr defaultSize="0" autoLine="0" autoPict="0" r:id="rId21">
            <anchor moveWithCells="1">
              <from>
                <xdr:col>13</xdr:col>
                <xdr:colOff>152400</xdr:colOff>
                <xdr:row>0</xdr:row>
                <xdr:rowOff>0</xdr:rowOff>
              </from>
              <to>
                <xdr:col>14</xdr:col>
                <xdr:colOff>257175</xdr:colOff>
                <xdr:row>0</xdr:row>
                <xdr:rowOff>409575</xdr:rowOff>
              </to>
            </anchor>
          </controlPr>
        </control>
      </mc:Choice>
      <mc:Fallback>
        <control shapeId="3089" r:id="rId20" name="CommandButton7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1578"/>
  <sheetViews>
    <sheetView workbookViewId="0">
      <pane xSplit="1" ySplit="1" topLeftCell="B2" activePane="bottomRight" state="frozen"/>
      <selection pane="topRight" activeCell="H1" sqref="H1"/>
      <selection pane="bottomLeft" activeCell="A2" sqref="A2"/>
      <selection pane="bottomRight" activeCell="J16" sqref="J16"/>
    </sheetView>
  </sheetViews>
  <sheetFormatPr defaultRowHeight="16.5"/>
  <cols>
    <col min="3" max="3" width="9.5" bestFit="1" customWidth="1"/>
    <col min="5" max="5" width="9.25" bestFit="1" customWidth="1"/>
  </cols>
  <sheetData>
    <row r="1" spans="1:6">
      <c r="A1" t="s">
        <v>2457</v>
      </c>
      <c r="B1" t="s">
        <v>2013</v>
      </c>
      <c r="C1" s="72">
        <v>42313</v>
      </c>
      <c r="D1" s="72">
        <v>42436</v>
      </c>
      <c r="E1" t="s">
        <v>1835</v>
      </c>
      <c r="F1" t="s">
        <v>1857</v>
      </c>
    </row>
    <row r="2" spans="1:6">
      <c r="A2">
        <v>3629</v>
      </c>
      <c r="B2" t="s">
        <v>1524</v>
      </c>
      <c r="C2">
        <v>8.6</v>
      </c>
      <c r="D2">
        <f>VLOOKUP(A2,收盤價!A:C,3,0)</f>
        <v>40.5</v>
      </c>
      <c r="E2" s="126">
        <v>3.7093023255813953</v>
      </c>
      <c r="F2">
        <v>99.87</v>
      </c>
    </row>
    <row r="3" spans="1:6">
      <c r="A3">
        <v>4502</v>
      </c>
      <c r="B3" t="s">
        <v>1575</v>
      </c>
      <c r="C3">
        <v>8.5</v>
      </c>
      <c r="D3">
        <f>VLOOKUP(A3,收盤價!A:C,3,0)</f>
        <v>27.5</v>
      </c>
      <c r="E3" s="126">
        <v>2.2352941176470589</v>
      </c>
      <c r="F3">
        <v>99.81</v>
      </c>
    </row>
    <row r="4" spans="1:6">
      <c r="A4">
        <v>3324</v>
      </c>
      <c r="B4" t="s">
        <v>1484</v>
      </c>
      <c r="C4">
        <v>27.5</v>
      </c>
      <c r="D4">
        <f>VLOOKUP(A4,收盤價!A:C,3,0)</f>
        <v>75</v>
      </c>
      <c r="E4" s="126">
        <v>1.7272727272727273</v>
      </c>
      <c r="F4">
        <v>99.75</v>
      </c>
    </row>
    <row r="5" spans="1:6">
      <c r="A5">
        <v>3293</v>
      </c>
      <c r="B5" t="s">
        <v>1479</v>
      </c>
      <c r="C5">
        <v>87.8</v>
      </c>
      <c r="D5">
        <f>VLOOKUP(A5,收盤價!A:C,3,0)</f>
        <v>230</v>
      </c>
      <c r="E5" s="126">
        <v>1.6195899772209565</v>
      </c>
      <c r="F5">
        <v>99.68</v>
      </c>
    </row>
    <row r="6" spans="1:6">
      <c r="A6">
        <v>3064</v>
      </c>
      <c r="B6" t="s">
        <v>1443</v>
      </c>
      <c r="C6">
        <v>21.2</v>
      </c>
      <c r="D6">
        <f>VLOOKUP(A6,收盤價!A:C,3,0)</f>
        <v>50.9</v>
      </c>
      <c r="E6" s="126">
        <v>1.4009433962264151</v>
      </c>
      <c r="F6">
        <v>99.62</v>
      </c>
    </row>
    <row r="7" spans="1:6">
      <c r="A7">
        <v>5245</v>
      </c>
      <c r="B7" t="s">
        <v>392</v>
      </c>
      <c r="C7">
        <v>78.5</v>
      </c>
      <c r="D7">
        <f>VLOOKUP(A7,收盤價!A:C,3,0)</f>
        <v>187.5</v>
      </c>
      <c r="E7" s="126">
        <v>1.3885350318471337</v>
      </c>
      <c r="F7">
        <v>99.56</v>
      </c>
    </row>
    <row r="8" spans="1:6">
      <c r="A8">
        <v>3580</v>
      </c>
      <c r="B8" t="s">
        <v>1519</v>
      </c>
      <c r="C8">
        <v>5.67</v>
      </c>
      <c r="D8">
        <f>VLOOKUP(A8,收盤價!A:C,3,0)</f>
        <v>13.1</v>
      </c>
      <c r="E8" s="126">
        <v>1.3104056437389771</v>
      </c>
      <c r="F8">
        <v>99.49</v>
      </c>
    </row>
    <row r="9" spans="1:6">
      <c r="A9">
        <v>6201</v>
      </c>
      <c r="B9" t="s">
        <v>1412</v>
      </c>
      <c r="C9">
        <v>11.78</v>
      </c>
      <c r="D9">
        <f>VLOOKUP(A9,收盤價!A:C,3,0)</f>
        <v>26.95</v>
      </c>
      <c r="E9" s="126">
        <v>1.2877758913412565</v>
      </c>
      <c r="F9">
        <v>99.43</v>
      </c>
    </row>
    <row r="10" spans="1:6">
      <c r="A10">
        <v>6230</v>
      </c>
      <c r="B10" t="s">
        <v>1281</v>
      </c>
      <c r="C10">
        <v>79.7</v>
      </c>
      <c r="D10">
        <f>VLOOKUP(A10,收盤價!A:C,3,0)</f>
        <v>161.5</v>
      </c>
      <c r="E10" s="126">
        <v>1.0263488080301129</v>
      </c>
      <c r="F10">
        <v>99.37</v>
      </c>
    </row>
    <row r="11" spans="1:6">
      <c r="A11">
        <v>3623</v>
      </c>
      <c r="B11" t="s">
        <v>334</v>
      </c>
      <c r="C11">
        <v>37.9</v>
      </c>
      <c r="D11">
        <f>VLOOKUP(A11,收盤價!A:C,3,0)</f>
        <v>71.7</v>
      </c>
      <c r="E11" s="126">
        <v>0.89182058047493418</v>
      </c>
      <c r="F11">
        <v>99.3</v>
      </c>
    </row>
    <row r="12" spans="1:6">
      <c r="A12">
        <v>2496</v>
      </c>
      <c r="B12" t="s">
        <v>916</v>
      </c>
      <c r="C12">
        <v>8.8000000000000007</v>
      </c>
      <c r="D12">
        <f>VLOOKUP(A12,收盤價!A:C,3,0)</f>
        <v>16.2</v>
      </c>
      <c r="E12" s="126">
        <v>0.84090909090909072</v>
      </c>
      <c r="F12">
        <v>99.24</v>
      </c>
    </row>
    <row r="13" spans="1:6">
      <c r="A13">
        <v>910482</v>
      </c>
      <c r="B13" t="s">
        <v>1355</v>
      </c>
      <c r="C13">
        <v>1.59</v>
      </c>
      <c r="D13">
        <f>VLOOKUP(A13,收盤價!A:C,3,0)</f>
        <v>2.89</v>
      </c>
      <c r="E13" s="126">
        <v>0.8176100628930818</v>
      </c>
      <c r="F13">
        <v>99.18</v>
      </c>
    </row>
    <row r="14" spans="1:6">
      <c r="A14">
        <v>6158</v>
      </c>
      <c r="B14" t="s">
        <v>440</v>
      </c>
      <c r="C14">
        <v>10.5</v>
      </c>
      <c r="D14">
        <f>VLOOKUP(A14,收盤價!A:C,3,0)</f>
        <v>18.5</v>
      </c>
      <c r="E14" s="126">
        <v>0.76190476190476186</v>
      </c>
      <c r="F14">
        <v>99.11</v>
      </c>
    </row>
    <row r="15" spans="1:6">
      <c r="A15">
        <v>5704</v>
      </c>
      <c r="B15" t="s">
        <v>1675</v>
      </c>
      <c r="C15">
        <v>27.3</v>
      </c>
      <c r="D15">
        <f>VLOOKUP(A15,收盤價!A:C,3,0)</f>
        <v>47.8</v>
      </c>
      <c r="E15" s="126">
        <v>0.7509157509157508</v>
      </c>
      <c r="F15">
        <v>99.05</v>
      </c>
    </row>
    <row r="16" spans="1:6">
      <c r="A16">
        <v>6169</v>
      </c>
      <c r="B16" t="s">
        <v>1710</v>
      </c>
      <c r="C16">
        <v>21.6</v>
      </c>
      <c r="D16">
        <f>VLOOKUP(A16,收盤價!A:C,3,0)</f>
        <v>37.5</v>
      </c>
      <c r="E16" s="126">
        <v>0.73611111111111105</v>
      </c>
      <c r="F16">
        <v>98.99</v>
      </c>
    </row>
    <row r="17" spans="1:6">
      <c r="A17">
        <v>3479</v>
      </c>
      <c r="B17" t="s">
        <v>1498</v>
      </c>
      <c r="C17">
        <v>48.8</v>
      </c>
      <c r="D17">
        <f>VLOOKUP(A17,收盤價!A:C,3,0)</f>
        <v>83.7</v>
      </c>
      <c r="E17" s="126">
        <v>0.71516393442622972</v>
      </c>
      <c r="F17">
        <v>98.92</v>
      </c>
    </row>
    <row r="18" spans="1:6">
      <c r="A18">
        <v>8431</v>
      </c>
      <c r="B18" t="s">
        <v>500</v>
      </c>
      <c r="C18">
        <v>59.1</v>
      </c>
      <c r="D18">
        <f>VLOOKUP(A18,收盤價!A:C,3,0)</f>
        <v>101</v>
      </c>
      <c r="E18" s="126">
        <v>0.70896785109983074</v>
      </c>
      <c r="F18">
        <v>98.86</v>
      </c>
    </row>
    <row r="19" spans="1:6">
      <c r="A19">
        <v>3049</v>
      </c>
      <c r="B19" t="s">
        <v>1065</v>
      </c>
      <c r="C19">
        <v>5.12</v>
      </c>
      <c r="D19">
        <f>VLOOKUP(A19,收盤價!A:C,3,0)</f>
        <v>8.5</v>
      </c>
      <c r="E19" s="126">
        <v>0.66015625</v>
      </c>
      <c r="F19">
        <v>98.8</v>
      </c>
    </row>
    <row r="20" spans="1:6">
      <c r="A20">
        <v>3552</v>
      </c>
      <c r="B20" t="s">
        <v>1513</v>
      </c>
      <c r="C20">
        <v>260</v>
      </c>
      <c r="D20">
        <f>VLOOKUP(A20,收盤價!A:C,3,0)</f>
        <v>429</v>
      </c>
      <c r="E20" s="126">
        <v>0.65</v>
      </c>
      <c r="F20">
        <v>98.73</v>
      </c>
    </row>
    <row r="21" spans="1:6">
      <c r="A21">
        <v>3642</v>
      </c>
      <c r="B21" t="s">
        <v>1526</v>
      </c>
      <c r="C21">
        <v>16.7</v>
      </c>
      <c r="D21">
        <f>VLOOKUP(A21,收盤價!A:C,3,0)</f>
        <v>27.5</v>
      </c>
      <c r="E21" s="126">
        <v>0.64670658682634741</v>
      </c>
      <c r="F21">
        <v>98.67</v>
      </c>
    </row>
    <row r="22" spans="1:6">
      <c r="A22">
        <v>3141</v>
      </c>
      <c r="B22" t="s">
        <v>275</v>
      </c>
      <c r="C22">
        <v>20.149999999999999</v>
      </c>
      <c r="D22">
        <f>VLOOKUP(A22,收盤價!A:C,3,0)</f>
        <v>33</v>
      </c>
      <c r="E22" s="126">
        <v>0.63771712158808946</v>
      </c>
      <c r="F22">
        <v>98.6</v>
      </c>
    </row>
    <row r="23" spans="1:6">
      <c r="A23">
        <v>2419</v>
      </c>
      <c r="B23" t="s">
        <v>855</v>
      </c>
      <c r="C23">
        <v>14.75</v>
      </c>
      <c r="D23">
        <f>VLOOKUP(A23,收盤價!A:C,3,0)</f>
        <v>23.95</v>
      </c>
      <c r="E23" s="126">
        <v>0.62372881355932197</v>
      </c>
      <c r="F23">
        <v>98.54</v>
      </c>
    </row>
    <row r="24" spans="1:6">
      <c r="A24">
        <v>2345</v>
      </c>
      <c r="B24" t="s">
        <v>802</v>
      </c>
      <c r="C24">
        <v>22.2</v>
      </c>
      <c r="D24">
        <f>VLOOKUP(A24,收盤價!A:C,3,0)</f>
        <v>35.6</v>
      </c>
      <c r="E24" s="126">
        <v>0.60360360360360377</v>
      </c>
      <c r="F24">
        <v>98.48</v>
      </c>
    </row>
    <row r="25" spans="1:6">
      <c r="A25">
        <v>6238</v>
      </c>
      <c r="B25" t="s">
        <v>1730</v>
      </c>
      <c r="C25">
        <v>169.5</v>
      </c>
      <c r="D25">
        <f>VLOOKUP(A25,收盤價!A:C,3,0)</f>
        <v>271</v>
      </c>
      <c r="E25" s="126">
        <v>0.59882005899705015</v>
      </c>
      <c r="F25">
        <v>98.41</v>
      </c>
    </row>
    <row r="26" spans="1:6">
      <c r="A26">
        <v>3666</v>
      </c>
      <c r="B26" t="s">
        <v>341</v>
      </c>
      <c r="C26">
        <v>24.5</v>
      </c>
      <c r="D26">
        <f>VLOOKUP(A26,收盤價!A:C,3,0)</f>
        <v>39.15</v>
      </c>
      <c r="E26" s="126">
        <v>0.59795918367346934</v>
      </c>
      <c r="F26">
        <v>98.35</v>
      </c>
    </row>
    <row r="27" spans="1:6">
      <c r="A27">
        <v>2014</v>
      </c>
      <c r="B27" t="s">
        <v>736</v>
      </c>
      <c r="C27">
        <v>4.9800000000000004</v>
      </c>
      <c r="D27">
        <f>VLOOKUP(A27,收盤價!A:C,3,0)</f>
        <v>7.9</v>
      </c>
      <c r="E27" s="126">
        <v>0.58634538152610438</v>
      </c>
      <c r="F27">
        <v>98.29</v>
      </c>
    </row>
    <row r="28" spans="1:6">
      <c r="A28">
        <v>6139</v>
      </c>
      <c r="B28" t="s">
        <v>1248</v>
      </c>
      <c r="C28">
        <v>18.95</v>
      </c>
      <c r="D28">
        <f>VLOOKUP(A28,收盤價!A:C,3,0)</f>
        <v>29.3</v>
      </c>
      <c r="E28" s="126">
        <v>0.54617414248021112</v>
      </c>
      <c r="F28">
        <v>98.22</v>
      </c>
    </row>
    <row r="29" spans="1:6">
      <c r="A29">
        <v>3492</v>
      </c>
      <c r="B29" t="s">
        <v>1500</v>
      </c>
      <c r="C29">
        <v>28.5</v>
      </c>
      <c r="D29">
        <f>VLOOKUP(A29,收盤價!A:C,3,0)</f>
        <v>43.95</v>
      </c>
      <c r="E29" s="126">
        <v>0.54210526315789487</v>
      </c>
      <c r="F29">
        <v>98.16</v>
      </c>
    </row>
    <row r="30" spans="1:6">
      <c r="A30">
        <v>3202</v>
      </c>
      <c r="B30" t="s">
        <v>1462</v>
      </c>
      <c r="C30">
        <v>6.78</v>
      </c>
      <c r="D30">
        <f>VLOOKUP(A30,收盤價!A:C,3,0)</f>
        <v>10.45</v>
      </c>
      <c r="E30" s="126">
        <v>0.54129793510324464</v>
      </c>
      <c r="F30">
        <v>98.1</v>
      </c>
    </row>
    <row r="31" spans="1:6">
      <c r="A31">
        <v>6172</v>
      </c>
      <c r="B31" t="s">
        <v>1259</v>
      </c>
      <c r="C31">
        <v>5.05</v>
      </c>
      <c r="D31">
        <f>VLOOKUP(A31,收盤價!A:C,3,0)</f>
        <v>7.78</v>
      </c>
      <c r="E31" s="126">
        <v>0.54059405940594074</v>
      </c>
      <c r="F31">
        <v>98.03</v>
      </c>
    </row>
    <row r="32" spans="1:6">
      <c r="A32">
        <v>1586</v>
      </c>
      <c r="B32" t="s">
        <v>1419</v>
      </c>
      <c r="C32">
        <v>23.55</v>
      </c>
      <c r="D32">
        <f>VLOOKUP(A32,收盤價!A:C,3,0)</f>
        <v>36.049999999999997</v>
      </c>
      <c r="E32" s="126">
        <v>0.53078556263269627</v>
      </c>
      <c r="F32">
        <v>97.97</v>
      </c>
    </row>
    <row r="33" spans="1:6">
      <c r="A33">
        <v>4728</v>
      </c>
      <c r="B33" t="s">
        <v>373</v>
      </c>
      <c r="C33">
        <v>28.25</v>
      </c>
      <c r="D33">
        <f>VLOOKUP(A33,收盤價!A:C,3,0)</f>
        <v>43</v>
      </c>
      <c r="E33" s="126">
        <v>0.52212389380530977</v>
      </c>
      <c r="F33">
        <v>97.91</v>
      </c>
    </row>
    <row r="34" spans="1:6">
      <c r="A34">
        <v>3596</v>
      </c>
      <c r="B34" t="s">
        <v>1135</v>
      </c>
      <c r="C34">
        <v>32.35</v>
      </c>
      <c r="D34">
        <f>VLOOKUP(A34,收盤價!A:C,3,0)</f>
        <v>49.2</v>
      </c>
      <c r="E34" s="126">
        <v>0.52086553323029372</v>
      </c>
      <c r="F34">
        <v>97.84</v>
      </c>
    </row>
    <row r="35" spans="1:6">
      <c r="A35">
        <v>2472</v>
      </c>
      <c r="B35" t="s">
        <v>1830</v>
      </c>
      <c r="C35">
        <v>25.1</v>
      </c>
      <c r="D35">
        <f>VLOOKUP(A35,收盤價!A:C,3,0)</f>
        <v>38</v>
      </c>
      <c r="E35" s="126">
        <v>0.5139442231075696</v>
      </c>
      <c r="F35">
        <v>97.78</v>
      </c>
    </row>
    <row r="36" spans="1:6">
      <c r="A36">
        <v>8171</v>
      </c>
      <c r="B36" t="s">
        <v>1786</v>
      </c>
      <c r="C36">
        <v>8.39</v>
      </c>
      <c r="D36">
        <f>VLOOKUP(A36,收盤價!A:C,3,0)</f>
        <v>12.55</v>
      </c>
      <c r="E36" s="126">
        <v>0.49582836710369488</v>
      </c>
      <c r="F36">
        <v>97.72</v>
      </c>
    </row>
    <row r="37" spans="1:6">
      <c r="A37">
        <v>6227</v>
      </c>
      <c r="B37" t="s">
        <v>457</v>
      </c>
      <c r="C37">
        <v>19.100000000000001</v>
      </c>
      <c r="D37">
        <f>VLOOKUP(A37,收盤價!A:C,3,0)</f>
        <v>28.5</v>
      </c>
      <c r="E37" s="126">
        <v>0.49214659685863865</v>
      </c>
      <c r="F37">
        <v>97.65</v>
      </c>
    </row>
    <row r="38" spans="1:6">
      <c r="A38">
        <v>2464</v>
      </c>
      <c r="B38" t="s">
        <v>892</v>
      </c>
      <c r="C38">
        <v>29.65</v>
      </c>
      <c r="D38">
        <f>VLOOKUP(A38,收盤價!A:C,3,0)</f>
        <v>44</v>
      </c>
      <c r="E38" s="126">
        <v>0.48397976391231035</v>
      </c>
      <c r="F38">
        <v>97.59</v>
      </c>
    </row>
    <row r="39" spans="1:6">
      <c r="A39">
        <v>3226</v>
      </c>
      <c r="B39" t="s">
        <v>283</v>
      </c>
      <c r="C39">
        <v>51.4</v>
      </c>
      <c r="D39">
        <f>VLOOKUP(A39,收盤價!A:C,3,0)</f>
        <v>76.2</v>
      </c>
      <c r="E39" s="126">
        <v>0.48249027237354097</v>
      </c>
      <c r="F39">
        <v>97.53</v>
      </c>
    </row>
    <row r="40" spans="1:6">
      <c r="A40">
        <v>3073</v>
      </c>
      <c r="B40" t="s">
        <v>1446</v>
      </c>
      <c r="C40">
        <v>6.16</v>
      </c>
      <c r="D40">
        <f>VLOOKUP(A40,收盤價!A:C,3,0)</f>
        <v>9.1300000000000008</v>
      </c>
      <c r="E40" s="126">
        <v>0.48214285714285726</v>
      </c>
      <c r="F40">
        <v>97.46</v>
      </c>
    </row>
    <row r="41" spans="1:6">
      <c r="A41">
        <v>1568</v>
      </c>
      <c r="B41" t="s">
        <v>658</v>
      </c>
      <c r="C41">
        <v>16.95</v>
      </c>
      <c r="D41">
        <f>VLOOKUP(A41,收盤價!A:C,3,0)</f>
        <v>24.85</v>
      </c>
      <c r="E41" s="126">
        <v>0.46607669616519187</v>
      </c>
      <c r="F41">
        <v>97.4</v>
      </c>
    </row>
    <row r="42" spans="1:6">
      <c r="A42">
        <v>5266</v>
      </c>
      <c r="B42" t="s">
        <v>1624</v>
      </c>
      <c r="C42">
        <v>60</v>
      </c>
      <c r="D42">
        <f>VLOOKUP(A42,收盤價!A:C,3,0)</f>
        <v>87.5</v>
      </c>
      <c r="E42" s="126">
        <v>0.45833333333333331</v>
      </c>
      <c r="F42">
        <v>97.34</v>
      </c>
    </row>
    <row r="43" spans="1:6">
      <c r="A43">
        <v>8080</v>
      </c>
      <c r="B43" t="s">
        <v>486</v>
      </c>
      <c r="C43">
        <v>14.85</v>
      </c>
      <c r="D43">
        <f>VLOOKUP(A43,收盤價!A:C,3,0)</f>
        <v>21.6</v>
      </c>
      <c r="E43" s="126">
        <v>0.4545454545454547</v>
      </c>
      <c r="F43">
        <v>97.27</v>
      </c>
    </row>
    <row r="44" spans="1:6">
      <c r="A44">
        <v>3632</v>
      </c>
      <c r="B44" t="s">
        <v>1525</v>
      </c>
      <c r="C44">
        <v>29.05</v>
      </c>
      <c r="D44">
        <f>VLOOKUP(A44,收盤價!A:C,3,0)</f>
        <v>42.2</v>
      </c>
      <c r="E44" s="126">
        <v>0.4526678141135973</v>
      </c>
      <c r="F44">
        <v>97.21</v>
      </c>
    </row>
    <row r="45" spans="1:6">
      <c r="A45">
        <v>8426</v>
      </c>
      <c r="B45" t="s">
        <v>1808</v>
      </c>
      <c r="C45">
        <v>29</v>
      </c>
      <c r="D45">
        <f>VLOOKUP(A45,收盤價!A:C,3,0)</f>
        <v>41.9</v>
      </c>
      <c r="E45" s="126">
        <v>0.4448275862068965</v>
      </c>
      <c r="F45">
        <v>97.15</v>
      </c>
    </row>
    <row r="46" spans="1:6">
      <c r="A46">
        <v>3605</v>
      </c>
      <c r="B46" t="s">
        <v>1137</v>
      </c>
      <c r="C46">
        <v>27.25</v>
      </c>
      <c r="D46">
        <f>VLOOKUP(A46,收盤價!A:C,3,0)</f>
        <v>39.15</v>
      </c>
      <c r="E46" s="126">
        <v>0.43669724770642199</v>
      </c>
      <c r="F46">
        <v>97.08</v>
      </c>
    </row>
    <row r="47" spans="1:6">
      <c r="A47">
        <v>3360</v>
      </c>
      <c r="B47" t="s">
        <v>303</v>
      </c>
      <c r="C47">
        <v>13.55</v>
      </c>
      <c r="D47">
        <f>VLOOKUP(A47,收盤價!A:C,3,0)</f>
        <v>19.45</v>
      </c>
      <c r="E47" s="126">
        <v>0.43542435424354231</v>
      </c>
      <c r="F47">
        <v>97.02</v>
      </c>
    </row>
    <row r="48" spans="1:6">
      <c r="A48">
        <v>2485</v>
      </c>
      <c r="B48" t="s">
        <v>908</v>
      </c>
      <c r="C48">
        <v>42.5</v>
      </c>
      <c r="D48">
        <f>VLOOKUP(A48,收盤價!A:C,3,0)</f>
        <v>61</v>
      </c>
      <c r="E48" s="126">
        <v>0.43529411764705883</v>
      </c>
      <c r="F48">
        <v>96.96</v>
      </c>
    </row>
    <row r="49" spans="1:6">
      <c r="A49">
        <v>3221</v>
      </c>
      <c r="B49" t="s">
        <v>1468</v>
      </c>
      <c r="C49">
        <v>17.05</v>
      </c>
      <c r="D49">
        <f>VLOOKUP(A49,收盤價!A:C,3,0)</f>
        <v>24.35</v>
      </c>
      <c r="E49" s="126">
        <v>0.42815249266862171</v>
      </c>
      <c r="F49">
        <v>96.89</v>
      </c>
    </row>
    <row r="50" spans="1:6">
      <c r="A50">
        <v>4735</v>
      </c>
      <c r="B50" t="s">
        <v>1592</v>
      </c>
      <c r="C50">
        <v>23.85</v>
      </c>
      <c r="D50">
        <f>VLOOKUP(A50,收盤價!A:C,3,0)</f>
        <v>34.049999999999997</v>
      </c>
      <c r="E50" s="126">
        <v>0.42767295597484256</v>
      </c>
      <c r="F50">
        <v>96.83</v>
      </c>
    </row>
    <row r="51" spans="1:6">
      <c r="A51">
        <v>3413</v>
      </c>
      <c r="B51" t="s">
        <v>1101</v>
      </c>
      <c r="C51">
        <v>70</v>
      </c>
      <c r="D51">
        <f>VLOOKUP(A51,收盤價!A:C,3,0)</f>
        <v>99.8</v>
      </c>
      <c r="E51" s="126">
        <v>0.42571428571428566</v>
      </c>
      <c r="F51">
        <v>96.77</v>
      </c>
    </row>
    <row r="52" spans="1:6">
      <c r="A52">
        <v>1473</v>
      </c>
      <c r="B52" t="s">
        <v>621</v>
      </c>
      <c r="C52">
        <v>26.2</v>
      </c>
      <c r="D52">
        <f>VLOOKUP(A52,收盤價!A:C,3,0)</f>
        <v>37.35</v>
      </c>
      <c r="E52" s="126">
        <v>0.42557251908396954</v>
      </c>
      <c r="F52">
        <v>96.7</v>
      </c>
    </row>
    <row r="53" spans="1:6">
      <c r="A53">
        <v>3025</v>
      </c>
      <c r="B53" t="s">
        <v>1042</v>
      </c>
      <c r="C53">
        <v>8.2799999999999994</v>
      </c>
      <c r="D53">
        <f>VLOOKUP(A53,收盤價!A:C,3,0)</f>
        <v>11.75</v>
      </c>
      <c r="E53" s="126">
        <v>0.41908212560386482</v>
      </c>
      <c r="F53">
        <v>96.64</v>
      </c>
    </row>
    <row r="54" spans="1:6">
      <c r="A54">
        <v>8049</v>
      </c>
      <c r="B54" t="s">
        <v>1762</v>
      </c>
      <c r="C54">
        <v>10.6</v>
      </c>
      <c r="D54">
        <f>VLOOKUP(A54,收盤價!A:C,3,0)</f>
        <v>15</v>
      </c>
      <c r="E54" s="126">
        <v>0.41509433962264158</v>
      </c>
      <c r="F54">
        <v>96.58</v>
      </c>
    </row>
    <row r="55" spans="1:6">
      <c r="A55">
        <v>8358</v>
      </c>
      <c r="B55" t="s">
        <v>1800</v>
      </c>
      <c r="C55">
        <v>8.49</v>
      </c>
      <c r="D55">
        <f>VLOOKUP(A55,收盤價!A:C,3,0)</f>
        <v>12</v>
      </c>
      <c r="E55" s="126">
        <v>0.41342756183745577</v>
      </c>
      <c r="F55">
        <v>96.51</v>
      </c>
    </row>
    <row r="56" spans="1:6">
      <c r="A56">
        <v>3573</v>
      </c>
      <c r="B56" t="s">
        <v>1127</v>
      </c>
      <c r="C56">
        <v>18.399999999999999</v>
      </c>
      <c r="D56">
        <f>VLOOKUP(A56,收盤價!A:C,3,0)</f>
        <v>25.95</v>
      </c>
      <c r="E56" s="126">
        <v>0.41032608695652178</v>
      </c>
      <c r="F56">
        <v>96.45</v>
      </c>
    </row>
    <row r="57" spans="1:6">
      <c r="A57">
        <v>3041</v>
      </c>
      <c r="B57" t="s">
        <v>1057</v>
      </c>
      <c r="C57">
        <v>18.2</v>
      </c>
      <c r="D57">
        <f>VLOOKUP(A57,收盤價!A:C,3,0)</f>
        <v>25.6</v>
      </c>
      <c r="E57" s="126">
        <v>0.4065934065934067</v>
      </c>
      <c r="F57">
        <v>96.39</v>
      </c>
    </row>
    <row r="58" spans="1:6">
      <c r="A58">
        <v>3685</v>
      </c>
      <c r="B58" t="s">
        <v>1534</v>
      </c>
      <c r="C58">
        <v>47.8</v>
      </c>
      <c r="D58">
        <f>VLOOKUP(A58,收盤價!A:C,3,0)</f>
        <v>67</v>
      </c>
      <c r="E58" s="126">
        <v>0.40167364016736412</v>
      </c>
      <c r="F58">
        <v>96.32</v>
      </c>
    </row>
    <row r="59" spans="1:6">
      <c r="A59">
        <v>3537</v>
      </c>
      <c r="B59" t="s">
        <v>323</v>
      </c>
      <c r="C59">
        <v>17.2</v>
      </c>
      <c r="D59">
        <f>VLOOKUP(A59,收盤價!A:C,3,0)</f>
        <v>24</v>
      </c>
      <c r="E59" s="126">
        <v>0.39534883720930236</v>
      </c>
      <c r="F59">
        <v>96.26</v>
      </c>
    </row>
    <row r="60" spans="1:6">
      <c r="A60">
        <v>3131</v>
      </c>
      <c r="B60" t="s">
        <v>1456</v>
      </c>
      <c r="C60">
        <v>173.5</v>
      </c>
      <c r="D60">
        <f>VLOOKUP(A60,收盤價!A:C,3,0)</f>
        <v>242</v>
      </c>
      <c r="E60" s="126">
        <v>0.39481268011527376</v>
      </c>
      <c r="F60">
        <v>96.2</v>
      </c>
    </row>
    <row r="61" spans="1:6">
      <c r="A61">
        <v>8038</v>
      </c>
      <c r="B61" t="s">
        <v>481</v>
      </c>
      <c r="C61">
        <v>44</v>
      </c>
      <c r="D61">
        <f>VLOOKUP(A61,收盤價!A:C,3,0)</f>
        <v>61.3</v>
      </c>
      <c r="E61" s="126">
        <v>0.39318181818181813</v>
      </c>
      <c r="F61">
        <v>96.13</v>
      </c>
    </row>
    <row r="62" spans="1:6">
      <c r="A62">
        <v>3526</v>
      </c>
      <c r="B62" t="s">
        <v>1507</v>
      </c>
      <c r="C62">
        <v>23.55</v>
      </c>
      <c r="D62">
        <f>VLOOKUP(A62,收盤價!A:C,3,0)</f>
        <v>32.799999999999997</v>
      </c>
      <c r="E62" s="126">
        <v>0.39278131634819519</v>
      </c>
      <c r="F62">
        <v>96.07</v>
      </c>
    </row>
    <row r="63" spans="1:6">
      <c r="A63">
        <v>2444</v>
      </c>
      <c r="B63" t="s">
        <v>877</v>
      </c>
      <c r="C63">
        <v>9</v>
      </c>
      <c r="D63">
        <f>VLOOKUP(A63,收盤價!A:C,3,0)</f>
        <v>12.45</v>
      </c>
      <c r="E63" s="126">
        <v>0.38333333333333325</v>
      </c>
      <c r="F63">
        <v>96.01</v>
      </c>
    </row>
    <row r="64" spans="1:6">
      <c r="A64">
        <v>4903</v>
      </c>
      <c r="B64" t="s">
        <v>1597</v>
      </c>
      <c r="C64">
        <v>10</v>
      </c>
      <c r="D64">
        <f>VLOOKUP(A64,收盤價!A:C,3,0)</f>
        <v>13.75</v>
      </c>
      <c r="E64" s="126">
        <v>0.375</v>
      </c>
      <c r="F64">
        <v>95.94</v>
      </c>
    </row>
    <row r="65" spans="1:6">
      <c r="A65">
        <v>2926</v>
      </c>
      <c r="B65" t="s">
        <v>1442</v>
      </c>
      <c r="C65">
        <v>154</v>
      </c>
      <c r="D65">
        <f>VLOOKUP(A65,收盤價!A:C,3,0)</f>
        <v>211.5</v>
      </c>
      <c r="E65" s="126">
        <v>0.37337662337662336</v>
      </c>
      <c r="F65">
        <v>95.88</v>
      </c>
    </row>
    <row r="66" spans="1:6">
      <c r="A66">
        <v>3032</v>
      </c>
      <c r="B66" t="s">
        <v>1049</v>
      </c>
      <c r="C66">
        <v>21.5</v>
      </c>
      <c r="D66">
        <f>VLOOKUP(A66,收盤價!A:C,3,0)</f>
        <v>29.45</v>
      </c>
      <c r="E66" s="126">
        <v>0.36976744186046506</v>
      </c>
      <c r="F66">
        <v>95.81</v>
      </c>
    </row>
    <row r="67" spans="1:6">
      <c r="A67">
        <v>4121</v>
      </c>
      <c r="B67" t="s">
        <v>1544</v>
      </c>
      <c r="C67">
        <v>11.95</v>
      </c>
      <c r="D67">
        <f>VLOOKUP(A67,收盤價!A:C,3,0)</f>
        <v>16.350000000000001</v>
      </c>
      <c r="E67" s="126">
        <v>0.36820083682008387</v>
      </c>
      <c r="F67">
        <v>95.75</v>
      </c>
    </row>
    <row r="68" spans="1:6">
      <c r="A68">
        <v>3078</v>
      </c>
      <c r="B68" t="s">
        <v>1447</v>
      </c>
      <c r="C68">
        <v>17.899999999999999</v>
      </c>
      <c r="D68">
        <f>VLOOKUP(A68,收盤價!A:C,3,0)</f>
        <v>24.45</v>
      </c>
      <c r="E68" s="126">
        <v>0.36592178770949729</v>
      </c>
      <c r="F68">
        <v>95.69</v>
      </c>
    </row>
    <row r="69" spans="1:6">
      <c r="A69">
        <v>2404</v>
      </c>
      <c r="B69" t="s">
        <v>845</v>
      </c>
      <c r="C69">
        <v>38.5</v>
      </c>
      <c r="D69">
        <f>VLOOKUP(A69,收盤價!A:C,3,0)</f>
        <v>52.1</v>
      </c>
      <c r="E69" s="126">
        <v>0.35324675324675331</v>
      </c>
      <c r="F69">
        <v>95.62</v>
      </c>
    </row>
    <row r="70" spans="1:6">
      <c r="A70">
        <v>4984</v>
      </c>
      <c r="B70" t="s">
        <v>1201</v>
      </c>
      <c r="C70">
        <v>37.700000000000003</v>
      </c>
      <c r="D70">
        <f>VLOOKUP(A70,收盤價!A:C,3,0)</f>
        <v>51</v>
      </c>
      <c r="E70" s="126">
        <v>0.35278514588859405</v>
      </c>
      <c r="F70">
        <v>95.56</v>
      </c>
    </row>
    <row r="71" spans="1:6">
      <c r="A71">
        <v>2457</v>
      </c>
      <c r="B71" t="s">
        <v>886</v>
      </c>
      <c r="C71">
        <v>9.82</v>
      </c>
      <c r="D71">
        <f>VLOOKUP(A71,收盤價!A:C,3,0)</f>
        <v>13.25</v>
      </c>
      <c r="E71" s="126">
        <v>0.3492871690427698</v>
      </c>
      <c r="F71">
        <v>95.5</v>
      </c>
    </row>
    <row r="72" spans="1:6">
      <c r="A72">
        <v>8079</v>
      </c>
      <c r="B72" t="s">
        <v>1772</v>
      </c>
      <c r="C72">
        <v>12.65</v>
      </c>
      <c r="D72">
        <f>VLOOKUP(A72,收盤價!A:C,3,0)</f>
        <v>17</v>
      </c>
      <c r="E72" s="126">
        <v>0.34387351778656122</v>
      </c>
      <c r="F72">
        <v>95.43</v>
      </c>
    </row>
    <row r="73" spans="1:6">
      <c r="A73">
        <v>8432</v>
      </c>
      <c r="B73" t="s">
        <v>501</v>
      </c>
      <c r="C73">
        <v>62.1</v>
      </c>
      <c r="D73">
        <f>VLOOKUP(A73,收盤價!A:C,3,0)</f>
        <v>83.3</v>
      </c>
      <c r="E73" s="126">
        <v>0.34138486312399347</v>
      </c>
      <c r="F73">
        <v>95.37</v>
      </c>
    </row>
    <row r="74" spans="1:6">
      <c r="A74">
        <v>5425</v>
      </c>
      <c r="B74" t="s">
        <v>412</v>
      </c>
      <c r="C74">
        <v>29.3</v>
      </c>
      <c r="D74">
        <f>VLOOKUP(A74,收盤價!A:C,3,0)</f>
        <v>39.299999999999997</v>
      </c>
      <c r="E74" s="126">
        <v>0.34129692832764491</v>
      </c>
      <c r="F74">
        <v>95.31</v>
      </c>
    </row>
    <row r="75" spans="1:6">
      <c r="A75">
        <v>2377</v>
      </c>
      <c r="B75" t="s">
        <v>829</v>
      </c>
      <c r="C75">
        <v>33.549999999999997</v>
      </c>
      <c r="D75">
        <f>VLOOKUP(A75,收盤價!A:C,3,0)</f>
        <v>44.9</v>
      </c>
      <c r="E75" s="126">
        <v>0.33830104321907606</v>
      </c>
      <c r="F75">
        <v>95.24</v>
      </c>
    </row>
    <row r="76" spans="1:6">
      <c r="A76">
        <v>2481</v>
      </c>
      <c r="B76" t="s">
        <v>904</v>
      </c>
      <c r="C76">
        <v>12.9</v>
      </c>
      <c r="D76">
        <f>VLOOKUP(A76,收盤價!A:C,3,0)</f>
        <v>17.25</v>
      </c>
      <c r="E76" s="126">
        <v>0.33720930232558138</v>
      </c>
      <c r="F76">
        <v>95.18</v>
      </c>
    </row>
    <row r="77" spans="1:6">
      <c r="A77">
        <v>3519</v>
      </c>
      <c r="B77" t="s">
        <v>1117</v>
      </c>
      <c r="C77">
        <v>16.850000000000001</v>
      </c>
      <c r="D77">
        <f>VLOOKUP(A77,收盤價!A:C,3,0)</f>
        <v>22.5</v>
      </c>
      <c r="E77" s="126">
        <v>0.3353115727002966</v>
      </c>
      <c r="F77">
        <v>95.12</v>
      </c>
    </row>
    <row r="78" spans="1:6">
      <c r="A78">
        <v>3068</v>
      </c>
      <c r="B78" t="s">
        <v>267</v>
      </c>
      <c r="C78">
        <v>32.450000000000003</v>
      </c>
      <c r="D78">
        <f>VLOOKUP(A78,收盤價!A:C,3,0)</f>
        <v>43.25</v>
      </c>
      <c r="E78" s="126">
        <v>0.33281972265023102</v>
      </c>
      <c r="F78">
        <v>95.05</v>
      </c>
    </row>
    <row r="79" spans="1:6">
      <c r="A79">
        <v>2397</v>
      </c>
      <c r="B79" t="s">
        <v>841</v>
      </c>
      <c r="C79">
        <v>39.549999999999997</v>
      </c>
      <c r="D79">
        <f>VLOOKUP(A79,收盤價!A:C,3,0)</f>
        <v>52.6</v>
      </c>
      <c r="E79" s="126">
        <v>0.32996207332490529</v>
      </c>
      <c r="F79">
        <v>94.99</v>
      </c>
    </row>
    <row r="80" spans="1:6">
      <c r="A80">
        <v>6156</v>
      </c>
      <c r="B80" t="s">
        <v>1834</v>
      </c>
      <c r="C80">
        <v>13.2</v>
      </c>
      <c r="D80">
        <f>VLOOKUP(A80,收盤價!A:C,3,0)</f>
        <v>17.55</v>
      </c>
      <c r="E80" s="126">
        <v>0.3295454545454547</v>
      </c>
      <c r="F80">
        <v>94.93</v>
      </c>
    </row>
    <row r="81" spans="1:6">
      <c r="A81">
        <v>2013</v>
      </c>
      <c r="B81" t="s">
        <v>735</v>
      </c>
      <c r="C81">
        <v>19.399999999999999</v>
      </c>
      <c r="D81">
        <f>VLOOKUP(A81,收盤價!A:C,3,0)</f>
        <v>25.7</v>
      </c>
      <c r="E81" s="126">
        <v>0.32474226804123718</v>
      </c>
      <c r="F81">
        <v>94.86</v>
      </c>
    </row>
    <row r="82" spans="1:6">
      <c r="A82">
        <v>2455</v>
      </c>
      <c r="B82" t="s">
        <v>884</v>
      </c>
      <c r="C82">
        <v>38.299999999999997</v>
      </c>
      <c r="D82">
        <f>VLOOKUP(A82,收盤價!A:C,3,0)</f>
        <v>50.6</v>
      </c>
      <c r="E82" s="126">
        <v>0.32114882506527431</v>
      </c>
      <c r="F82">
        <v>94.8</v>
      </c>
    </row>
    <row r="83" spans="1:6">
      <c r="A83">
        <v>6457</v>
      </c>
      <c r="B83" t="s">
        <v>1749</v>
      </c>
      <c r="C83">
        <v>33.200000000000003</v>
      </c>
      <c r="D83">
        <f>VLOOKUP(A83,收盤價!A:C,3,0)</f>
        <v>43.8</v>
      </c>
      <c r="E83" s="126">
        <v>0.31927710843373475</v>
      </c>
      <c r="F83">
        <v>94.74</v>
      </c>
    </row>
    <row r="84" spans="1:6">
      <c r="A84">
        <v>4534</v>
      </c>
      <c r="B84" t="s">
        <v>1584</v>
      </c>
      <c r="C84">
        <v>10.85</v>
      </c>
      <c r="D84">
        <f>VLOOKUP(A84,收盤價!A:C,3,0)</f>
        <v>14.3</v>
      </c>
      <c r="E84" s="126">
        <v>0.31797235023041487</v>
      </c>
      <c r="F84">
        <v>94.67</v>
      </c>
    </row>
    <row r="85" spans="1:6">
      <c r="A85">
        <v>3205</v>
      </c>
      <c r="B85" t="s">
        <v>280</v>
      </c>
      <c r="C85">
        <v>243</v>
      </c>
      <c r="D85">
        <f>VLOOKUP(A85,收盤價!A:C,3,0)</f>
        <v>320</v>
      </c>
      <c r="E85" s="126">
        <v>0.3168724279835391</v>
      </c>
      <c r="F85">
        <v>94.61</v>
      </c>
    </row>
    <row r="86" spans="1:6">
      <c r="A86">
        <v>4414</v>
      </c>
      <c r="B86" t="s">
        <v>1169</v>
      </c>
      <c r="C86">
        <v>19.3</v>
      </c>
      <c r="D86">
        <f>VLOOKUP(A86,收盤價!A:C,3,0)</f>
        <v>25.4</v>
      </c>
      <c r="E86" s="126">
        <v>0.31606217616580301</v>
      </c>
      <c r="F86">
        <v>94.55</v>
      </c>
    </row>
    <row r="87" spans="1:6">
      <c r="A87">
        <v>2726</v>
      </c>
      <c r="B87" t="s">
        <v>1437</v>
      </c>
      <c r="C87">
        <v>51</v>
      </c>
      <c r="D87">
        <f>VLOOKUP(A87,收盤價!A:C,3,0)</f>
        <v>67</v>
      </c>
      <c r="E87" s="126">
        <v>0.31372549019607843</v>
      </c>
      <c r="F87">
        <v>94.48</v>
      </c>
    </row>
    <row r="88" spans="1:6">
      <c r="A88">
        <v>2236</v>
      </c>
      <c r="B88" t="s">
        <v>775</v>
      </c>
      <c r="C88">
        <v>40.049999999999997</v>
      </c>
      <c r="D88">
        <f>VLOOKUP(A88,收盤價!A:C,3,0)</f>
        <v>52.4</v>
      </c>
      <c r="E88" s="126">
        <v>0.30836454431960053</v>
      </c>
      <c r="F88">
        <v>94.42</v>
      </c>
    </row>
    <row r="89" spans="1:6">
      <c r="A89">
        <v>2355</v>
      </c>
      <c r="B89" t="s">
        <v>810</v>
      </c>
      <c r="C89">
        <v>45.15</v>
      </c>
      <c r="D89">
        <f>VLOOKUP(A89,收盤價!A:C,3,0)</f>
        <v>59</v>
      </c>
      <c r="E89" s="126">
        <v>0.30675526024363237</v>
      </c>
      <c r="F89">
        <v>94.36</v>
      </c>
    </row>
    <row r="90" spans="1:6">
      <c r="A90">
        <v>8081</v>
      </c>
      <c r="B90" t="s">
        <v>1322</v>
      </c>
      <c r="C90">
        <v>60</v>
      </c>
      <c r="D90">
        <f>VLOOKUP(A90,收盤價!A:C,3,0)</f>
        <v>78.2</v>
      </c>
      <c r="E90" s="126">
        <v>0.3033333333333334</v>
      </c>
      <c r="F90">
        <v>94.29</v>
      </c>
    </row>
    <row r="91" spans="1:6">
      <c r="A91">
        <v>3443</v>
      </c>
      <c r="B91" t="s">
        <v>1106</v>
      </c>
      <c r="C91">
        <v>68</v>
      </c>
      <c r="D91">
        <f>VLOOKUP(A91,收盤價!A:C,3,0)</f>
        <v>88.6</v>
      </c>
      <c r="E91" s="126">
        <v>0.30294117647058816</v>
      </c>
      <c r="F91">
        <v>94.23</v>
      </c>
    </row>
    <row r="92" spans="1:6">
      <c r="A92">
        <v>4551</v>
      </c>
      <c r="B92" t="s">
        <v>1174</v>
      </c>
      <c r="C92">
        <v>64.5</v>
      </c>
      <c r="D92">
        <f>VLOOKUP(A92,收盤價!A:C,3,0)</f>
        <v>84</v>
      </c>
      <c r="E92" s="126">
        <v>0.30232558139534882</v>
      </c>
      <c r="F92">
        <v>94.17</v>
      </c>
    </row>
    <row r="93" spans="1:6">
      <c r="A93">
        <v>6101</v>
      </c>
      <c r="B93" t="s">
        <v>1683</v>
      </c>
      <c r="C93">
        <v>15.4</v>
      </c>
      <c r="D93">
        <f>VLOOKUP(A93,收盤價!A:C,3,0)</f>
        <v>20</v>
      </c>
      <c r="E93" s="126">
        <v>0.29870129870129869</v>
      </c>
      <c r="F93">
        <v>94.1</v>
      </c>
    </row>
    <row r="94" spans="1:6">
      <c r="A94">
        <v>3038</v>
      </c>
      <c r="B94" t="s">
        <v>1055</v>
      </c>
      <c r="C94">
        <v>9.4</v>
      </c>
      <c r="D94">
        <f>VLOOKUP(A94,收盤價!A:C,3,0)</f>
        <v>12.2</v>
      </c>
      <c r="E94" s="126">
        <v>0.29787234042553179</v>
      </c>
      <c r="F94">
        <v>94.04</v>
      </c>
    </row>
    <row r="95" spans="1:6">
      <c r="A95">
        <v>2342</v>
      </c>
      <c r="B95" t="s">
        <v>800</v>
      </c>
      <c r="C95">
        <v>2.25</v>
      </c>
      <c r="D95">
        <f>VLOOKUP(A95,收盤價!A:C,3,0)</f>
        <v>2.92</v>
      </c>
      <c r="E95" s="126">
        <v>0.29777777777777775</v>
      </c>
      <c r="F95">
        <v>93.98</v>
      </c>
    </row>
    <row r="96" spans="1:6">
      <c r="A96">
        <v>4905</v>
      </c>
      <c r="B96" t="s">
        <v>1598</v>
      </c>
      <c r="C96">
        <v>43</v>
      </c>
      <c r="D96">
        <f>VLOOKUP(A96,收盤價!A:C,3,0)</f>
        <v>55.8</v>
      </c>
      <c r="E96" s="126">
        <v>0.2976744186046511</v>
      </c>
      <c r="F96">
        <v>93.91</v>
      </c>
    </row>
    <row r="97" spans="1:6">
      <c r="A97">
        <v>1310</v>
      </c>
      <c r="B97" t="s">
        <v>559</v>
      </c>
      <c r="C97">
        <v>14.2</v>
      </c>
      <c r="D97">
        <f>VLOOKUP(A97,收盤價!A:C,3,0)</f>
        <v>18.399999999999999</v>
      </c>
      <c r="E97" s="126">
        <v>0.29577464788732388</v>
      </c>
      <c r="F97">
        <v>93.85</v>
      </c>
    </row>
    <row r="98" spans="1:6">
      <c r="A98">
        <v>1737</v>
      </c>
      <c r="B98" t="s">
        <v>708</v>
      </c>
      <c r="C98">
        <v>24.75</v>
      </c>
      <c r="D98">
        <f>VLOOKUP(A98,收盤價!A:C,3,0)</f>
        <v>32.049999999999997</v>
      </c>
      <c r="E98" s="126">
        <v>0.29494949494949485</v>
      </c>
      <c r="F98">
        <v>93.79</v>
      </c>
    </row>
    <row r="99" spans="1:6">
      <c r="A99">
        <v>1319</v>
      </c>
      <c r="B99" t="s">
        <v>566</v>
      </c>
      <c r="C99">
        <v>35.9</v>
      </c>
      <c r="D99">
        <f>VLOOKUP(A99,收盤價!A:C,3,0)</f>
        <v>46.4</v>
      </c>
      <c r="E99" s="126">
        <v>0.29247910863509752</v>
      </c>
      <c r="F99">
        <v>93.72</v>
      </c>
    </row>
    <row r="100" spans="1:6">
      <c r="A100">
        <v>3484</v>
      </c>
      <c r="B100" t="s">
        <v>314</v>
      </c>
      <c r="C100">
        <v>38.700000000000003</v>
      </c>
      <c r="D100">
        <f>VLOOKUP(A100,收盤價!A:C,3,0)</f>
        <v>49.75</v>
      </c>
      <c r="E100" s="126">
        <v>0.28552971576227382</v>
      </c>
      <c r="F100">
        <v>93.66</v>
      </c>
    </row>
    <row r="101" spans="1:6">
      <c r="A101">
        <v>6187</v>
      </c>
      <c r="B101" t="s">
        <v>1715</v>
      </c>
      <c r="C101">
        <v>37</v>
      </c>
      <c r="D101">
        <f>VLOOKUP(A101,收盤價!A:C,3,0)</f>
        <v>47.55</v>
      </c>
      <c r="E101" s="126">
        <v>0.28513513513513505</v>
      </c>
      <c r="F101">
        <v>93.6</v>
      </c>
    </row>
    <row r="102" spans="1:6">
      <c r="A102">
        <v>6290</v>
      </c>
      <c r="B102" t="s">
        <v>1742</v>
      </c>
      <c r="C102">
        <v>25.8</v>
      </c>
      <c r="D102">
        <f>VLOOKUP(A102,收盤價!A:C,3,0)</f>
        <v>33.15</v>
      </c>
      <c r="E102" s="126">
        <v>0.28488372093023245</v>
      </c>
      <c r="F102">
        <v>93.53</v>
      </c>
    </row>
    <row r="103" spans="1:6">
      <c r="A103">
        <v>3455</v>
      </c>
      <c r="B103" t="s">
        <v>311</v>
      </c>
      <c r="C103">
        <v>27.95</v>
      </c>
      <c r="D103">
        <f>VLOOKUP(A103,收盤價!A:C,3,0)</f>
        <v>35.9</v>
      </c>
      <c r="E103" s="126">
        <v>0.2844364937388193</v>
      </c>
      <c r="F103">
        <v>93.47</v>
      </c>
    </row>
    <row r="104" spans="1:6">
      <c r="A104">
        <v>2103</v>
      </c>
      <c r="B104" t="s">
        <v>758</v>
      </c>
      <c r="C104">
        <v>23.45</v>
      </c>
      <c r="D104">
        <f>VLOOKUP(A104,收盤價!A:C,3,0)</f>
        <v>30.1</v>
      </c>
      <c r="E104" s="126">
        <v>0.2835820895522389</v>
      </c>
      <c r="F104">
        <v>93.41</v>
      </c>
    </row>
    <row r="105" spans="1:6">
      <c r="A105">
        <v>2360</v>
      </c>
      <c r="B105" t="s">
        <v>815</v>
      </c>
      <c r="C105">
        <v>58.2</v>
      </c>
      <c r="D105">
        <f>VLOOKUP(A105,收盤價!A:C,3,0)</f>
        <v>74.599999999999994</v>
      </c>
      <c r="E105" s="126">
        <v>0.28178694158075585</v>
      </c>
      <c r="F105">
        <v>93.34</v>
      </c>
    </row>
    <row r="106" spans="1:6">
      <c r="A106">
        <v>2428</v>
      </c>
      <c r="B106" t="s">
        <v>863</v>
      </c>
      <c r="C106">
        <v>44.65</v>
      </c>
      <c r="D106">
        <f>VLOOKUP(A106,收盤價!A:C,3,0)</f>
        <v>57.2</v>
      </c>
      <c r="E106" s="126">
        <v>0.28107502799552081</v>
      </c>
      <c r="F106">
        <v>93.28</v>
      </c>
    </row>
    <row r="107" spans="1:6">
      <c r="A107">
        <v>3115</v>
      </c>
      <c r="B107" t="s">
        <v>1452</v>
      </c>
      <c r="C107">
        <v>9.8800000000000008</v>
      </c>
      <c r="D107">
        <f>VLOOKUP(A107,收盤價!A:C,3,0)</f>
        <v>12.65</v>
      </c>
      <c r="E107" s="126">
        <v>0.28036437246963558</v>
      </c>
      <c r="F107">
        <v>93.21</v>
      </c>
    </row>
    <row r="108" spans="1:6">
      <c r="A108">
        <v>3520</v>
      </c>
      <c r="B108" t="s">
        <v>1504</v>
      </c>
      <c r="C108">
        <v>87.1</v>
      </c>
      <c r="D108">
        <f>VLOOKUP(A108,收盤價!A:C,3,0)</f>
        <v>111.5</v>
      </c>
      <c r="E108" s="126">
        <v>0.28013777267508622</v>
      </c>
      <c r="F108">
        <v>93.15</v>
      </c>
    </row>
    <row r="109" spans="1:6">
      <c r="A109">
        <v>2425</v>
      </c>
      <c r="B109" t="s">
        <v>860</v>
      </c>
      <c r="C109">
        <v>16.600000000000001</v>
      </c>
      <c r="D109">
        <f>VLOOKUP(A109,收盤價!A:C,3,0)</f>
        <v>21.25</v>
      </c>
      <c r="E109" s="126">
        <v>0.28012048192771072</v>
      </c>
      <c r="F109">
        <v>93.09</v>
      </c>
    </row>
    <row r="110" spans="1:6">
      <c r="A110">
        <v>3004</v>
      </c>
      <c r="B110" t="s">
        <v>1026</v>
      </c>
      <c r="C110">
        <v>48</v>
      </c>
      <c r="D110">
        <f>VLOOKUP(A110,收盤價!A:C,3,0)</f>
        <v>61.4</v>
      </c>
      <c r="E110" s="126">
        <v>0.27916666666666662</v>
      </c>
      <c r="F110">
        <v>93.02</v>
      </c>
    </row>
    <row r="111" spans="1:6">
      <c r="A111">
        <v>2314</v>
      </c>
      <c r="B111" t="s">
        <v>784</v>
      </c>
      <c r="C111">
        <v>9.4600000000000009</v>
      </c>
      <c r="D111">
        <f>VLOOKUP(A111,收盤價!A:C,3,0)</f>
        <v>12.1</v>
      </c>
      <c r="E111" s="126">
        <v>0.27906976744186029</v>
      </c>
      <c r="F111">
        <v>92.96</v>
      </c>
    </row>
    <row r="112" spans="1:6">
      <c r="A112">
        <v>6237</v>
      </c>
      <c r="B112" t="s">
        <v>462</v>
      </c>
      <c r="C112">
        <v>28</v>
      </c>
      <c r="D112">
        <f>VLOOKUP(A112,收盤價!A:C,3,0)</f>
        <v>35.799999999999997</v>
      </c>
      <c r="E112" s="126">
        <v>0.27857142857142847</v>
      </c>
      <c r="F112">
        <v>92.9</v>
      </c>
    </row>
    <row r="113" spans="1:6">
      <c r="A113">
        <v>8996</v>
      </c>
      <c r="B113" t="s">
        <v>1352</v>
      </c>
      <c r="C113">
        <v>47.3</v>
      </c>
      <c r="D113">
        <f>VLOOKUP(A113,收盤價!A:C,3,0)</f>
        <v>60.2</v>
      </c>
      <c r="E113" s="126">
        <v>0.27272727272727287</v>
      </c>
      <c r="F113">
        <v>92.83</v>
      </c>
    </row>
    <row r="114" spans="1:6">
      <c r="A114">
        <v>3259</v>
      </c>
      <c r="B114" t="s">
        <v>1471</v>
      </c>
      <c r="C114">
        <v>28.75</v>
      </c>
      <c r="D114">
        <f>VLOOKUP(A114,收盤價!A:C,3,0)</f>
        <v>36.5</v>
      </c>
      <c r="E114" s="126">
        <v>0.26956521739130435</v>
      </c>
      <c r="F114">
        <v>92.77</v>
      </c>
    </row>
    <row r="115" spans="1:6">
      <c r="A115">
        <v>1524</v>
      </c>
      <c r="B115" t="s">
        <v>639</v>
      </c>
      <c r="C115">
        <v>5.51</v>
      </c>
      <c r="D115">
        <f>VLOOKUP(A115,收盤價!A:C,3,0)</f>
        <v>6.97</v>
      </c>
      <c r="E115" s="126">
        <v>0.26497277676950998</v>
      </c>
      <c r="F115">
        <v>92.71</v>
      </c>
    </row>
    <row r="116" spans="1:6">
      <c r="A116">
        <v>3081</v>
      </c>
      <c r="B116" t="s">
        <v>1448</v>
      </c>
      <c r="C116">
        <v>440</v>
      </c>
      <c r="D116">
        <f>VLOOKUP(A116,收盤價!A:C,3,0)</f>
        <v>556</v>
      </c>
      <c r="E116" s="126">
        <v>0.26363636363636361</v>
      </c>
      <c r="F116">
        <v>92.64</v>
      </c>
    </row>
    <row r="117" spans="1:6">
      <c r="A117">
        <v>1471</v>
      </c>
      <c r="B117" t="s">
        <v>619</v>
      </c>
      <c r="C117">
        <v>4.8</v>
      </c>
      <c r="D117">
        <f>VLOOKUP(A117,收盤價!A:C,3,0)</f>
        <v>6.06</v>
      </c>
      <c r="E117" s="126">
        <v>0.26249999999999996</v>
      </c>
      <c r="F117">
        <v>92.58</v>
      </c>
    </row>
    <row r="118" spans="1:6">
      <c r="A118">
        <v>2449</v>
      </c>
      <c r="B118" t="s">
        <v>879</v>
      </c>
      <c r="C118">
        <v>21.8</v>
      </c>
      <c r="D118">
        <f>VLOOKUP(A118,收盤價!A:C,3,0)</f>
        <v>27.45</v>
      </c>
      <c r="E118" s="126">
        <v>0.25917431192660545</v>
      </c>
      <c r="F118">
        <v>92.52</v>
      </c>
    </row>
    <row r="119" spans="1:6">
      <c r="A119">
        <v>4131</v>
      </c>
      <c r="B119" t="s">
        <v>1549</v>
      </c>
      <c r="C119">
        <v>7.95</v>
      </c>
      <c r="D119">
        <f>VLOOKUP(A119,收盤價!A:C,3,0)</f>
        <v>10</v>
      </c>
      <c r="E119" s="126">
        <v>0.25786163522012578</v>
      </c>
      <c r="F119">
        <v>92.45</v>
      </c>
    </row>
    <row r="120" spans="1:6">
      <c r="A120">
        <v>6248</v>
      </c>
      <c r="B120" t="s">
        <v>466</v>
      </c>
      <c r="C120">
        <v>23.65</v>
      </c>
      <c r="D120">
        <f>VLOOKUP(A120,收盤價!A:C,3,0)</f>
        <v>29.65</v>
      </c>
      <c r="E120" s="126">
        <v>0.25369978858350956</v>
      </c>
      <c r="F120">
        <v>92.39</v>
      </c>
    </row>
    <row r="121" spans="1:6">
      <c r="A121">
        <v>8059</v>
      </c>
      <c r="B121" t="s">
        <v>1765</v>
      </c>
      <c r="C121">
        <v>10.65</v>
      </c>
      <c r="D121">
        <f>VLOOKUP(A121,收盤價!A:C,3,0)</f>
        <v>13.35</v>
      </c>
      <c r="E121" s="126">
        <v>0.25352112676056332</v>
      </c>
      <c r="F121">
        <v>92.33</v>
      </c>
    </row>
    <row r="122" spans="1:6">
      <c r="A122">
        <v>1789</v>
      </c>
      <c r="B122" t="s">
        <v>713</v>
      </c>
      <c r="C122">
        <v>42.65</v>
      </c>
      <c r="D122">
        <f>VLOOKUP(A122,收盤價!A:C,3,0)</f>
        <v>53.4</v>
      </c>
      <c r="E122" s="126">
        <v>0.25205158264947247</v>
      </c>
      <c r="F122">
        <v>92.26</v>
      </c>
    </row>
    <row r="123" spans="1:6">
      <c r="A123">
        <v>3686</v>
      </c>
      <c r="B123" t="s">
        <v>1149</v>
      </c>
      <c r="C123">
        <v>8.27</v>
      </c>
      <c r="D123">
        <f>VLOOKUP(A123,收盤價!A:C,3,0)</f>
        <v>10.35</v>
      </c>
      <c r="E123" s="126">
        <v>0.2515114873035067</v>
      </c>
      <c r="F123">
        <v>92.2</v>
      </c>
    </row>
    <row r="124" spans="1:6">
      <c r="A124">
        <v>2017</v>
      </c>
      <c r="B124" t="s">
        <v>738</v>
      </c>
      <c r="C124">
        <v>5.77</v>
      </c>
      <c r="D124">
        <f>VLOOKUP(A124,收盤價!A:C,3,0)</f>
        <v>7.22</v>
      </c>
      <c r="E124" s="126">
        <v>0.25129982668977474</v>
      </c>
      <c r="F124">
        <v>92.14</v>
      </c>
    </row>
    <row r="125" spans="1:6">
      <c r="A125">
        <v>2597</v>
      </c>
      <c r="B125" t="s">
        <v>947</v>
      </c>
      <c r="C125">
        <v>38.6</v>
      </c>
      <c r="D125">
        <f>VLOOKUP(A125,收盤價!A:C,3,0)</f>
        <v>48.3</v>
      </c>
      <c r="E125" s="126">
        <v>0.25129533678756466</v>
      </c>
      <c r="F125">
        <v>92.07</v>
      </c>
    </row>
    <row r="126" spans="1:6">
      <c r="A126">
        <v>1704</v>
      </c>
      <c r="B126" t="s">
        <v>680</v>
      </c>
      <c r="C126">
        <v>29.4</v>
      </c>
      <c r="D126">
        <f>VLOOKUP(A126,收盤價!A:C,3,0)</f>
        <v>36.75</v>
      </c>
      <c r="E126" s="126">
        <v>0.25000000000000006</v>
      </c>
      <c r="F126">
        <v>92.01</v>
      </c>
    </row>
    <row r="127" spans="1:6">
      <c r="A127">
        <v>1525</v>
      </c>
      <c r="B127" t="s">
        <v>640</v>
      </c>
      <c r="C127">
        <v>84.6</v>
      </c>
      <c r="D127">
        <f>VLOOKUP(A127,收盤價!A:C,3,0)</f>
        <v>105.5</v>
      </c>
      <c r="E127" s="126">
        <v>0.24704491725768329</v>
      </c>
      <c r="F127">
        <v>91.95</v>
      </c>
    </row>
    <row r="128" spans="1:6">
      <c r="A128">
        <v>8341</v>
      </c>
      <c r="B128" t="s">
        <v>1340</v>
      </c>
      <c r="C128">
        <v>113</v>
      </c>
      <c r="D128">
        <f>VLOOKUP(A128,收盤價!A:C,3,0)</f>
        <v>140</v>
      </c>
      <c r="E128" s="126">
        <v>0.23893805309734514</v>
      </c>
      <c r="F128">
        <v>91.88</v>
      </c>
    </row>
    <row r="129" spans="1:6">
      <c r="A129">
        <v>3523</v>
      </c>
      <c r="B129" t="s">
        <v>1506</v>
      </c>
      <c r="C129">
        <v>22.55</v>
      </c>
      <c r="D129">
        <f>VLOOKUP(A129,收盤價!A:C,3,0)</f>
        <v>27.9</v>
      </c>
      <c r="E129" s="126">
        <v>0.23725055432372497</v>
      </c>
      <c r="F129">
        <v>91.82</v>
      </c>
    </row>
    <row r="130" spans="1:6">
      <c r="A130">
        <v>5465</v>
      </c>
      <c r="B130" t="s">
        <v>419</v>
      </c>
      <c r="C130">
        <v>10.8</v>
      </c>
      <c r="D130">
        <f>VLOOKUP(A130,收盤價!A:C,3,0)</f>
        <v>13.35</v>
      </c>
      <c r="E130" s="126">
        <v>0.23611111111111099</v>
      </c>
      <c r="F130">
        <v>91.76</v>
      </c>
    </row>
    <row r="131" spans="1:6">
      <c r="A131">
        <v>3105</v>
      </c>
      <c r="B131" t="s">
        <v>274</v>
      </c>
      <c r="C131">
        <v>48.15</v>
      </c>
      <c r="D131">
        <f>VLOOKUP(A131,收盤價!A:C,3,0)</f>
        <v>59.4</v>
      </c>
      <c r="E131" s="126">
        <v>0.23364485981308411</v>
      </c>
      <c r="F131">
        <v>91.69</v>
      </c>
    </row>
    <row r="132" spans="1:6">
      <c r="A132">
        <v>2034</v>
      </c>
      <c r="B132" t="s">
        <v>751</v>
      </c>
      <c r="C132">
        <v>20</v>
      </c>
      <c r="D132">
        <f>VLOOKUP(A132,收盤價!A:C,3,0)</f>
        <v>24.65</v>
      </c>
      <c r="E132" s="126">
        <v>0.23249999999999993</v>
      </c>
      <c r="F132">
        <v>91.63</v>
      </c>
    </row>
    <row r="133" spans="1:6">
      <c r="A133">
        <v>6167</v>
      </c>
      <c r="B133" t="s">
        <v>1709</v>
      </c>
      <c r="C133">
        <v>4.5</v>
      </c>
      <c r="D133">
        <f>VLOOKUP(A133,收盤價!A:C,3,0)</f>
        <v>5.54</v>
      </c>
      <c r="E133" s="126">
        <v>0.23111111111111113</v>
      </c>
      <c r="F133">
        <v>91.57</v>
      </c>
    </row>
    <row r="134" spans="1:6">
      <c r="A134">
        <v>6196</v>
      </c>
      <c r="B134" t="s">
        <v>1267</v>
      </c>
      <c r="C134">
        <v>22.05</v>
      </c>
      <c r="D134">
        <f>VLOOKUP(A134,收盤價!A:C,3,0)</f>
        <v>27.05</v>
      </c>
      <c r="E134" s="126">
        <v>0.22675736961451246</v>
      </c>
      <c r="F134">
        <v>91.5</v>
      </c>
    </row>
    <row r="135" spans="1:6">
      <c r="A135">
        <v>2492</v>
      </c>
      <c r="B135" t="s">
        <v>913</v>
      </c>
      <c r="C135">
        <v>18.55</v>
      </c>
      <c r="D135">
        <f>VLOOKUP(A135,收盤價!A:C,3,0)</f>
        <v>22.75</v>
      </c>
      <c r="E135" s="126">
        <v>0.22641509433962259</v>
      </c>
      <c r="F135">
        <v>91.44</v>
      </c>
    </row>
    <row r="136" spans="1:6">
      <c r="A136">
        <v>2420</v>
      </c>
      <c r="B136" t="s">
        <v>856</v>
      </c>
      <c r="C136">
        <v>39</v>
      </c>
      <c r="D136">
        <f>VLOOKUP(A136,收盤價!A:C,3,0)</f>
        <v>47.8</v>
      </c>
      <c r="E136" s="126">
        <v>0.22564102564102556</v>
      </c>
      <c r="F136">
        <v>91.38</v>
      </c>
    </row>
    <row r="137" spans="1:6">
      <c r="A137">
        <v>2405</v>
      </c>
      <c r="B137" t="s">
        <v>846</v>
      </c>
      <c r="C137">
        <v>7.92</v>
      </c>
      <c r="D137">
        <f>VLOOKUP(A137,收盤價!A:C,3,0)</f>
        <v>9.6999999999999993</v>
      </c>
      <c r="E137" s="126">
        <v>0.22474747474747467</v>
      </c>
      <c r="F137">
        <v>91.31</v>
      </c>
    </row>
    <row r="138" spans="1:6">
      <c r="A138">
        <v>1721</v>
      </c>
      <c r="B138" t="s">
        <v>693</v>
      </c>
      <c r="C138">
        <v>10.95</v>
      </c>
      <c r="D138">
        <f>VLOOKUP(A138,收盤價!A:C,3,0)</f>
        <v>13.4</v>
      </c>
      <c r="E138" s="126">
        <v>0.22374429223744302</v>
      </c>
      <c r="F138">
        <v>91.25</v>
      </c>
    </row>
    <row r="139" spans="1:6">
      <c r="A139">
        <v>2605</v>
      </c>
      <c r="B139" t="s">
        <v>950</v>
      </c>
      <c r="C139">
        <v>18.2</v>
      </c>
      <c r="D139">
        <f>VLOOKUP(A139,收盤價!A:C,3,0)</f>
        <v>22.25</v>
      </c>
      <c r="E139" s="126">
        <v>0.22252747252747257</v>
      </c>
      <c r="F139">
        <v>91.19</v>
      </c>
    </row>
    <row r="140" spans="1:6">
      <c r="A140">
        <v>3419</v>
      </c>
      <c r="B140" t="s">
        <v>1103</v>
      </c>
      <c r="C140">
        <v>14.25</v>
      </c>
      <c r="D140">
        <f>VLOOKUP(A140,收盤價!A:C,3,0)</f>
        <v>17.399999999999999</v>
      </c>
      <c r="E140" s="126">
        <v>0.22105263157894728</v>
      </c>
      <c r="F140">
        <v>91.12</v>
      </c>
    </row>
    <row r="141" spans="1:6">
      <c r="A141">
        <v>4721</v>
      </c>
      <c r="B141" t="s">
        <v>372</v>
      </c>
      <c r="C141">
        <v>20.399999999999999</v>
      </c>
      <c r="D141">
        <f>VLOOKUP(A141,收盤價!A:C,3,0)</f>
        <v>24.9</v>
      </c>
      <c r="E141" s="126">
        <v>0.22058823529411767</v>
      </c>
      <c r="F141">
        <v>91.06</v>
      </c>
    </row>
    <row r="142" spans="1:6">
      <c r="A142">
        <v>5452</v>
      </c>
      <c r="B142" t="s">
        <v>416</v>
      </c>
      <c r="C142">
        <v>9.7200000000000006</v>
      </c>
      <c r="D142">
        <f>VLOOKUP(A142,收盤價!A:C,3,0)</f>
        <v>11.85</v>
      </c>
      <c r="E142" s="126">
        <v>0.21913580246913569</v>
      </c>
      <c r="F142">
        <v>91</v>
      </c>
    </row>
    <row r="143" spans="1:6">
      <c r="A143">
        <v>6422</v>
      </c>
      <c r="B143" t="s">
        <v>1302</v>
      </c>
      <c r="C143">
        <v>54.8</v>
      </c>
      <c r="D143">
        <f>VLOOKUP(A143,收盤價!A:C,3,0)</f>
        <v>66.8</v>
      </c>
      <c r="E143" s="126">
        <v>0.21897810218978103</v>
      </c>
      <c r="F143">
        <v>90.93</v>
      </c>
    </row>
    <row r="144" spans="1:6">
      <c r="A144">
        <v>6024</v>
      </c>
      <c r="B144" t="s">
        <v>434</v>
      </c>
      <c r="C144">
        <v>29.55</v>
      </c>
      <c r="D144">
        <f>VLOOKUP(A144,收盤價!A:C,3,0)</f>
        <v>36</v>
      </c>
      <c r="E144" s="126">
        <v>0.21827411167512686</v>
      </c>
      <c r="F144">
        <v>90.87</v>
      </c>
    </row>
    <row r="145" spans="1:6">
      <c r="A145">
        <v>6142</v>
      </c>
      <c r="B145" t="s">
        <v>1250</v>
      </c>
      <c r="C145">
        <v>4.72</v>
      </c>
      <c r="D145">
        <f>VLOOKUP(A145,收盤價!A:C,3,0)</f>
        <v>5.75</v>
      </c>
      <c r="E145" s="126">
        <v>0.2182203389830509</v>
      </c>
      <c r="F145">
        <v>90.81</v>
      </c>
    </row>
    <row r="146" spans="1:6">
      <c r="A146">
        <v>2338</v>
      </c>
      <c r="B146" t="s">
        <v>798</v>
      </c>
      <c r="C146">
        <v>8.02</v>
      </c>
      <c r="D146">
        <f>VLOOKUP(A146,收盤價!A:C,3,0)</f>
        <v>9.75</v>
      </c>
      <c r="E146" s="126">
        <v>0.21571072319202</v>
      </c>
      <c r="F146">
        <v>90.74</v>
      </c>
    </row>
    <row r="147" spans="1:6">
      <c r="A147">
        <v>4130</v>
      </c>
      <c r="B147" t="s">
        <v>349</v>
      </c>
      <c r="C147">
        <v>47.55</v>
      </c>
      <c r="D147">
        <f>VLOOKUP(A147,收盤價!A:C,3,0)</f>
        <v>57.8</v>
      </c>
      <c r="E147" s="126">
        <v>0.21556256572029445</v>
      </c>
      <c r="F147">
        <v>90.68</v>
      </c>
    </row>
    <row r="148" spans="1:6">
      <c r="A148">
        <v>1512</v>
      </c>
      <c r="B148" t="s">
        <v>630</v>
      </c>
      <c r="C148">
        <v>4.93</v>
      </c>
      <c r="D148">
        <f>VLOOKUP(A148,收盤價!A:C,3,0)</f>
        <v>5.99</v>
      </c>
      <c r="E148" s="126">
        <v>0.21501014198782972</v>
      </c>
      <c r="F148">
        <v>90.62</v>
      </c>
    </row>
    <row r="149" spans="1:6">
      <c r="A149">
        <v>1218</v>
      </c>
      <c r="B149" t="s">
        <v>539</v>
      </c>
      <c r="C149">
        <v>10.7</v>
      </c>
      <c r="D149">
        <f>VLOOKUP(A149,收盤價!A:C,3,0)</f>
        <v>13</v>
      </c>
      <c r="E149" s="126">
        <v>0.21495327102803746</v>
      </c>
      <c r="F149">
        <v>90.55</v>
      </c>
    </row>
    <row r="150" spans="1:6">
      <c r="A150">
        <v>2498</v>
      </c>
      <c r="B150" t="s">
        <v>918</v>
      </c>
      <c r="C150">
        <v>81.5</v>
      </c>
      <c r="D150">
        <f>VLOOKUP(A150,收盤價!A:C,3,0)</f>
        <v>99</v>
      </c>
      <c r="E150" s="126">
        <v>0.21472392638036811</v>
      </c>
      <c r="F150">
        <v>90.49</v>
      </c>
    </row>
    <row r="151" spans="1:6">
      <c r="A151">
        <v>1235</v>
      </c>
      <c r="B151" t="s">
        <v>549</v>
      </c>
      <c r="C151">
        <v>18.25</v>
      </c>
      <c r="D151">
        <f>VLOOKUP(A151,收盤價!A:C,3,0)</f>
        <v>22.1</v>
      </c>
      <c r="E151" s="126">
        <v>0.21095890410958912</v>
      </c>
      <c r="F151">
        <v>90.42</v>
      </c>
    </row>
    <row r="152" spans="1:6">
      <c r="A152">
        <v>6151</v>
      </c>
      <c r="B152" t="s">
        <v>1707</v>
      </c>
      <c r="C152">
        <v>22.85</v>
      </c>
      <c r="D152">
        <f>VLOOKUP(A152,收盤價!A:C,3,0)</f>
        <v>27.65</v>
      </c>
      <c r="E152" s="126">
        <v>0.21006564551422305</v>
      </c>
      <c r="F152">
        <v>90.36</v>
      </c>
    </row>
    <row r="153" spans="1:6">
      <c r="A153">
        <v>5443</v>
      </c>
      <c r="B153" t="s">
        <v>1651</v>
      </c>
      <c r="C153">
        <v>13.4</v>
      </c>
      <c r="D153">
        <f>VLOOKUP(A153,收盤價!A:C,3,0)</f>
        <v>16.2</v>
      </c>
      <c r="E153" s="126">
        <v>0.20895522388059692</v>
      </c>
      <c r="F153">
        <v>90.3</v>
      </c>
    </row>
    <row r="154" spans="1:6">
      <c r="A154">
        <v>4746</v>
      </c>
      <c r="B154" t="s">
        <v>1181</v>
      </c>
      <c r="C154">
        <v>60.9</v>
      </c>
      <c r="D154">
        <f>VLOOKUP(A154,收盤價!A:C,3,0)</f>
        <v>73.599999999999994</v>
      </c>
      <c r="E154" s="126">
        <v>0.20853858784893262</v>
      </c>
      <c r="F154">
        <v>90.23</v>
      </c>
    </row>
    <row r="155" spans="1:6">
      <c r="A155">
        <v>2456</v>
      </c>
      <c r="B155" t="s">
        <v>885</v>
      </c>
      <c r="C155">
        <v>53.6</v>
      </c>
      <c r="D155">
        <f>VLOOKUP(A155,收盤價!A:C,3,0)</f>
        <v>64.7</v>
      </c>
      <c r="E155" s="126">
        <v>0.20708955223880599</v>
      </c>
      <c r="F155">
        <v>90.17</v>
      </c>
    </row>
    <row r="156" spans="1:6">
      <c r="A156">
        <v>3231</v>
      </c>
      <c r="B156" t="s">
        <v>1086</v>
      </c>
      <c r="C156">
        <v>17.399999999999999</v>
      </c>
      <c r="D156">
        <f>VLOOKUP(A156,收盤價!A:C,3,0)</f>
        <v>21</v>
      </c>
      <c r="E156" s="126">
        <v>0.20689655172413804</v>
      </c>
      <c r="F156">
        <v>90.11</v>
      </c>
    </row>
    <row r="157" spans="1:6">
      <c r="A157">
        <v>3587</v>
      </c>
      <c r="B157" t="s">
        <v>1521</v>
      </c>
      <c r="C157">
        <v>65</v>
      </c>
      <c r="D157">
        <f>VLOOKUP(A157,收盤價!A:C,3,0)</f>
        <v>78.400000000000006</v>
      </c>
      <c r="E157" s="126">
        <v>0.20615384615384624</v>
      </c>
      <c r="F157">
        <v>90.04</v>
      </c>
    </row>
    <row r="158" spans="1:6">
      <c r="A158">
        <v>6264</v>
      </c>
      <c r="B158" t="s">
        <v>469</v>
      </c>
      <c r="C158">
        <v>6.64</v>
      </c>
      <c r="D158">
        <f>VLOOKUP(A158,收盤價!A:C,3,0)</f>
        <v>7.98</v>
      </c>
      <c r="E158" s="126">
        <v>0.20180722891566277</v>
      </c>
      <c r="F158">
        <v>89.98</v>
      </c>
    </row>
    <row r="159" spans="1:6">
      <c r="A159">
        <v>1762</v>
      </c>
      <c r="B159" t="s">
        <v>709</v>
      </c>
      <c r="C159">
        <v>33.700000000000003</v>
      </c>
      <c r="D159">
        <f>VLOOKUP(A159,收盤價!A:C,3,0)</f>
        <v>40.5</v>
      </c>
      <c r="E159" s="126">
        <v>0.20178041543026695</v>
      </c>
      <c r="F159">
        <v>89.92</v>
      </c>
    </row>
    <row r="160" spans="1:6">
      <c r="A160">
        <v>2495</v>
      </c>
      <c r="B160" t="s">
        <v>915</v>
      </c>
      <c r="C160">
        <v>14.2</v>
      </c>
      <c r="D160">
        <f>VLOOKUP(A160,收盤價!A:C,3,0)</f>
        <v>17.05</v>
      </c>
      <c r="E160" s="126">
        <v>0.2007042253521128</v>
      </c>
      <c r="F160">
        <v>89.85</v>
      </c>
    </row>
    <row r="161" spans="1:6">
      <c r="A161">
        <v>1217</v>
      </c>
      <c r="B161" t="s">
        <v>538</v>
      </c>
      <c r="C161">
        <v>6.94</v>
      </c>
      <c r="D161">
        <f>VLOOKUP(A161,收盤價!A:C,3,0)</f>
        <v>8.33</v>
      </c>
      <c r="E161" s="126">
        <v>0.20028818443804028</v>
      </c>
      <c r="F161">
        <v>89.79</v>
      </c>
    </row>
    <row r="162" spans="1:6">
      <c r="A162">
        <v>3289</v>
      </c>
      <c r="B162" t="s">
        <v>1477</v>
      </c>
      <c r="C162">
        <v>92.9</v>
      </c>
      <c r="D162">
        <f>VLOOKUP(A162,收盤價!A:C,3,0)</f>
        <v>111.5</v>
      </c>
      <c r="E162" s="126">
        <v>0.20021528525296009</v>
      </c>
      <c r="F162">
        <v>89.73</v>
      </c>
    </row>
    <row r="163" spans="1:6">
      <c r="A163">
        <v>5353</v>
      </c>
      <c r="B163" t="s">
        <v>1641</v>
      </c>
      <c r="C163">
        <v>9.5</v>
      </c>
      <c r="D163">
        <f>VLOOKUP(A163,收盤價!A:C,3,0)</f>
        <v>11.4</v>
      </c>
      <c r="E163" s="126">
        <v>0.20000000000000004</v>
      </c>
      <c r="F163">
        <v>89.66</v>
      </c>
    </row>
    <row r="164" spans="1:6">
      <c r="A164">
        <v>2032</v>
      </c>
      <c r="B164" t="s">
        <v>749</v>
      </c>
      <c r="C164">
        <v>9.09</v>
      </c>
      <c r="D164">
        <f>VLOOKUP(A164,收盤價!A:C,3,0)</f>
        <v>10.9</v>
      </c>
      <c r="E164" s="126">
        <v>0.19911991199119919</v>
      </c>
      <c r="F164">
        <v>89.6</v>
      </c>
    </row>
    <row r="165" spans="1:6">
      <c r="A165">
        <v>6150</v>
      </c>
      <c r="B165" t="s">
        <v>1706</v>
      </c>
      <c r="C165">
        <v>8.06</v>
      </c>
      <c r="D165">
        <f>VLOOKUP(A165,收盤價!A:C,3,0)</f>
        <v>9.65</v>
      </c>
      <c r="E165" s="126">
        <v>0.19727047146401983</v>
      </c>
      <c r="F165">
        <v>89.54</v>
      </c>
    </row>
    <row r="166" spans="1:6">
      <c r="A166">
        <v>6188</v>
      </c>
      <c r="B166" t="s">
        <v>1716</v>
      </c>
      <c r="C166">
        <v>20.55</v>
      </c>
      <c r="D166">
        <f>VLOOKUP(A166,收盤價!A:C,3,0)</f>
        <v>24.6</v>
      </c>
      <c r="E166" s="126">
        <v>0.19708029197080296</v>
      </c>
      <c r="F166">
        <v>89.47</v>
      </c>
    </row>
    <row r="167" spans="1:6">
      <c r="A167">
        <v>2545</v>
      </c>
      <c r="B167" t="s">
        <v>943</v>
      </c>
      <c r="C167">
        <v>27</v>
      </c>
      <c r="D167">
        <f>VLOOKUP(A167,收盤價!A:C,3,0)</f>
        <v>32.299999999999997</v>
      </c>
      <c r="E167" s="126">
        <v>0.19629629629629619</v>
      </c>
      <c r="F167">
        <v>89.41</v>
      </c>
    </row>
    <row r="168" spans="1:6">
      <c r="A168">
        <v>8107</v>
      </c>
      <c r="B168" t="s">
        <v>492</v>
      </c>
      <c r="C168">
        <v>19.899999999999999</v>
      </c>
      <c r="D168">
        <f>VLOOKUP(A168,收盤價!A:C,3,0)</f>
        <v>23.8</v>
      </c>
      <c r="E168" s="126">
        <v>0.19597989949748756</v>
      </c>
      <c r="F168">
        <v>89.35</v>
      </c>
    </row>
    <row r="169" spans="1:6">
      <c r="A169">
        <v>6432</v>
      </c>
      <c r="B169" t="s">
        <v>1748</v>
      </c>
      <c r="C169">
        <v>29.1</v>
      </c>
      <c r="D169">
        <f>VLOOKUP(A169,收盤價!A:C,3,0)</f>
        <v>34.75</v>
      </c>
      <c r="E169" s="126">
        <v>0.19415807560137452</v>
      </c>
      <c r="F169">
        <v>89.28</v>
      </c>
    </row>
    <row r="170" spans="1:6">
      <c r="A170">
        <v>6107</v>
      </c>
      <c r="B170" t="s">
        <v>1687</v>
      </c>
      <c r="C170">
        <v>77.900000000000006</v>
      </c>
      <c r="D170">
        <f>VLOOKUP(A170,收盤價!A:C,3,0)</f>
        <v>93</v>
      </c>
      <c r="E170" s="126">
        <v>0.19383825417201531</v>
      </c>
      <c r="F170">
        <v>89.22</v>
      </c>
    </row>
    <row r="171" spans="1:6">
      <c r="A171">
        <v>3704</v>
      </c>
      <c r="B171" t="s">
        <v>1155</v>
      </c>
      <c r="C171">
        <v>13.45</v>
      </c>
      <c r="D171">
        <f>VLOOKUP(A171,收盤價!A:C,3,0)</f>
        <v>16.05</v>
      </c>
      <c r="E171" s="126">
        <v>0.19330855018587373</v>
      </c>
      <c r="F171">
        <v>89.16</v>
      </c>
    </row>
    <row r="172" spans="1:6">
      <c r="A172">
        <v>2702</v>
      </c>
      <c r="B172" t="s">
        <v>968</v>
      </c>
      <c r="C172">
        <v>14.35</v>
      </c>
      <c r="D172">
        <f>VLOOKUP(A172,收盤價!A:C,3,0)</f>
        <v>17.100000000000001</v>
      </c>
      <c r="E172" s="126">
        <v>0.19163763066202102</v>
      </c>
      <c r="F172">
        <v>89.09</v>
      </c>
    </row>
    <row r="173" spans="1:6">
      <c r="A173">
        <v>6266</v>
      </c>
      <c r="B173" t="s">
        <v>1736</v>
      </c>
      <c r="C173">
        <v>13</v>
      </c>
      <c r="D173">
        <f>VLOOKUP(A173,收盤價!A:C,3,0)</f>
        <v>15.45</v>
      </c>
      <c r="E173" s="126">
        <v>0.1884615384615384</v>
      </c>
      <c r="F173">
        <v>89.03</v>
      </c>
    </row>
    <row r="174" spans="1:6">
      <c r="A174">
        <v>4966</v>
      </c>
      <c r="B174" t="s">
        <v>1606</v>
      </c>
      <c r="C174">
        <v>254</v>
      </c>
      <c r="D174">
        <f>VLOOKUP(A174,收盤價!A:C,3,0)</f>
        <v>301.5</v>
      </c>
      <c r="E174" s="126">
        <v>0.18700787401574803</v>
      </c>
      <c r="F174">
        <v>88.97</v>
      </c>
    </row>
    <row r="175" spans="1:6">
      <c r="A175">
        <v>6415</v>
      </c>
      <c r="B175" t="s">
        <v>1301</v>
      </c>
      <c r="C175">
        <v>356</v>
      </c>
      <c r="D175">
        <f>VLOOKUP(A175,收盤價!A:C,3,0)</f>
        <v>422.5</v>
      </c>
      <c r="E175" s="126">
        <v>0.18679775280898878</v>
      </c>
      <c r="F175">
        <v>88.9</v>
      </c>
    </row>
    <row r="176" spans="1:6">
      <c r="A176">
        <v>2421</v>
      </c>
      <c r="B176" t="s">
        <v>857</v>
      </c>
      <c r="C176">
        <v>18</v>
      </c>
      <c r="D176">
        <f>VLOOKUP(A176,收盤價!A:C,3,0)</f>
        <v>21.35</v>
      </c>
      <c r="E176" s="126">
        <v>0.1861111111111112</v>
      </c>
      <c r="F176">
        <v>88.84</v>
      </c>
    </row>
    <row r="177" spans="1:6">
      <c r="A177">
        <v>8354</v>
      </c>
      <c r="B177" t="s">
        <v>1799</v>
      </c>
      <c r="C177">
        <v>14.3</v>
      </c>
      <c r="D177">
        <f>VLOOKUP(A177,收盤價!A:C,3,0)</f>
        <v>16.95</v>
      </c>
      <c r="E177" s="126">
        <v>0.1853146853146852</v>
      </c>
      <c r="F177">
        <v>88.78</v>
      </c>
    </row>
    <row r="178" spans="1:6">
      <c r="A178">
        <v>3567</v>
      </c>
      <c r="B178" t="s">
        <v>1516</v>
      </c>
      <c r="C178">
        <v>12.2</v>
      </c>
      <c r="D178">
        <f>VLOOKUP(A178,收盤價!A:C,3,0)</f>
        <v>14.4</v>
      </c>
      <c r="E178" s="126">
        <v>0.18032786885245911</v>
      </c>
      <c r="F178">
        <v>88.71</v>
      </c>
    </row>
    <row r="179" spans="1:6">
      <c r="A179">
        <v>6123</v>
      </c>
      <c r="B179" t="s">
        <v>1694</v>
      </c>
      <c r="C179">
        <v>28.45</v>
      </c>
      <c r="D179">
        <f>VLOOKUP(A179,收盤價!A:C,3,0)</f>
        <v>33.549999999999997</v>
      </c>
      <c r="E179" s="126">
        <v>0.17926186291739887</v>
      </c>
      <c r="F179">
        <v>88.65</v>
      </c>
    </row>
    <row r="180" spans="1:6">
      <c r="A180">
        <v>3514</v>
      </c>
      <c r="B180" t="s">
        <v>1114</v>
      </c>
      <c r="C180">
        <v>25.45</v>
      </c>
      <c r="D180">
        <f>VLOOKUP(A180,收盤價!A:C,3,0)</f>
        <v>30</v>
      </c>
      <c r="E180" s="126">
        <v>0.17878192534381143</v>
      </c>
      <c r="F180">
        <v>88.59</v>
      </c>
    </row>
    <row r="181" spans="1:6">
      <c r="A181">
        <v>6409</v>
      </c>
      <c r="B181" t="s">
        <v>1298</v>
      </c>
      <c r="C181">
        <v>412</v>
      </c>
      <c r="D181">
        <f>VLOOKUP(A181,收盤價!A:C,3,0)</f>
        <v>485.5</v>
      </c>
      <c r="E181" s="126">
        <v>0.17839805825242719</v>
      </c>
      <c r="F181">
        <v>88.52</v>
      </c>
    </row>
    <row r="182" spans="1:6">
      <c r="A182">
        <v>5347</v>
      </c>
      <c r="B182" t="s">
        <v>406</v>
      </c>
      <c r="C182">
        <v>43.05</v>
      </c>
      <c r="D182">
        <f>VLOOKUP(A182,收盤價!A:C,3,0)</f>
        <v>50.7</v>
      </c>
      <c r="E182" s="126">
        <v>0.1777003484320559</v>
      </c>
      <c r="F182">
        <v>88.46</v>
      </c>
    </row>
    <row r="183" spans="1:6">
      <c r="A183">
        <v>1259</v>
      </c>
      <c r="B183" t="s">
        <v>244</v>
      </c>
      <c r="C183">
        <v>62.1</v>
      </c>
      <c r="D183">
        <f>VLOOKUP(A183,收盤價!A:C,3,0)</f>
        <v>73.099999999999994</v>
      </c>
      <c r="E183" s="126">
        <v>0.17713365539452483</v>
      </c>
      <c r="F183">
        <v>88.4</v>
      </c>
    </row>
    <row r="184" spans="1:6">
      <c r="A184">
        <v>4126</v>
      </c>
      <c r="B184" t="s">
        <v>348</v>
      </c>
      <c r="C184">
        <v>73.599999999999994</v>
      </c>
      <c r="D184">
        <f>VLOOKUP(A184,收盤價!A:C,3,0)</f>
        <v>86.5</v>
      </c>
      <c r="E184" s="126">
        <v>0.17527173913043487</v>
      </c>
      <c r="F184">
        <v>88.33</v>
      </c>
    </row>
    <row r="185" spans="1:6">
      <c r="A185">
        <v>2344</v>
      </c>
      <c r="B185" t="s">
        <v>801</v>
      </c>
      <c r="C185">
        <v>8.0399999999999991</v>
      </c>
      <c r="D185">
        <f>VLOOKUP(A185,收盤價!A:C,3,0)</f>
        <v>9.42</v>
      </c>
      <c r="E185" s="126">
        <v>0.17164179104477623</v>
      </c>
      <c r="F185">
        <v>88.27</v>
      </c>
    </row>
    <row r="186" spans="1:6">
      <c r="A186">
        <v>8931</v>
      </c>
      <c r="B186" t="s">
        <v>1817</v>
      </c>
      <c r="C186">
        <v>20.5</v>
      </c>
      <c r="D186">
        <f>VLOOKUP(A186,收盤價!A:C,3,0)</f>
        <v>24</v>
      </c>
      <c r="E186" s="126">
        <v>0.17073170731707318</v>
      </c>
      <c r="F186">
        <v>88.21</v>
      </c>
    </row>
    <row r="187" spans="1:6">
      <c r="A187">
        <v>4503</v>
      </c>
      <c r="B187" t="s">
        <v>363</v>
      </c>
      <c r="C187">
        <v>12.6</v>
      </c>
      <c r="D187">
        <f>VLOOKUP(A187,收盤價!A:C,3,0)</f>
        <v>14.75</v>
      </c>
      <c r="E187" s="126">
        <v>0.17063492063492067</v>
      </c>
      <c r="F187">
        <v>88.14</v>
      </c>
    </row>
    <row r="188" spans="1:6">
      <c r="A188">
        <v>8436</v>
      </c>
      <c r="B188" t="s">
        <v>1809</v>
      </c>
      <c r="C188">
        <v>106</v>
      </c>
      <c r="D188">
        <f>VLOOKUP(A188,收盤價!A:C,3,0)</f>
        <v>124</v>
      </c>
      <c r="E188" s="126">
        <v>0.16981132075471697</v>
      </c>
      <c r="F188">
        <v>88.08</v>
      </c>
    </row>
    <row r="189" spans="1:6">
      <c r="A189">
        <v>8064</v>
      </c>
      <c r="B189" t="s">
        <v>483</v>
      </c>
      <c r="C189">
        <v>12.7</v>
      </c>
      <c r="D189">
        <f>VLOOKUP(A189,收盤價!A:C,3,0)</f>
        <v>14.85</v>
      </c>
      <c r="E189" s="126">
        <v>0.1692913385826772</v>
      </c>
      <c r="F189">
        <v>88.02</v>
      </c>
    </row>
    <row r="190" spans="1:6">
      <c r="A190">
        <v>2612</v>
      </c>
      <c r="B190" t="s">
        <v>957</v>
      </c>
      <c r="C190">
        <v>23.5</v>
      </c>
      <c r="D190">
        <f>VLOOKUP(A190,收盤價!A:C,3,0)</f>
        <v>27.45</v>
      </c>
      <c r="E190" s="126">
        <v>0.16808510638297869</v>
      </c>
      <c r="F190">
        <v>87.95</v>
      </c>
    </row>
    <row r="191" spans="1:6">
      <c r="A191">
        <v>2007</v>
      </c>
      <c r="B191" t="s">
        <v>730</v>
      </c>
      <c r="C191">
        <v>4.7</v>
      </c>
      <c r="D191">
        <f>VLOOKUP(A191,收盤價!A:C,3,0)</f>
        <v>5.48</v>
      </c>
      <c r="E191" s="126">
        <v>0.16595744680851068</v>
      </c>
      <c r="F191">
        <v>87.89</v>
      </c>
    </row>
    <row r="192" spans="1:6">
      <c r="A192">
        <v>4532</v>
      </c>
      <c r="B192" t="s">
        <v>1172</v>
      </c>
      <c r="C192">
        <v>23.25</v>
      </c>
      <c r="D192">
        <f>VLOOKUP(A192,收盤價!A:C,3,0)</f>
        <v>27.1</v>
      </c>
      <c r="E192" s="126">
        <v>0.16559139784946242</v>
      </c>
      <c r="F192">
        <v>87.82</v>
      </c>
    </row>
    <row r="193" spans="1:6">
      <c r="A193">
        <v>2033</v>
      </c>
      <c r="B193" t="s">
        <v>750</v>
      </c>
      <c r="C193">
        <v>8.35</v>
      </c>
      <c r="D193">
        <f>VLOOKUP(A193,收盤價!A:C,3,0)</f>
        <v>9.73</v>
      </c>
      <c r="E193" s="126">
        <v>0.1652694610778444</v>
      </c>
      <c r="F193">
        <v>87.76</v>
      </c>
    </row>
    <row r="194" spans="1:6">
      <c r="A194">
        <v>1611</v>
      </c>
      <c r="B194" t="s">
        <v>669</v>
      </c>
      <c r="C194">
        <v>8.32</v>
      </c>
      <c r="D194">
        <f>VLOOKUP(A194,收盤價!A:C,3,0)</f>
        <v>9.69</v>
      </c>
      <c r="E194" s="126">
        <v>0.16466346153846143</v>
      </c>
      <c r="F194">
        <v>87.7</v>
      </c>
    </row>
    <row r="195" spans="1:6">
      <c r="A195">
        <v>6173</v>
      </c>
      <c r="B195" t="s">
        <v>1711</v>
      </c>
      <c r="C195">
        <v>10.050000000000001</v>
      </c>
      <c r="D195">
        <f>VLOOKUP(A195,收盤價!A:C,3,0)</f>
        <v>11.7</v>
      </c>
      <c r="E195" s="126">
        <v>0.16417910447761178</v>
      </c>
      <c r="F195">
        <v>87.63</v>
      </c>
    </row>
    <row r="196" spans="1:6">
      <c r="A196">
        <v>5398</v>
      </c>
      <c r="B196" t="s">
        <v>411</v>
      </c>
      <c r="C196">
        <v>18.3</v>
      </c>
      <c r="D196">
        <f>VLOOKUP(A196,收盤價!A:C,3,0)</f>
        <v>21.3</v>
      </c>
      <c r="E196" s="126">
        <v>0.16393442622950818</v>
      </c>
      <c r="F196">
        <v>87.57</v>
      </c>
    </row>
    <row r="197" spans="1:6">
      <c r="A197">
        <v>3548</v>
      </c>
      <c r="B197" t="s">
        <v>324</v>
      </c>
      <c r="C197">
        <v>37.9</v>
      </c>
      <c r="D197">
        <f>VLOOKUP(A197,收盤價!A:C,3,0)</f>
        <v>44.1</v>
      </c>
      <c r="E197" s="126">
        <v>0.16358839050131935</v>
      </c>
      <c r="F197">
        <v>87.51</v>
      </c>
    </row>
    <row r="198" spans="1:6">
      <c r="A198">
        <v>1225</v>
      </c>
      <c r="B198" t="s">
        <v>542</v>
      </c>
      <c r="C198">
        <v>24.5</v>
      </c>
      <c r="D198">
        <f>VLOOKUP(A198,收盤價!A:C,3,0)</f>
        <v>28.45</v>
      </c>
      <c r="E198" s="126">
        <v>0.16122448979591833</v>
      </c>
      <c r="F198">
        <v>87.44</v>
      </c>
    </row>
    <row r="199" spans="1:6">
      <c r="A199">
        <v>3494</v>
      </c>
      <c r="B199" t="s">
        <v>1111</v>
      </c>
      <c r="C199">
        <v>15.2</v>
      </c>
      <c r="D199">
        <f>VLOOKUP(A199,收盤價!A:C,3,0)</f>
        <v>17.649999999999999</v>
      </c>
      <c r="E199" s="126">
        <v>0.16118421052631576</v>
      </c>
      <c r="F199">
        <v>87.38</v>
      </c>
    </row>
    <row r="200" spans="1:6">
      <c r="A200">
        <v>2351</v>
      </c>
      <c r="B200" t="s">
        <v>806</v>
      </c>
      <c r="C200">
        <v>28.25</v>
      </c>
      <c r="D200">
        <f>VLOOKUP(A200,收盤價!A:C,3,0)</f>
        <v>32.799999999999997</v>
      </c>
      <c r="E200" s="126">
        <v>0.16106194690265477</v>
      </c>
      <c r="F200">
        <v>87.32</v>
      </c>
    </row>
    <row r="201" spans="1:6">
      <c r="A201">
        <v>4971</v>
      </c>
      <c r="B201" t="s">
        <v>1607</v>
      </c>
      <c r="C201">
        <v>119</v>
      </c>
      <c r="D201">
        <f>VLOOKUP(A201,收盤價!A:C,3,0)</f>
        <v>138</v>
      </c>
      <c r="E201" s="126">
        <v>0.15966386554621848</v>
      </c>
      <c r="F201">
        <v>87.25</v>
      </c>
    </row>
    <row r="202" spans="1:6">
      <c r="A202">
        <v>3062</v>
      </c>
      <c r="B202" t="s">
        <v>1076</v>
      </c>
      <c r="C202">
        <v>17.850000000000001</v>
      </c>
      <c r="D202">
        <f>VLOOKUP(A202,收盤價!A:C,3,0)</f>
        <v>20.7</v>
      </c>
      <c r="E202" s="126">
        <v>0.15966386554621836</v>
      </c>
      <c r="F202">
        <v>87.19</v>
      </c>
    </row>
    <row r="203" spans="1:6">
      <c r="A203">
        <v>6235</v>
      </c>
      <c r="B203" t="s">
        <v>1282</v>
      </c>
      <c r="C203">
        <v>9.58</v>
      </c>
      <c r="D203">
        <f>VLOOKUP(A203,收盤價!A:C,3,0)</f>
        <v>11.1</v>
      </c>
      <c r="E203" s="126">
        <v>0.15866388308977031</v>
      </c>
      <c r="F203">
        <v>87.13</v>
      </c>
    </row>
    <row r="204" spans="1:6">
      <c r="A204">
        <v>8040</v>
      </c>
      <c r="B204" t="s">
        <v>1756</v>
      </c>
      <c r="C204">
        <v>7.93</v>
      </c>
      <c r="D204">
        <f>VLOOKUP(A204,收盤價!A:C,3,0)</f>
        <v>9.18</v>
      </c>
      <c r="E204" s="126">
        <v>0.15762925598991173</v>
      </c>
      <c r="F204">
        <v>87.06</v>
      </c>
    </row>
    <row r="205" spans="1:6">
      <c r="A205">
        <v>2406</v>
      </c>
      <c r="B205" t="s">
        <v>847</v>
      </c>
      <c r="C205">
        <v>26.7</v>
      </c>
      <c r="D205">
        <f>VLOOKUP(A205,收盤價!A:C,3,0)</f>
        <v>30.9</v>
      </c>
      <c r="E205" s="126">
        <v>0.15730337078651682</v>
      </c>
      <c r="F205">
        <v>87</v>
      </c>
    </row>
    <row r="206" spans="1:6">
      <c r="A206">
        <v>8433</v>
      </c>
      <c r="B206" t="s">
        <v>502</v>
      </c>
      <c r="C206">
        <v>135</v>
      </c>
      <c r="D206">
        <f>VLOOKUP(A206,收盤價!A:C,3,0)</f>
        <v>156</v>
      </c>
      <c r="E206" s="126">
        <v>0.15555555555555556</v>
      </c>
      <c r="F206">
        <v>86.94</v>
      </c>
    </row>
    <row r="207" spans="1:6">
      <c r="A207">
        <v>1777</v>
      </c>
      <c r="B207" t="s">
        <v>253</v>
      </c>
      <c r="C207">
        <v>77.900000000000006</v>
      </c>
      <c r="D207">
        <f>VLOOKUP(A207,收盤價!A:C,3,0)</f>
        <v>90</v>
      </c>
      <c r="E207" s="126">
        <v>0.1553273427471116</v>
      </c>
      <c r="F207">
        <v>86.87</v>
      </c>
    </row>
    <row r="208" spans="1:6">
      <c r="A208">
        <v>1467</v>
      </c>
      <c r="B208" t="s">
        <v>615</v>
      </c>
      <c r="C208">
        <v>13.85</v>
      </c>
      <c r="D208">
        <f>VLOOKUP(A208,收盤價!A:C,3,0)</f>
        <v>16</v>
      </c>
      <c r="E208" s="126">
        <v>0.15523465703971123</v>
      </c>
      <c r="F208">
        <v>86.81</v>
      </c>
    </row>
    <row r="209" spans="1:6">
      <c r="A209">
        <v>8255</v>
      </c>
      <c r="B209" t="s">
        <v>1791</v>
      </c>
      <c r="C209">
        <v>111</v>
      </c>
      <c r="D209">
        <f>VLOOKUP(A209,收盤價!A:C,3,0)</f>
        <v>128</v>
      </c>
      <c r="E209" s="126">
        <v>0.15315315315315314</v>
      </c>
      <c r="F209">
        <v>86.75</v>
      </c>
    </row>
    <row r="210" spans="1:6">
      <c r="A210">
        <v>3579</v>
      </c>
      <c r="B210" t="s">
        <v>1129</v>
      </c>
      <c r="C210">
        <v>13.4</v>
      </c>
      <c r="D210">
        <f>VLOOKUP(A210,收盤價!A:C,3,0)</f>
        <v>15.45</v>
      </c>
      <c r="E210" s="126">
        <v>0.15298507462686559</v>
      </c>
      <c r="F210">
        <v>86.68</v>
      </c>
    </row>
    <row r="211" spans="1:6">
      <c r="A211">
        <v>6115</v>
      </c>
      <c r="B211" t="s">
        <v>1240</v>
      </c>
      <c r="C211">
        <v>31.95</v>
      </c>
      <c r="D211">
        <f>VLOOKUP(A211,收盤價!A:C,3,0)</f>
        <v>36.799999999999997</v>
      </c>
      <c r="E211" s="126">
        <v>0.15179968701095456</v>
      </c>
      <c r="F211">
        <v>86.62</v>
      </c>
    </row>
    <row r="212" spans="1:6">
      <c r="A212">
        <v>3016</v>
      </c>
      <c r="B212" t="s">
        <v>1034</v>
      </c>
      <c r="C212">
        <v>15.5</v>
      </c>
      <c r="D212">
        <f>VLOOKUP(A212,收盤價!A:C,3,0)</f>
        <v>17.850000000000001</v>
      </c>
      <c r="E212" s="126">
        <v>0.15161290322580653</v>
      </c>
      <c r="F212">
        <v>86.56</v>
      </c>
    </row>
    <row r="213" spans="1:6">
      <c r="A213">
        <v>4175</v>
      </c>
      <c r="B213" t="s">
        <v>357</v>
      </c>
      <c r="C213">
        <v>74.099999999999994</v>
      </c>
      <c r="D213">
        <f>VLOOKUP(A213,收盤價!A:C,3,0)</f>
        <v>85.3</v>
      </c>
      <c r="E213" s="126">
        <v>0.15114709851551961</v>
      </c>
      <c r="F213">
        <v>86.49</v>
      </c>
    </row>
    <row r="214" spans="1:6">
      <c r="A214">
        <v>4152</v>
      </c>
      <c r="B214" t="s">
        <v>350</v>
      </c>
      <c r="C214">
        <v>139</v>
      </c>
      <c r="D214">
        <f>VLOOKUP(A214,收盤價!A:C,3,0)</f>
        <v>160</v>
      </c>
      <c r="E214" s="126">
        <v>0.15107913669064749</v>
      </c>
      <c r="F214">
        <v>86.43</v>
      </c>
    </row>
    <row r="215" spans="1:6">
      <c r="A215">
        <v>4919</v>
      </c>
      <c r="B215" t="s">
        <v>1188</v>
      </c>
      <c r="C215">
        <v>28.8</v>
      </c>
      <c r="D215">
        <f>VLOOKUP(A215,收盤價!A:C,3,0)</f>
        <v>33.15</v>
      </c>
      <c r="E215" s="126">
        <v>0.1510416666666666</v>
      </c>
      <c r="F215">
        <v>86.37</v>
      </c>
    </row>
    <row r="216" spans="1:6">
      <c r="A216">
        <v>8163</v>
      </c>
      <c r="B216" t="s">
        <v>1331</v>
      </c>
      <c r="C216">
        <v>17.55</v>
      </c>
      <c r="D216">
        <f>VLOOKUP(A216,收盤價!A:C,3,0)</f>
        <v>20.2</v>
      </c>
      <c r="E216" s="126">
        <v>0.15099715099715091</v>
      </c>
      <c r="F216">
        <v>86.3</v>
      </c>
    </row>
    <row r="217" spans="1:6">
      <c r="A217">
        <v>6160</v>
      </c>
      <c r="B217" t="s">
        <v>1708</v>
      </c>
      <c r="C217">
        <v>14.6</v>
      </c>
      <c r="D217">
        <f>VLOOKUP(A217,收盤價!A:C,3,0)</f>
        <v>16.8</v>
      </c>
      <c r="E217" s="126">
        <v>0.15068493150684939</v>
      </c>
      <c r="F217">
        <v>86.24</v>
      </c>
    </row>
    <row r="218" spans="1:6">
      <c r="A218">
        <v>8916</v>
      </c>
      <c r="B218" t="s">
        <v>507</v>
      </c>
      <c r="C218">
        <v>46.5</v>
      </c>
      <c r="D218">
        <f>VLOOKUP(A218,收盤價!A:C,3,0)</f>
        <v>53.5</v>
      </c>
      <c r="E218" s="126">
        <v>0.15053763440860216</v>
      </c>
      <c r="F218">
        <v>86.18</v>
      </c>
    </row>
    <row r="219" spans="1:6">
      <c r="A219">
        <v>5289</v>
      </c>
      <c r="B219" t="s">
        <v>1628</v>
      </c>
      <c r="C219">
        <v>100</v>
      </c>
      <c r="D219">
        <f>VLOOKUP(A219,收盤價!A:C,3,0)</f>
        <v>115</v>
      </c>
      <c r="E219" s="126">
        <v>0.15</v>
      </c>
      <c r="F219">
        <v>86.11</v>
      </c>
    </row>
    <row r="220" spans="1:6">
      <c r="A220">
        <v>1726</v>
      </c>
      <c r="B220" t="s">
        <v>698</v>
      </c>
      <c r="C220">
        <v>68.400000000000006</v>
      </c>
      <c r="D220">
        <f>VLOOKUP(A220,收盤價!A:C,3,0)</f>
        <v>78.599999999999994</v>
      </c>
      <c r="E220" s="126">
        <v>0.14912280701754368</v>
      </c>
      <c r="F220">
        <v>86.05</v>
      </c>
    </row>
    <row r="221" spans="1:6">
      <c r="A221">
        <v>6189</v>
      </c>
      <c r="B221" t="s">
        <v>1264</v>
      </c>
      <c r="C221">
        <v>30.2</v>
      </c>
      <c r="D221">
        <f>VLOOKUP(A221,收盤價!A:C,3,0)</f>
        <v>34.700000000000003</v>
      </c>
      <c r="E221" s="126">
        <v>0.14900662251655641</v>
      </c>
      <c r="F221">
        <v>85.99</v>
      </c>
    </row>
    <row r="222" spans="1:6">
      <c r="A222">
        <v>2063</v>
      </c>
      <c r="B222" t="s">
        <v>258</v>
      </c>
      <c r="C222">
        <v>23.95</v>
      </c>
      <c r="D222">
        <f>VLOOKUP(A222,收盤價!A:C,3,0)</f>
        <v>27.5</v>
      </c>
      <c r="E222" s="126">
        <v>0.14822546972860129</v>
      </c>
      <c r="F222">
        <v>85.92</v>
      </c>
    </row>
    <row r="223" spans="1:6">
      <c r="A223">
        <v>4102</v>
      </c>
      <c r="B223" t="s">
        <v>1537</v>
      </c>
      <c r="C223">
        <v>21</v>
      </c>
      <c r="D223">
        <f>VLOOKUP(A223,收盤價!A:C,3,0)</f>
        <v>24.1</v>
      </c>
      <c r="E223" s="126">
        <v>0.14761904761904768</v>
      </c>
      <c r="F223">
        <v>85.86</v>
      </c>
    </row>
    <row r="224" spans="1:6">
      <c r="A224">
        <v>8446</v>
      </c>
      <c r="B224" t="s">
        <v>1811</v>
      </c>
      <c r="C224">
        <v>97.6</v>
      </c>
      <c r="D224">
        <f>VLOOKUP(A224,收盤價!A:C,3,0)</f>
        <v>112</v>
      </c>
      <c r="E224" s="126">
        <v>0.14754098360655746</v>
      </c>
      <c r="F224">
        <v>85.8</v>
      </c>
    </row>
    <row r="225" spans="1:6">
      <c r="A225">
        <v>1210</v>
      </c>
      <c r="B225" t="s">
        <v>534</v>
      </c>
      <c r="C225">
        <v>20</v>
      </c>
      <c r="D225">
        <f>VLOOKUP(A225,收盤價!A:C,3,0)</f>
        <v>22.9</v>
      </c>
      <c r="E225" s="126">
        <v>0.14499999999999993</v>
      </c>
      <c r="F225">
        <v>85.73</v>
      </c>
    </row>
    <row r="226" spans="1:6">
      <c r="A226">
        <v>3055</v>
      </c>
      <c r="B226" t="s">
        <v>1070</v>
      </c>
      <c r="C226">
        <v>18.25</v>
      </c>
      <c r="D226">
        <f>VLOOKUP(A226,收盤價!A:C,3,0)</f>
        <v>20.85</v>
      </c>
      <c r="E226" s="126">
        <v>0.14246575342465762</v>
      </c>
      <c r="F226">
        <v>85.67</v>
      </c>
    </row>
    <row r="227" spans="1:6">
      <c r="A227">
        <v>8403</v>
      </c>
      <c r="B227" t="s">
        <v>1803</v>
      </c>
      <c r="C227">
        <v>42.3</v>
      </c>
      <c r="D227">
        <f>VLOOKUP(A227,收盤價!A:C,3,0)</f>
        <v>48.3</v>
      </c>
      <c r="E227" s="126">
        <v>0.14184397163120568</v>
      </c>
      <c r="F227">
        <v>85.61</v>
      </c>
    </row>
    <row r="228" spans="1:6">
      <c r="A228">
        <v>2430</v>
      </c>
      <c r="B228" t="s">
        <v>865</v>
      </c>
      <c r="C228">
        <v>20.8</v>
      </c>
      <c r="D228">
        <f>VLOOKUP(A228,收盤價!A:C,3,0)</f>
        <v>23.75</v>
      </c>
      <c r="E228" s="126">
        <v>0.14182692307692304</v>
      </c>
      <c r="F228">
        <v>85.54</v>
      </c>
    </row>
    <row r="229" spans="1:6">
      <c r="A229">
        <v>9942</v>
      </c>
      <c r="B229" t="s">
        <v>1405</v>
      </c>
      <c r="C229">
        <v>77</v>
      </c>
      <c r="D229">
        <f>VLOOKUP(A229,收盤價!A:C,3,0)</f>
        <v>87.9</v>
      </c>
      <c r="E229" s="126">
        <v>0.14155844155844163</v>
      </c>
      <c r="F229">
        <v>85.48</v>
      </c>
    </row>
    <row r="230" spans="1:6">
      <c r="A230">
        <v>3373</v>
      </c>
      <c r="B230" t="s">
        <v>306</v>
      </c>
      <c r="C230">
        <v>24.05</v>
      </c>
      <c r="D230">
        <f>VLOOKUP(A230,收盤價!A:C,3,0)</f>
        <v>27.45</v>
      </c>
      <c r="E230" s="126">
        <v>0.1413721413721413</v>
      </c>
      <c r="F230">
        <v>85.42</v>
      </c>
    </row>
    <row r="231" spans="1:6">
      <c r="A231">
        <v>4736</v>
      </c>
      <c r="B231" t="s">
        <v>375</v>
      </c>
      <c r="C231">
        <v>96.4</v>
      </c>
      <c r="D231">
        <f>VLOOKUP(A231,收盤價!A:C,3,0)</f>
        <v>110</v>
      </c>
      <c r="E231" s="126">
        <v>0.1410788381742738</v>
      </c>
      <c r="F231">
        <v>85.35</v>
      </c>
    </row>
    <row r="232" spans="1:6">
      <c r="A232">
        <v>2356</v>
      </c>
      <c r="B232" t="s">
        <v>811</v>
      </c>
      <c r="C232">
        <v>20.3</v>
      </c>
      <c r="D232">
        <f>VLOOKUP(A232,收盤價!A:C,3,0)</f>
        <v>23.15</v>
      </c>
      <c r="E232" s="126">
        <v>0.14039408866995062</v>
      </c>
      <c r="F232">
        <v>85.29</v>
      </c>
    </row>
    <row r="233" spans="1:6">
      <c r="A233">
        <v>2233</v>
      </c>
      <c r="B233" t="s">
        <v>262</v>
      </c>
      <c r="C233">
        <v>68.099999999999994</v>
      </c>
      <c r="D233">
        <f>VLOOKUP(A233,收盤價!A:C,3,0)</f>
        <v>77.599999999999994</v>
      </c>
      <c r="E233" s="126">
        <v>0.1395007342143906</v>
      </c>
      <c r="F233">
        <v>85.23</v>
      </c>
    </row>
    <row r="234" spans="1:6">
      <c r="A234">
        <v>8042</v>
      </c>
      <c r="B234" t="s">
        <v>1757</v>
      </c>
      <c r="C234">
        <v>37</v>
      </c>
      <c r="D234">
        <f>VLOOKUP(A234,收盤價!A:C,3,0)</f>
        <v>42.1</v>
      </c>
      <c r="E234" s="126">
        <v>0.13783783783783787</v>
      </c>
      <c r="F234">
        <v>85.16</v>
      </c>
    </row>
    <row r="235" spans="1:6">
      <c r="A235">
        <v>2462</v>
      </c>
      <c r="B235" t="s">
        <v>891</v>
      </c>
      <c r="C235">
        <v>15.6</v>
      </c>
      <c r="D235">
        <f>VLOOKUP(A235,收盤價!A:C,3,0)</f>
        <v>17.75</v>
      </c>
      <c r="E235" s="126">
        <v>0.13782051282051286</v>
      </c>
      <c r="F235">
        <v>85.1</v>
      </c>
    </row>
    <row r="236" spans="1:6">
      <c r="A236">
        <v>1463</v>
      </c>
      <c r="B236" t="s">
        <v>611</v>
      </c>
      <c r="C236">
        <v>16</v>
      </c>
      <c r="D236">
        <f>VLOOKUP(A236,收盤價!A:C,3,0)</f>
        <v>18.2</v>
      </c>
      <c r="E236" s="126">
        <v>0.13749999999999996</v>
      </c>
      <c r="F236">
        <v>85.03</v>
      </c>
    </row>
    <row r="237" spans="1:6">
      <c r="A237">
        <v>6213</v>
      </c>
      <c r="B237" t="s">
        <v>1274</v>
      </c>
      <c r="C237">
        <v>23.3</v>
      </c>
      <c r="D237">
        <f>VLOOKUP(A237,收盤價!A:C,3,0)</f>
        <v>26.5</v>
      </c>
      <c r="E237" s="126">
        <v>0.13733905579399139</v>
      </c>
      <c r="F237">
        <v>84.97</v>
      </c>
    </row>
    <row r="238" spans="1:6">
      <c r="A238">
        <v>8176</v>
      </c>
      <c r="B238" t="s">
        <v>1787</v>
      </c>
      <c r="C238">
        <v>7.92</v>
      </c>
      <c r="D238">
        <f>VLOOKUP(A238,收盤價!A:C,3,0)</f>
        <v>9</v>
      </c>
      <c r="E238" s="126">
        <v>0.13636363636363638</v>
      </c>
      <c r="F238">
        <v>84.91</v>
      </c>
    </row>
    <row r="239" spans="1:6">
      <c r="A239">
        <v>8287</v>
      </c>
      <c r="B239" t="s">
        <v>1794</v>
      </c>
      <c r="C239">
        <v>16.8</v>
      </c>
      <c r="D239">
        <f>VLOOKUP(A239,收盤價!A:C,3,0)</f>
        <v>19.05</v>
      </c>
      <c r="E239" s="126">
        <v>0.13392857142857142</v>
      </c>
      <c r="F239">
        <v>84.84</v>
      </c>
    </row>
    <row r="240" spans="1:6">
      <c r="A240">
        <v>2038</v>
      </c>
      <c r="B240" t="s">
        <v>752</v>
      </c>
      <c r="C240">
        <v>5.83</v>
      </c>
      <c r="D240">
        <f>VLOOKUP(A240,收盤價!A:C,3,0)</f>
        <v>6.61</v>
      </c>
      <c r="E240" s="126">
        <v>0.1337907375643225</v>
      </c>
      <c r="F240">
        <v>84.78</v>
      </c>
    </row>
    <row r="241" spans="1:6">
      <c r="A241">
        <v>5450</v>
      </c>
      <c r="B241" t="s">
        <v>415</v>
      </c>
      <c r="C241">
        <v>8.3000000000000007</v>
      </c>
      <c r="D241">
        <f>VLOOKUP(A241,收盤價!A:C,3,0)</f>
        <v>9.4</v>
      </c>
      <c r="E241" s="126">
        <v>0.13253012048192767</v>
      </c>
      <c r="F241">
        <v>84.72</v>
      </c>
    </row>
    <row r="242" spans="1:6">
      <c r="A242">
        <v>1418</v>
      </c>
      <c r="B242" t="s">
        <v>583</v>
      </c>
      <c r="C242">
        <v>4.95</v>
      </c>
      <c r="D242">
        <f>VLOOKUP(A242,收盤價!A:C,3,0)</f>
        <v>5.6</v>
      </c>
      <c r="E242" s="126">
        <v>0.13131313131313119</v>
      </c>
      <c r="F242">
        <v>84.65</v>
      </c>
    </row>
    <row r="243" spans="1:6">
      <c r="A243">
        <v>3679</v>
      </c>
      <c r="B243" t="s">
        <v>1147</v>
      </c>
      <c r="C243">
        <v>42</v>
      </c>
      <c r="D243">
        <f>VLOOKUP(A243,收盤價!A:C,3,0)</f>
        <v>47.45</v>
      </c>
      <c r="E243" s="126">
        <v>0.12976190476190483</v>
      </c>
      <c r="F243">
        <v>84.59</v>
      </c>
    </row>
    <row r="244" spans="1:6">
      <c r="A244">
        <v>5478</v>
      </c>
      <c r="B244" t="s">
        <v>421</v>
      </c>
      <c r="C244">
        <v>64.8</v>
      </c>
      <c r="D244">
        <f>VLOOKUP(A244,收盤價!A:C,3,0)</f>
        <v>73.2</v>
      </c>
      <c r="E244" s="126">
        <v>0.12962962962962973</v>
      </c>
      <c r="F244">
        <v>84.53</v>
      </c>
    </row>
    <row r="245" spans="1:6">
      <c r="A245">
        <v>2030</v>
      </c>
      <c r="B245" t="s">
        <v>747</v>
      </c>
      <c r="C245">
        <v>10.050000000000001</v>
      </c>
      <c r="D245">
        <f>VLOOKUP(A245,收盤價!A:C,3,0)</f>
        <v>11.35</v>
      </c>
      <c r="E245" s="126">
        <v>0.12935323383084565</v>
      </c>
      <c r="F245">
        <v>84.46</v>
      </c>
    </row>
    <row r="246" spans="1:6">
      <c r="A246">
        <v>5434</v>
      </c>
      <c r="B246" t="s">
        <v>1217</v>
      </c>
      <c r="C246">
        <v>52.9</v>
      </c>
      <c r="D246">
        <f>VLOOKUP(A246,收盤價!A:C,3,0)</f>
        <v>59.7</v>
      </c>
      <c r="E246" s="126">
        <v>0.12854442344045378</v>
      </c>
      <c r="F246">
        <v>84.4</v>
      </c>
    </row>
    <row r="247" spans="1:6">
      <c r="A247">
        <v>1817</v>
      </c>
      <c r="B247" t="s">
        <v>720</v>
      </c>
      <c r="C247">
        <v>35.4</v>
      </c>
      <c r="D247">
        <f>VLOOKUP(A247,收盤價!A:C,3,0)</f>
        <v>39.950000000000003</v>
      </c>
      <c r="E247" s="126">
        <v>0.1285310734463278</v>
      </c>
      <c r="F247">
        <v>84.34</v>
      </c>
    </row>
    <row r="248" spans="1:6">
      <c r="A248">
        <v>5315</v>
      </c>
      <c r="B248" t="s">
        <v>1633</v>
      </c>
      <c r="C248">
        <v>25.95</v>
      </c>
      <c r="D248">
        <f>VLOOKUP(A248,收盤價!A:C,3,0)</f>
        <v>29.25</v>
      </c>
      <c r="E248" s="126">
        <v>0.12716763005780349</v>
      </c>
      <c r="F248">
        <v>84.27</v>
      </c>
    </row>
    <row r="249" spans="1:6">
      <c r="A249">
        <v>5015</v>
      </c>
      <c r="B249" t="s">
        <v>386</v>
      </c>
      <c r="C249">
        <v>17.7</v>
      </c>
      <c r="D249">
        <f>VLOOKUP(A249,收盤價!A:C,3,0)</f>
        <v>19.95</v>
      </c>
      <c r="E249" s="126">
        <v>0.1271186440677966</v>
      </c>
      <c r="F249">
        <v>84.21</v>
      </c>
    </row>
    <row r="250" spans="1:6">
      <c r="A250">
        <v>6108</v>
      </c>
      <c r="B250" t="s">
        <v>1238</v>
      </c>
      <c r="C250">
        <v>13.05</v>
      </c>
      <c r="D250">
        <f>VLOOKUP(A250,收盤價!A:C,3,0)</f>
        <v>14.7</v>
      </c>
      <c r="E250" s="126">
        <v>0.12643678160919528</v>
      </c>
      <c r="F250">
        <v>84.15</v>
      </c>
    </row>
    <row r="251" spans="1:6">
      <c r="A251">
        <v>4909</v>
      </c>
      <c r="B251" t="s">
        <v>376</v>
      </c>
      <c r="C251">
        <v>22.65</v>
      </c>
      <c r="D251">
        <f>VLOOKUP(A251,收盤價!A:C,3,0)</f>
        <v>25.5</v>
      </c>
      <c r="E251" s="126">
        <v>0.12582781456953648</v>
      </c>
      <c r="F251">
        <v>84.08</v>
      </c>
    </row>
    <row r="252" spans="1:6">
      <c r="A252">
        <v>5309</v>
      </c>
      <c r="B252" t="s">
        <v>1630</v>
      </c>
      <c r="C252">
        <v>16.7</v>
      </c>
      <c r="D252">
        <f>VLOOKUP(A252,收盤價!A:C,3,0)</f>
        <v>18.8</v>
      </c>
      <c r="E252" s="126">
        <v>0.12574850299401208</v>
      </c>
      <c r="F252">
        <v>84.02</v>
      </c>
    </row>
    <row r="253" spans="1:6">
      <c r="A253">
        <v>4111</v>
      </c>
      <c r="B253" t="s">
        <v>1542</v>
      </c>
      <c r="C253">
        <v>23.4</v>
      </c>
      <c r="D253">
        <f>VLOOKUP(A253,收盤價!A:C,3,0)</f>
        <v>26.3</v>
      </c>
      <c r="E253" s="126">
        <v>0.12393162393162403</v>
      </c>
      <c r="F253">
        <v>83.96</v>
      </c>
    </row>
    <row r="254" spans="1:6">
      <c r="A254">
        <v>2388</v>
      </c>
      <c r="B254" t="s">
        <v>836</v>
      </c>
      <c r="C254">
        <v>8</v>
      </c>
      <c r="D254">
        <f>VLOOKUP(A254,收盤價!A:C,3,0)</f>
        <v>8.99</v>
      </c>
      <c r="E254" s="126">
        <v>0.12375000000000003</v>
      </c>
      <c r="F254">
        <v>83.89</v>
      </c>
    </row>
    <row r="255" spans="1:6">
      <c r="A255">
        <v>4103</v>
      </c>
      <c r="B255" t="s">
        <v>1538</v>
      </c>
      <c r="C255">
        <v>84.1</v>
      </c>
      <c r="D255">
        <f>VLOOKUP(A255,收盤價!A:C,3,0)</f>
        <v>94.5</v>
      </c>
      <c r="E255" s="126">
        <v>0.12366230677764574</v>
      </c>
      <c r="F255">
        <v>83.83</v>
      </c>
    </row>
    <row r="256" spans="1:6">
      <c r="A256">
        <v>3209</v>
      </c>
      <c r="B256" t="s">
        <v>1084</v>
      </c>
      <c r="C256">
        <v>25.6</v>
      </c>
      <c r="D256">
        <f>VLOOKUP(A256,收盤價!A:C,3,0)</f>
        <v>28.75</v>
      </c>
      <c r="E256" s="126">
        <v>0.12304687499999994</v>
      </c>
      <c r="F256">
        <v>83.77</v>
      </c>
    </row>
    <row r="257" spans="1:6">
      <c r="A257">
        <v>1813</v>
      </c>
      <c r="B257" t="s">
        <v>256</v>
      </c>
      <c r="C257">
        <v>26.4</v>
      </c>
      <c r="D257">
        <f>VLOOKUP(A257,收盤價!A:C,3,0)</f>
        <v>29.6</v>
      </c>
      <c r="E257" s="126">
        <v>0.12121212121212133</v>
      </c>
      <c r="F257">
        <v>83.7</v>
      </c>
    </row>
    <row r="258" spans="1:6">
      <c r="A258">
        <v>3669</v>
      </c>
      <c r="B258" t="s">
        <v>1145</v>
      </c>
      <c r="C258">
        <v>14.45</v>
      </c>
      <c r="D258">
        <f>VLOOKUP(A258,收盤價!A:C,3,0)</f>
        <v>16.2</v>
      </c>
      <c r="E258" s="126">
        <v>0.12110726643598617</v>
      </c>
      <c r="F258">
        <v>83.64</v>
      </c>
    </row>
    <row r="259" spans="1:6">
      <c r="A259">
        <v>6170</v>
      </c>
      <c r="B259" t="s">
        <v>443</v>
      </c>
      <c r="C259">
        <v>9.1</v>
      </c>
      <c r="D259">
        <f>VLOOKUP(A259,收盤價!A:C,3,0)</f>
        <v>10.199999999999999</v>
      </c>
      <c r="E259" s="126">
        <v>0.12087912087912084</v>
      </c>
      <c r="F259">
        <v>83.58</v>
      </c>
    </row>
    <row r="260" spans="1:6">
      <c r="A260">
        <v>6223</v>
      </c>
      <c r="B260" t="s">
        <v>456</v>
      </c>
      <c r="C260">
        <v>71.599999999999994</v>
      </c>
      <c r="D260">
        <f>VLOOKUP(A260,收盤價!A:C,3,0)</f>
        <v>80.2</v>
      </c>
      <c r="E260" s="126">
        <v>0.12011173184357554</v>
      </c>
      <c r="F260">
        <v>83.51</v>
      </c>
    </row>
    <row r="261" spans="1:6">
      <c r="A261">
        <v>1530</v>
      </c>
      <c r="B261" t="s">
        <v>645</v>
      </c>
      <c r="C261">
        <v>29.3</v>
      </c>
      <c r="D261">
        <f>VLOOKUP(A261,收盤價!A:C,3,0)</f>
        <v>32.799999999999997</v>
      </c>
      <c r="E261" s="126">
        <v>0.11945392491467564</v>
      </c>
      <c r="F261">
        <v>83.45</v>
      </c>
    </row>
    <row r="262" spans="1:6">
      <c r="A262">
        <v>8109</v>
      </c>
      <c r="B262" t="s">
        <v>1781</v>
      </c>
      <c r="C262">
        <v>63</v>
      </c>
      <c r="D262">
        <f>VLOOKUP(A262,收盤價!A:C,3,0)</f>
        <v>70.5</v>
      </c>
      <c r="E262" s="126">
        <v>0.11904761904761904</v>
      </c>
      <c r="F262">
        <v>83.39</v>
      </c>
    </row>
    <row r="263" spans="1:6">
      <c r="A263">
        <v>5604</v>
      </c>
      <c r="B263" t="s">
        <v>1672</v>
      </c>
      <c r="C263">
        <v>35.700000000000003</v>
      </c>
      <c r="D263">
        <f>VLOOKUP(A263,收盤價!A:C,3,0)</f>
        <v>39.950000000000003</v>
      </c>
      <c r="E263" s="126">
        <v>0.11904761904761904</v>
      </c>
      <c r="F263">
        <v>83.32</v>
      </c>
    </row>
    <row r="264" spans="1:6">
      <c r="A264">
        <v>2451</v>
      </c>
      <c r="B264" t="s">
        <v>881</v>
      </c>
      <c r="C264">
        <v>90.3</v>
      </c>
      <c r="D264">
        <f>VLOOKUP(A264,收盤價!A:C,3,0)</f>
        <v>101</v>
      </c>
      <c r="E264" s="126">
        <v>0.11849390919158365</v>
      </c>
      <c r="F264">
        <v>83.26</v>
      </c>
    </row>
    <row r="265" spans="1:6">
      <c r="A265">
        <v>1605</v>
      </c>
      <c r="B265" t="s">
        <v>666</v>
      </c>
      <c r="C265">
        <v>7.94</v>
      </c>
      <c r="D265">
        <f>VLOOKUP(A265,收盤價!A:C,3,0)</f>
        <v>8.8800000000000008</v>
      </c>
      <c r="E265" s="126">
        <v>0.11838790931989929</v>
      </c>
      <c r="F265">
        <v>83.2</v>
      </c>
    </row>
    <row r="266" spans="1:6">
      <c r="A266">
        <v>5529</v>
      </c>
      <c r="B266" t="s">
        <v>1669</v>
      </c>
      <c r="C266">
        <v>8.8699999999999992</v>
      </c>
      <c r="D266">
        <f>VLOOKUP(A266,收盤價!A:C,3,0)</f>
        <v>9.92</v>
      </c>
      <c r="E266" s="126">
        <v>0.11837655016910945</v>
      </c>
      <c r="F266">
        <v>83.13</v>
      </c>
    </row>
    <row r="267" spans="1:6">
      <c r="A267">
        <v>5013</v>
      </c>
      <c r="B267" t="s">
        <v>1613</v>
      </c>
      <c r="C267">
        <v>16.100000000000001</v>
      </c>
      <c r="D267">
        <f>VLOOKUP(A267,收盤價!A:C,3,0)</f>
        <v>18</v>
      </c>
      <c r="E267" s="126">
        <v>0.11801242236024835</v>
      </c>
      <c r="F267">
        <v>83.07</v>
      </c>
    </row>
    <row r="268" spans="1:6">
      <c r="A268">
        <v>2535</v>
      </c>
      <c r="B268" t="s">
        <v>935</v>
      </c>
      <c r="C268">
        <v>14.85</v>
      </c>
      <c r="D268">
        <f>VLOOKUP(A268,收盤價!A:C,3,0)</f>
        <v>16.600000000000001</v>
      </c>
      <c r="E268" s="126">
        <v>0.11784511784511796</v>
      </c>
      <c r="F268">
        <v>83.01</v>
      </c>
    </row>
    <row r="269" spans="1:6">
      <c r="A269">
        <v>4947</v>
      </c>
      <c r="B269" t="s">
        <v>1604</v>
      </c>
      <c r="C269">
        <v>187.5</v>
      </c>
      <c r="D269">
        <f>VLOOKUP(A269,收盤價!A:C,3,0)</f>
        <v>209.5</v>
      </c>
      <c r="E269" s="126">
        <v>0.11733333333333333</v>
      </c>
      <c r="F269">
        <v>82.94</v>
      </c>
    </row>
    <row r="270" spans="1:6">
      <c r="A270">
        <v>1788</v>
      </c>
      <c r="B270" t="s">
        <v>1426</v>
      </c>
      <c r="C270">
        <v>90.4</v>
      </c>
      <c r="D270">
        <f>VLOOKUP(A270,收盤價!A:C,3,0)</f>
        <v>101</v>
      </c>
      <c r="E270" s="126">
        <v>0.11725663716814153</v>
      </c>
      <c r="F270">
        <v>82.88</v>
      </c>
    </row>
    <row r="271" spans="1:6">
      <c r="A271">
        <v>3338</v>
      </c>
      <c r="B271" t="s">
        <v>1095</v>
      </c>
      <c r="C271">
        <v>23.6</v>
      </c>
      <c r="D271">
        <f>VLOOKUP(A271,收盤價!A:C,3,0)</f>
        <v>26.35</v>
      </c>
      <c r="E271" s="126">
        <v>0.11652542372881355</v>
      </c>
      <c r="F271">
        <v>82.82</v>
      </c>
    </row>
    <row r="272" spans="1:6">
      <c r="A272">
        <v>8437</v>
      </c>
      <c r="B272" t="s">
        <v>1810</v>
      </c>
      <c r="C272">
        <v>142</v>
      </c>
      <c r="D272">
        <f>VLOOKUP(A272,收盤價!A:C,3,0)</f>
        <v>158.5</v>
      </c>
      <c r="E272" s="126">
        <v>0.11619718309859155</v>
      </c>
      <c r="F272">
        <v>82.75</v>
      </c>
    </row>
    <row r="273" spans="1:6">
      <c r="A273">
        <v>9945</v>
      </c>
      <c r="B273" t="s">
        <v>1408</v>
      </c>
      <c r="C273">
        <v>41.1</v>
      </c>
      <c r="D273">
        <f>VLOOKUP(A273,收盤價!A:C,3,0)</f>
        <v>45.85</v>
      </c>
      <c r="E273" s="126">
        <v>0.11557177615571776</v>
      </c>
      <c r="F273">
        <v>82.69</v>
      </c>
    </row>
    <row r="274" spans="1:6">
      <c r="A274">
        <v>8066</v>
      </c>
      <c r="B274" t="s">
        <v>1766</v>
      </c>
      <c r="C274">
        <v>96</v>
      </c>
      <c r="D274">
        <f>VLOOKUP(A274,收盤價!A:C,3,0)</f>
        <v>107</v>
      </c>
      <c r="E274" s="126">
        <v>0.11458333333333333</v>
      </c>
      <c r="F274">
        <v>82.63</v>
      </c>
    </row>
    <row r="275" spans="1:6">
      <c r="A275">
        <v>3541</v>
      </c>
      <c r="B275" t="s">
        <v>1511</v>
      </c>
      <c r="C275">
        <v>79.599999999999994</v>
      </c>
      <c r="D275">
        <f>VLOOKUP(A275,收盤價!A:C,3,0)</f>
        <v>88.7</v>
      </c>
      <c r="E275" s="126">
        <v>0.11432160804020113</v>
      </c>
      <c r="F275">
        <v>82.56</v>
      </c>
    </row>
    <row r="276" spans="1:6">
      <c r="A276">
        <v>1464</v>
      </c>
      <c r="B276" t="s">
        <v>612</v>
      </c>
      <c r="C276">
        <v>33.700000000000003</v>
      </c>
      <c r="D276">
        <f>VLOOKUP(A276,收盤價!A:C,3,0)</f>
        <v>37.549999999999997</v>
      </c>
      <c r="E276" s="126">
        <v>0.11424332344213632</v>
      </c>
      <c r="F276">
        <v>82.5</v>
      </c>
    </row>
    <row r="277" spans="1:6">
      <c r="A277">
        <v>4162</v>
      </c>
      <c r="B277" t="s">
        <v>352</v>
      </c>
      <c r="C277">
        <v>214.5</v>
      </c>
      <c r="D277">
        <f>VLOOKUP(A277,收盤價!A:C,3,0)</f>
        <v>239</v>
      </c>
      <c r="E277" s="126">
        <v>0.11421911421911422</v>
      </c>
      <c r="F277">
        <v>82.44</v>
      </c>
    </row>
    <row r="278" spans="1:6">
      <c r="A278">
        <v>3662</v>
      </c>
      <c r="B278" t="s">
        <v>1528</v>
      </c>
      <c r="C278">
        <v>90.7</v>
      </c>
      <c r="D278">
        <f>VLOOKUP(A278,收盤價!A:C,3,0)</f>
        <v>101</v>
      </c>
      <c r="E278" s="126">
        <v>0.11356119073869897</v>
      </c>
      <c r="F278">
        <v>82.37</v>
      </c>
    </row>
    <row r="279" spans="1:6">
      <c r="A279">
        <v>2006</v>
      </c>
      <c r="B279" t="s">
        <v>729</v>
      </c>
      <c r="C279">
        <v>18.5</v>
      </c>
      <c r="D279">
        <f>VLOOKUP(A279,收盤價!A:C,3,0)</f>
        <v>20.6</v>
      </c>
      <c r="E279" s="126">
        <v>0.11351351351351359</v>
      </c>
      <c r="F279">
        <v>82.31</v>
      </c>
    </row>
    <row r="280" spans="1:6">
      <c r="A280">
        <v>8444</v>
      </c>
      <c r="B280" t="s">
        <v>1855</v>
      </c>
      <c r="C280">
        <v>66.400000000000006</v>
      </c>
      <c r="D280">
        <f>VLOOKUP(A280,收盤價!A:C,3,0)</f>
        <v>73.900000000000006</v>
      </c>
      <c r="E280" s="126">
        <v>0.11295180722891565</v>
      </c>
      <c r="F280">
        <v>82.24</v>
      </c>
    </row>
    <row r="281" spans="1:6">
      <c r="A281">
        <v>8084</v>
      </c>
      <c r="B281" t="s">
        <v>1773</v>
      </c>
      <c r="C281">
        <v>24</v>
      </c>
      <c r="D281">
        <f>VLOOKUP(A281,收盤價!A:C,3,0)</f>
        <v>26.7</v>
      </c>
      <c r="E281" s="126">
        <v>0.11249999999999998</v>
      </c>
      <c r="F281">
        <v>82.18</v>
      </c>
    </row>
    <row r="282" spans="1:6">
      <c r="A282">
        <v>4934</v>
      </c>
      <c r="B282" t="s">
        <v>1191</v>
      </c>
      <c r="C282">
        <v>19.149999999999999</v>
      </c>
      <c r="D282">
        <f>VLOOKUP(A282,收盤價!A:C,3,0)</f>
        <v>21.3</v>
      </c>
      <c r="E282" s="126">
        <v>0.11227154046997401</v>
      </c>
      <c r="F282">
        <v>82.12</v>
      </c>
    </row>
    <row r="283" spans="1:6">
      <c r="A283">
        <v>6124</v>
      </c>
      <c r="B283" t="s">
        <v>1695</v>
      </c>
      <c r="C283">
        <v>24.5</v>
      </c>
      <c r="D283">
        <f>VLOOKUP(A283,收盤價!A:C,3,0)</f>
        <v>27.25</v>
      </c>
      <c r="E283" s="126">
        <v>0.11224489795918367</v>
      </c>
      <c r="F283">
        <v>82.05</v>
      </c>
    </row>
    <row r="284" spans="1:6">
      <c r="A284">
        <v>6143</v>
      </c>
      <c r="B284" t="s">
        <v>1702</v>
      </c>
      <c r="C284">
        <v>69.599999999999994</v>
      </c>
      <c r="D284">
        <f>VLOOKUP(A284,收盤價!A:C,3,0)</f>
        <v>77.400000000000006</v>
      </c>
      <c r="E284" s="126">
        <v>0.11206896551724155</v>
      </c>
      <c r="F284">
        <v>81.99</v>
      </c>
    </row>
    <row r="285" spans="1:6">
      <c r="A285">
        <v>2325</v>
      </c>
      <c r="B285" t="s">
        <v>790</v>
      </c>
      <c r="C285">
        <v>44.3</v>
      </c>
      <c r="D285">
        <f>VLOOKUP(A285,收盤價!A:C,3,0)</f>
        <v>49.25</v>
      </c>
      <c r="E285" s="126">
        <v>0.11173814898419872</v>
      </c>
      <c r="F285">
        <v>81.93</v>
      </c>
    </row>
    <row r="286" spans="1:6">
      <c r="A286">
        <v>3015</v>
      </c>
      <c r="B286" t="s">
        <v>1831</v>
      </c>
      <c r="C286">
        <v>20.7</v>
      </c>
      <c r="D286">
        <f>VLOOKUP(A286,收盤價!A:C,3,0)</f>
        <v>23</v>
      </c>
      <c r="E286" s="126">
        <v>0.11111111111111115</v>
      </c>
      <c r="F286">
        <v>81.86</v>
      </c>
    </row>
    <row r="287" spans="1:6">
      <c r="A287">
        <v>2841</v>
      </c>
      <c r="B287" t="s">
        <v>988</v>
      </c>
      <c r="C287">
        <v>11</v>
      </c>
      <c r="D287">
        <f>VLOOKUP(A287,收盤價!A:C,3,0)</f>
        <v>12.2</v>
      </c>
      <c r="E287" s="126">
        <v>0.10909090909090903</v>
      </c>
      <c r="F287">
        <v>81.8</v>
      </c>
    </row>
    <row r="288" spans="1:6">
      <c r="A288">
        <v>6488</v>
      </c>
      <c r="B288" t="s">
        <v>1750</v>
      </c>
      <c r="C288">
        <v>72.5</v>
      </c>
      <c r="D288">
        <f>VLOOKUP(A288,收盤價!A:C,3,0)</f>
        <v>80.400000000000006</v>
      </c>
      <c r="E288" s="126">
        <v>0.10896551724137939</v>
      </c>
      <c r="F288">
        <v>81.739999999999995</v>
      </c>
    </row>
    <row r="289" spans="1:6">
      <c r="A289">
        <v>6175</v>
      </c>
      <c r="B289" t="s">
        <v>445</v>
      </c>
      <c r="C289">
        <v>12.9</v>
      </c>
      <c r="D289">
        <f>VLOOKUP(A289,收盤價!A:C,3,0)</f>
        <v>14.3</v>
      </c>
      <c r="E289" s="126">
        <v>0.10852713178294576</v>
      </c>
      <c r="F289">
        <v>81.67</v>
      </c>
    </row>
    <row r="290" spans="1:6">
      <c r="A290">
        <v>9935</v>
      </c>
      <c r="B290" t="s">
        <v>1399</v>
      </c>
      <c r="C290">
        <v>10.15</v>
      </c>
      <c r="D290">
        <f>VLOOKUP(A290,收盤價!A:C,3,0)</f>
        <v>11.25</v>
      </c>
      <c r="E290" s="126">
        <v>0.10837438423645317</v>
      </c>
      <c r="F290">
        <v>81.61</v>
      </c>
    </row>
    <row r="291" spans="1:6">
      <c r="A291">
        <v>2493</v>
      </c>
      <c r="B291" t="s">
        <v>914</v>
      </c>
      <c r="C291">
        <v>21.5</v>
      </c>
      <c r="D291">
        <f>VLOOKUP(A291,收盤價!A:C,3,0)</f>
        <v>23.8</v>
      </c>
      <c r="E291" s="126">
        <v>0.10697674418604654</v>
      </c>
      <c r="F291">
        <v>81.55</v>
      </c>
    </row>
    <row r="292" spans="1:6">
      <c r="A292">
        <v>4105</v>
      </c>
      <c r="B292" t="s">
        <v>1539</v>
      </c>
      <c r="C292">
        <v>94</v>
      </c>
      <c r="D292">
        <f>VLOOKUP(A292,收盤價!A:C,3,0)</f>
        <v>104</v>
      </c>
      <c r="E292" s="126">
        <v>0.10638297872340426</v>
      </c>
      <c r="F292">
        <v>81.48</v>
      </c>
    </row>
    <row r="293" spans="1:6">
      <c r="A293">
        <v>1312</v>
      </c>
      <c r="B293" t="s">
        <v>560</v>
      </c>
      <c r="C293">
        <v>16</v>
      </c>
      <c r="D293">
        <f>VLOOKUP(A293,收盤價!A:C,3,0)</f>
        <v>17.7</v>
      </c>
      <c r="E293" s="126">
        <v>0.10624999999999996</v>
      </c>
      <c r="F293">
        <v>81.42</v>
      </c>
    </row>
    <row r="294" spans="1:6">
      <c r="A294">
        <v>6210</v>
      </c>
      <c r="B294" t="s">
        <v>1722</v>
      </c>
      <c r="C294">
        <v>42.85</v>
      </c>
      <c r="D294">
        <f>VLOOKUP(A294,收盤價!A:C,3,0)</f>
        <v>47.4</v>
      </c>
      <c r="E294" s="126">
        <v>0.1061843640606767</v>
      </c>
      <c r="F294">
        <v>81.36</v>
      </c>
    </row>
    <row r="295" spans="1:6">
      <c r="A295">
        <v>3047</v>
      </c>
      <c r="B295" t="s">
        <v>1063</v>
      </c>
      <c r="C295">
        <v>10.85</v>
      </c>
      <c r="D295">
        <f>VLOOKUP(A295,收盤價!A:C,3,0)</f>
        <v>12</v>
      </c>
      <c r="E295" s="126">
        <v>0.10599078341013829</v>
      </c>
      <c r="F295">
        <v>81.290000000000006</v>
      </c>
    </row>
    <row r="296" spans="1:6">
      <c r="A296">
        <v>2476</v>
      </c>
      <c r="B296" t="s">
        <v>900</v>
      </c>
      <c r="C296">
        <v>22</v>
      </c>
      <c r="D296">
        <f>VLOOKUP(A296,收盤價!A:C,3,0)</f>
        <v>24.3</v>
      </c>
      <c r="E296" s="126">
        <v>0.10454545454545458</v>
      </c>
      <c r="F296">
        <v>81.23</v>
      </c>
    </row>
    <row r="297" spans="1:6">
      <c r="A297">
        <v>1234</v>
      </c>
      <c r="B297" t="s">
        <v>548</v>
      </c>
      <c r="C297">
        <v>32.6</v>
      </c>
      <c r="D297">
        <f>VLOOKUP(A297,收盤價!A:C,3,0)</f>
        <v>36</v>
      </c>
      <c r="E297" s="126">
        <v>0.10429447852760731</v>
      </c>
      <c r="F297">
        <v>81.17</v>
      </c>
    </row>
    <row r="298" spans="1:6">
      <c r="A298">
        <v>3054</v>
      </c>
      <c r="B298" t="s">
        <v>1069</v>
      </c>
      <c r="C298">
        <v>18.8</v>
      </c>
      <c r="D298">
        <f>VLOOKUP(A298,收盤價!A:C,3,0)</f>
        <v>20.75</v>
      </c>
      <c r="E298" s="126">
        <v>0.1037234042553191</v>
      </c>
      <c r="F298">
        <v>81.099999999999994</v>
      </c>
    </row>
    <row r="299" spans="1:6">
      <c r="A299">
        <v>8105</v>
      </c>
      <c r="B299" t="s">
        <v>1325</v>
      </c>
      <c r="C299">
        <v>17.5</v>
      </c>
      <c r="D299">
        <f>VLOOKUP(A299,收盤價!A:C,3,0)</f>
        <v>19.3</v>
      </c>
      <c r="E299" s="126">
        <v>0.1028571428571429</v>
      </c>
      <c r="F299">
        <v>81.040000000000006</v>
      </c>
    </row>
    <row r="300" spans="1:6">
      <c r="A300">
        <v>5212</v>
      </c>
      <c r="B300" t="s">
        <v>1620</v>
      </c>
      <c r="C300">
        <v>18</v>
      </c>
      <c r="D300">
        <f>VLOOKUP(A300,收盤價!A:C,3,0)</f>
        <v>19.850000000000001</v>
      </c>
      <c r="E300" s="126">
        <v>0.10277777777777786</v>
      </c>
      <c r="F300">
        <v>80.98</v>
      </c>
    </row>
    <row r="301" spans="1:6">
      <c r="A301">
        <v>5438</v>
      </c>
      <c r="B301" t="s">
        <v>1650</v>
      </c>
      <c r="C301">
        <v>13.65</v>
      </c>
      <c r="D301">
        <f>VLOOKUP(A301,收盤價!A:C,3,0)</f>
        <v>15.05</v>
      </c>
      <c r="E301" s="126">
        <v>0.10256410256410259</v>
      </c>
      <c r="F301">
        <v>80.91</v>
      </c>
    </row>
    <row r="302" spans="1:6">
      <c r="A302">
        <v>6138</v>
      </c>
      <c r="B302" t="s">
        <v>1700</v>
      </c>
      <c r="C302">
        <v>22.45</v>
      </c>
      <c r="D302">
        <f>VLOOKUP(A302,收盤價!A:C,3,0)</f>
        <v>24.75</v>
      </c>
      <c r="E302" s="126">
        <v>0.10244988864142543</v>
      </c>
      <c r="F302">
        <v>80.849999999999994</v>
      </c>
    </row>
    <row r="303" spans="1:6">
      <c r="A303">
        <v>2002</v>
      </c>
      <c r="B303" t="s">
        <v>727</v>
      </c>
      <c r="C303">
        <v>20.5</v>
      </c>
      <c r="D303">
        <f>VLOOKUP(A303,收盤價!A:C,3,0)</f>
        <v>22.6</v>
      </c>
      <c r="E303" s="126">
        <v>0.10243902439024397</v>
      </c>
      <c r="F303">
        <v>80.790000000000006</v>
      </c>
    </row>
    <row r="304" spans="1:6">
      <c r="A304">
        <v>2358</v>
      </c>
      <c r="B304" t="s">
        <v>813</v>
      </c>
      <c r="C304">
        <v>9.17</v>
      </c>
      <c r="D304">
        <f>VLOOKUP(A304,收盤價!A:C,3,0)</f>
        <v>10.1</v>
      </c>
      <c r="E304" s="126">
        <v>0.10141766630316246</v>
      </c>
      <c r="F304">
        <v>80.72</v>
      </c>
    </row>
    <row r="305" spans="1:6">
      <c r="A305">
        <v>2379</v>
      </c>
      <c r="B305" t="s">
        <v>830</v>
      </c>
      <c r="C305">
        <v>74.2</v>
      </c>
      <c r="D305">
        <f>VLOOKUP(A305,收盤價!A:C,3,0)</f>
        <v>81.7</v>
      </c>
      <c r="E305" s="126">
        <v>0.10107816711590296</v>
      </c>
      <c r="F305">
        <v>80.66</v>
      </c>
    </row>
    <row r="306" spans="1:6">
      <c r="A306">
        <v>6282</v>
      </c>
      <c r="B306" t="s">
        <v>1292</v>
      </c>
      <c r="C306">
        <v>23.75</v>
      </c>
      <c r="D306">
        <f>VLOOKUP(A306,收盤價!A:C,3,0)</f>
        <v>26.15</v>
      </c>
      <c r="E306" s="126">
        <v>0.10105263157894731</v>
      </c>
      <c r="F306">
        <v>80.599999999999994</v>
      </c>
    </row>
    <row r="307" spans="1:6">
      <c r="A307">
        <v>2393</v>
      </c>
      <c r="B307" t="s">
        <v>839</v>
      </c>
      <c r="C307">
        <v>50.5</v>
      </c>
      <c r="D307">
        <f>VLOOKUP(A307,收盤價!A:C,3,0)</f>
        <v>55.6</v>
      </c>
      <c r="E307" s="126">
        <v>0.10099009900990102</v>
      </c>
      <c r="F307">
        <v>80.53</v>
      </c>
    </row>
    <row r="308" spans="1:6">
      <c r="A308">
        <v>4924</v>
      </c>
      <c r="B308" t="s">
        <v>1601</v>
      </c>
      <c r="C308">
        <v>6.95</v>
      </c>
      <c r="D308">
        <f>VLOOKUP(A308,收盤價!A:C,3,0)</f>
        <v>7.65</v>
      </c>
      <c r="E308" s="126">
        <v>0.10071942446043168</v>
      </c>
      <c r="F308">
        <v>80.47</v>
      </c>
    </row>
    <row r="309" spans="1:6">
      <c r="A309">
        <v>8112</v>
      </c>
      <c r="B309" t="s">
        <v>1327</v>
      </c>
      <c r="C309">
        <v>14</v>
      </c>
      <c r="D309">
        <f>VLOOKUP(A309,收盤價!A:C,3,0)</f>
        <v>15.4</v>
      </c>
      <c r="E309" s="126">
        <v>0.10000000000000002</v>
      </c>
      <c r="F309">
        <v>80.41</v>
      </c>
    </row>
    <row r="310" spans="1:6">
      <c r="A310">
        <v>2488</v>
      </c>
      <c r="B310" t="s">
        <v>910</v>
      </c>
      <c r="C310">
        <v>30</v>
      </c>
      <c r="D310">
        <f>VLOOKUP(A310,收盤價!A:C,3,0)</f>
        <v>33</v>
      </c>
      <c r="E310" s="126">
        <v>0.1</v>
      </c>
      <c r="F310">
        <v>80.34</v>
      </c>
    </row>
    <row r="311" spans="1:6">
      <c r="A311">
        <v>6505</v>
      </c>
      <c r="B311" t="s">
        <v>1311</v>
      </c>
      <c r="C311">
        <v>81.099999999999994</v>
      </c>
      <c r="D311">
        <f>VLOOKUP(A311,收盤價!A:C,3,0)</f>
        <v>89.2</v>
      </c>
      <c r="E311" s="126">
        <v>9.9876695437731311E-2</v>
      </c>
      <c r="F311">
        <v>80.28</v>
      </c>
    </row>
    <row r="312" spans="1:6">
      <c r="A312">
        <v>1513</v>
      </c>
      <c r="B312" t="s">
        <v>631</v>
      </c>
      <c r="C312">
        <v>17.55</v>
      </c>
      <c r="D312">
        <f>VLOOKUP(A312,收盤價!A:C,3,0)</f>
        <v>19.3</v>
      </c>
      <c r="E312" s="126">
        <v>9.9715099715099717E-2</v>
      </c>
      <c r="F312">
        <v>80.22</v>
      </c>
    </row>
    <row r="313" spans="1:6">
      <c r="A313">
        <v>8222</v>
      </c>
      <c r="B313" t="s">
        <v>1336</v>
      </c>
      <c r="C313">
        <v>25.6</v>
      </c>
      <c r="D313">
        <f>VLOOKUP(A313,收盤價!A:C,3,0)</f>
        <v>28.15</v>
      </c>
      <c r="E313" s="126">
        <v>9.9609374999999889E-2</v>
      </c>
      <c r="F313">
        <v>80.150000000000006</v>
      </c>
    </row>
    <row r="314" spans="1:6">
      <c r="A314">
        <v>2436</v>
      </c>
      <c r="B314" t="s">
        <v>869</v>
      </c>
      <c r="C314">
        <v>20.100000000000001</v>
      </c>
      <c r="D314">
        <f>VLOOKUP(A314,收盤價!A:C,3,0)</f>
        <v>22.1</v>
      </c>
      <c r="E314" s="126">
        <v>9.9502487562189046E-2</v>
      </c>
      <c r="F314">
        <v>80.09</v>
      </c>
    </row>
    <row r="315" spans="1:6">
      <c r="A315">
        <v>4527</v>
      </c>
      <c r="B315" t="s">
        <v>1579</v>
      </c>
      <c r="C315">
        <v>23.2</v>
      </c>
      <c r="D315">
        <f>VLOOKUP(A315,收盤價!A:C,3,0)</f>
        <v>25.5</v>
      </c>
      <c r="E315" s="126">
        <v>9.913793103448279E-2</v>
      </c>
      <c r="F315">
        <v>80.03</v>
      </c>
    </row>
    <row r="316" spans="1:6">
      <c r="A316">
        <v>2023</v>
      </c>
      <c r="B316" t="s">
        <v>741</v>
      </c>
      <c r="C316">
        <v>7.97</v>
      </c>
      <c r="D316">
        <f>VLOOKUP(A316,收盤價!A:C,3,0)</f>
        <v>8.76</v>
      </c>
      <c r="E316" s="126">
        <v>9.9121706398996243E-2</v>
      </c>
      <c r="F316">
        <v>79.959999999999994</v>
      </c>
    </row>
    <row r="317" spans="1:6">
      <c r="A317">
        <v>6198</v>
      </c>
      <c r="B317" t="s">
        <v>1718</v>
      </c>
      <c r="C317">
        <v>14.4</v>
      </c>
      <c r="D317">
        <f>VLOOKUP(A317,收盤價!A:C,3,0)</f>
        <v>15.8</v>
      </c>
      <c r="E317" s="126">
        <v>9.7222222222222238E-2</v>
      </c>
      <c r="F317">
        <v>79.900000000000006</v>
      </c>
    </row>
    <row r="318" spans="1:6">
      <c r="A318">
        <v>3044</v>
      </c>
      <c r="B318" t="s">
        <v>1060</v>
      </c>
      <c r="C318">
        <v>53.8</v>
      </c>
      <c r="D318">
        <f>VLOOKUP(A318,收盤價!A:C,3,0)</f>
        <v>59</v>
      </c>
      <c r="E318" s="126">
        <v>9.6654275092936864E-2</v>
      </c>
      <c r="F318">
        <v>79.84</v>
      </c>
    </row>
    <row r="319" spans="1:6">
      <c r="A319">
        <v>2458</v>
      </c>
      <c r="B319" t="s">
        <v>887</v>
      </c>
      <c r="C319">
        <v>38.5</v>
      </c>
      <c r="D319">
        <f>VLOOKUP(A319,收盤價!A:C,3,0)</f>
        <v>42.2</v>
      </c>
      <c r="E319" s="126">
        <v>9.6103896103896178E-2</v>
      </c>
      <c r="F319">
        <v>79.77</v>
      </c>
    </row>
    <row r="320" spans="1:6">
      <c r="A320">
        <v>3527</v>
      </c>
      <c r="B320" t="s">
        <v>321</v>
      </c>
      <c r="C320">
        <v>47.5</v>
      </c>
      <c r="D320">
        <f>VLOOKUP(A320,收盤價!A:C,3,0)</f>
        <v>52</v>
      </c>
      <c r="E320" s="126">
        <v>9.4736842105263161E-2</v>
      </c>
      <c r="F320">
        <v>79.709999999999994</v>
      </c>
    </row>
    <row r="321" spans="1:6">
      <c r="A321">
        <v>4906</v>
      </c>
      <c r="B321" t="s">
        <v>1184</v>
      </c>
      <c r="C321">
        <v>17.45</v>
      </c>
      <c r="D321">
        <f>VLOOKUP(A321,收盤價!A:C,3,0)</f>
        <v>19.100000000000001</v>
      </c>
      <c r="E321" s="126">
        <v>9.4555873925501563E-2</v>
      </c>
      <c r="F321">
        <v>79.64</v>
      </c>
    </row>
    <row r="322" spans="1:6">
      <c r="A322">
        <v>6023</v>
      </c>
      <c r="B322" t="s">
        <v>1682</v>
      </c>
      <c r="C322">
        <v>36</v>
      </c>
      <c r="D322">
        <f>VLOOKUP(A322,收盤價!A:C,3,0)</f>
        <v>39.4</v>
      </c>
      <c r="E322" s="126">
        <v>9.44444444444444E-2</v>
      </c>
      <c r="F322">
        <v>79.58</v>
      </c>
    </row>
    <row r="323" spans="1:6">
      <c r="A323">
        <v>6201</v>
      </c>
      <c r="B323" t="s">
        <v>1269</v>
      </c>
      <c r="C323">
        <v>24.65</v>
      </c>
      <c r="D323">
        <f>VLOOKUP(A323,收盤價!A:C,3,0)</f>
        <v>26.95</v>
      </c>
      <c r="E323" s="126">
        <v>9.3306288032454401E-2</v>
      </c>
      <c r="F323">
        <v>79.52</v>
      </c>
    </row>
    <row r="324" spans="1:6">
      <c r="A324">
        <v>2029</v>
      </c>
      <c r="B324" t="s">
        <v>746</v>
      </c>
      <c r="C324">
        <v>18.25</v>
      </c>
      <c r="D324">
        <f>VLOOKUP(A324,收盤價!A:C,3,0)</f>
        <v>19.95</v>
      </c>
      <c r="E324" s="126">
        <v>9.3150684931506814E-2</v>
      </c>
      <c r="F324">
        <v>79.45</v>
      </c>
    </row>
    <row r="325" spans="1:6">
      <c r="A325">
        <v>5523</v>
      </c>
      <c r="B325" t="s">
        <v>425</v>
      </c>
      <c r="C325">
        <v>7.95</v>
      </c>
      <c r="D325">
        <f>VLOOKUP(A325,收盤價!A:C,3,0)</f>
        <v>8.69</v>
      </c>
      <c r="E325" s="126">
        <v>9.3081761006289218E-2</v>
      </c>
      <c r="F325">
        <v>79.39</v>
      </c>
    </row>
    <row r="326" spans="1:6">
      <c r="A326">
        <v>2546</v>
      </c>
      <c r="B326" t="s">
        <v>944</v>
      </c>
      <c r="C326">
        <v>15.2</v>
      </c>
      <c r="D326">
        <f>VLOOKUP(A326,收盤價!A:C,3,0)</f>
        <v>16.600000000000001</v>
      </c>
      <c r="E326" s="126">
        <v>9.2105263157894884E-2</v>
      </c>
      <c r="F326">
        <v>79.33</v>
      </c>
    </row>
    <row r="327" spans="1:6">
      <c r="A327">
        <v>2537</v>
      </c>
      <c r="B327" t="s">
        <v>937</v>
      </c>
      <c r="C327">
        <v>8.6999999999999993</v>
      </c>
      <c r="D327">
        <f>VLOOKUP(A327,收盤價!A:C,3,0)</f>
        <v>9.5</v>
      </c>
      <c r="E327" s="126">
        <v>9.1954022988505843E-2</v>
      </c>
      <c r="F327">
        <v>79.260000000000005</v>
      </c>
    </row>
    <row r="328" spans="1:6">
      <c r="A328">
        <v>3128</v>
      </c>
      <c r="B328" t="s">
        <v>1455</v>
      </c>
      <c r="C328">
        <v>13.1</v>
      </c>
      <c r="D328">
        <f>VLOOKUP(A328,收盤價!A:C,3,0)</f>
        <v>14.3</v>
      </c>
      <c r="E328" s="126">
        <v>9.1603053435114587E-2</v>
      </c>
      <c r="F328">
        <v>79.2</v>
      </c>
    </row>
    <row r="329" spans="1:6">
      <c r="A329">
        <v>1526</v>
      </c>
      <c r="B329" t="s">
        <v>641</v>
      </c>
      <c r="C329">
        <v>13.1</v>
      </c>
      <c r="D329">
        <f>VLOOKUP(A329,收盤價!A:C,3,0)</f>
        <v>14.3</v>
      </c>
      <c r="E329" s="126">
        <v>9.1603053435114587E-2</v>
      </c>
      <c r="F329">
        <v>79.14</v>
      </c>
    </row>
    <row r="330" spans="1:6">
      <c r="A330">
        <v>5264</v>
      </c>
      <c r="B330" t="s">
        <v>1211</v>
      </c>
      <c r="C330">
        <v>160</v>
      </c>
      <c r="D330">
        <f>VLOOKUP(A330,收盤價!A:C,3,0)</f>
        <v>174.5</v>
      </c>
      <c r="E330" s="126">
        <v>9.0624999999999997E-2</v>
      </c>
      <c r="F330">
        <v>79.069999999999993</v>
      </c>
    </row>
    <row r="331" spans="1:6">
      <c r="A331">
        <v>1730</v>
      </c>
      <c r="B331" t="s">
        <v>701</v>
      </c>
      <c r="C331">
        <v>33.799999999999997</v>
      </c>
      <c r="D331">
        <f>VLOOKUP(A331,收盤價!A:C,3,0)</f>
        <v>36.85</v>
      </c>
      <c r="E331" s="126">
        <v>9.0236686390532672E-2</v>
      </c>
      <c r="F331">
        <v>79.010000000000005</v>
      </c>
    </row>
    <row r="332" spans="1:6">
      <c r="A332">
        <v>4729</v>
      </c>
      <c r="B332" t="s">
        <v>374</v>
      </c>
      <c r="C332">
        <v>13.3</v>
      </c>
      <c r="D332">
        <f>VLOOKUP(A332,收盤價!A:C,3,0)</f>
        <v>14.5</v>
      </c>
      <c r="E332" s="126">
        <v>9.0225563909774376E-2</v>
      </c>
      <c r="F332">
        <v>78.95</v>
      </c>
    </row>
    <row r="333" spans="1:6">
      <c r="A333">
        <v>8093</v>
      </c>
      <c r="B333" t="s">
        <v>1777</v>
      </c>
      <c r="C333">
        <v>5.55</v>
      </c>
      <c r="D333">
        <f>VLOOKUP(A333,收盤價!A:C,3,0)</f>
        <v>6.04</v>
      </c>
      <c r="E333" s="126">
        <v>8.828828828828833E-2</v>
      </c>
      <c r="F333">
        <v>78.88</v>
      </c>
    </row>
    <row r="334" spans="1:6">
      <c r="A334">
        <v>8210</v>
      </c>
      <c r="B334" t="s">
        <v>1333</v>
      </c>
      <c r="C334">
        <v>38.6</v>
      </c>
      <c r="D334">
        <f>VLOOKUP(A334,收盤價!A:C,3,0)</f>
        <v>42</v>
      </c>
      <c r="E334" s="126">
        <v>8.8082901554404111E-2</v>
      </c>
      <c r="F334">
        <v>78.819999999999993</v>
      </c>
    </row>
    <row r="335" spans="1:6">
      <c r="A335">
        <v>8182</v>
      </c>
      <c r="B335" t="s">
        <v>1788</v>
      </c>
      <c r="C335">
        <v>12.5</v>
      </c>
      <c r="D335">
        <f>VLOOKUP(A335,收盤價!A:C,3,0)</f>
        <v>13.6</v>
      </c>
      <c r="E335" s="126">
        <v>8.7999999999999967E-2</v>
      </c>
      <c r="F335">
        <v>78.760000000000005</v>
      </c>
    </row>
    <row r="336" spans="1:6">
      <c r="A336">
        <v>3257</v>
      </c>
      <c r="B336" t="s">
        <v>1087</v>
      </c>
      <c r="C336">
        <v>39.9</v>
      </c>
      <c r="D336">
        <f>VLOOKUP(A336,收盤價!A:C,3,0)</f>
        <v>43.4</v>
      </c>
      <c r="E336" s="126">
        <v>8.7719298245614044E-2</v>
      </c>
      <c r="F336">
        <v>78.69</v>
      </c>
    </row>
    <row r="337" spans="1:6">
      <c r="A337">
        <v>5202</v>
      </c>
      <c r="B337" t="s">
        <v>1617</v>
      </c>
      <c r="C337">
        <v>14.35</v>
      </c>
      <c r="D337">
        <f>VLOOKUP(A337,收盤價!A:C,3,0)</f>
        <v>15.6</v>
      </c>
      <c r="E337" s="126">
        <v>8.7108013937282236E-2</v>
      </c>
      <c r="F337">
        <v>78.63</v>
      </c>
    </row>
    <row r="338" spans="1:6">
      <c r="A338">
        <v>3011</v>
      </c>
      <c r="B338" t="s">
        <v>1031</v>
      </c>
      <c r="C338">
        <v>6.9</v>
      </c>
      <c r="D338">
        <f>VLOOKUP(A338,收盤價!A:C,3,0)</f>
        <v>7.5</v>
      </c>
      <c r="E338" s="126">
        <v>8.6956521739130377E-2</v>
      </c>
      <c r="F338">
        <v>78.569999999999993</v>
      </c>
    </row>
    <row r="339" spans="1:6">
      <c r="A339">
        <v>3624</v>
      </c>
      <c r="B339" t="s">
        <v>335</v>
      </c>
      <c r="C339">
        <v>23.2</v>
      </c>
      <c r="D339">
        <f>VLOOKUP(A339,收盤價!A:C,3,0)</f>
        <v>25.2</v>
      </c>
      <c r="E339" s="126">
        <v>8.6206896551724144E-2</v>
      </c>
      <c r="F339">
        <v>78.5</v>
      </c>
    </row>
    <row r="340" spans="1:6">
      <c r="A340">
        <v>2008</v>
      </c>
      <c r="B340" t="s">
        <v>731</v>
      </c>
      <c r="C340">
        <v>8.6</v>
      </c>
      <c r="D340">
        <f>VLOOKUP(A340,收盤價!A:C,3,0)</f>
        <v>9.34</v>
      </c>
      <c r="E340" s="126">
        <v>8.604651162790701E-2</v>
      </c>
      <c r="F340">
        <v>78.44</v>
      </c>
    </row>
    <row r="341" spans="1:6">
      <c r="A341">
        <v>4935</v>
      </c>
      <c r="B341" t="s">
        <v>1192</v>
      </c>
      <c r="C341">
        <v>66.8</v>
      </c>
      <c r="D341">
        <f>VLOOKUP(A341,收盤價!A:C,3,0)</f>
        <v>72.5</v>
      </c>
      <c r="E341" s="126">
        <v>8.5329341317365318E-2</v>
      </c>
      <c r="F341">
        <v>78.38</v>
      </c>
    </row>
    <row r="342" spans="1:6">
      <c r="A342">
        <v>6411</v>
      </c>
      <c r="B342" t="s">
        <v>474</v>
      </c>
      <c r="C342">
        <v>33</v>
      </c>
      <c r="D342">
        <f>VLOOKUP(A342,收盤價!A:C,3,0)</f>
        <v>35.799999999999997</v>
      </c>
      <c r="E342" s="126">
        <v>8.4848484848484756E-2</v>
      </c>
      <c r="F342">
        <v>78.31</v>
      </c>
    </row>
    <row r="343" spans="1:6">
      <c r="A343">
        <v>3545</v>
      </c>
      <c r="B343" t="s">
        <v>1122</v>
      </c>
      <c r="C343">
        <v>28.95</v>
      </c>
      <c r="D343">
        <f>VLOOKUP(A343,收盤價!A:C,3,0)</f>
        <v>31.4</v>
      </c>
      <c r="E343" s="126">
        <v>8.4628670120898072E-2</v>
      </c>
      <c r="F343">
        <v>78.25</v>
      </c>
    </row>
    <row r="344" spans="1:6">
      <c r="A344">
        <v>6140</v>
      </c>
      <c r="B344" t="s">
        <v>1701</v>
      </c>
      <c r="C344">
        <v>11.25</v>
      </c>
      <c r="D344">
        <f>VLOOKUP(A344,收盤價!A:C,3,0)</f>
        <v>12.2</v>
      </c>
      <c r="E344" s="126">
        <v>8.4444444444444378E-2</v>
      </c>
      <c r="F344">
        <v>78.19</v>
      </c>
    </row>
    <row r="345" spans="1:6">
      <c r="A345">
        <v>5498</v>
      </c>
      <c r="B345" t="s">
        <v>1663</v>
      </c>
      <c r="C345">
        <v>8.2899999999999991</v>
      </c>
      <c r="D345">
        <f>VLOOKUP(A345,收盤價!A:C,3,0)</f>
        <v>8.99</v>
      </c>
      <c r="E345" s="126">
        <v>8.4439083232810755E-2</v>
      </c>
      <c r="F345">
        <v>78.12</v>
      </c>
    </row>
    <row r="346" spans="1:6">
      <c r="A346">
        <v>3088</v>
      </c>
      <c r="B346" t="s">
        <v>269</v>
      </c>
      <c r="C346">
        <v>70.099999999999994</v>
      </c>
      <c r="D346">
        <f>VLOOKUP(A346,收盤價!A:C,3,0)</f>
        <v>76</v>
      </c>
      <c r="E346" s="126">
        <v>8.4165477888730467E-2</v>
      </c>
      <c r="F346">
        <v>78.06</v>
      </c>
    </row>
    <row r="347" spans="1:6">
      <c r="A347">
        <v>2904</v>
      </c>
      <c r="B347" t="s">
        <v>1013</v>
      </c>
      <c r="C347">
        <v>25.85</v>
      </c>
      <c r="D347">
        <f>VLOOKUP(A347,收盤價!A:C,3,0)</f>
        <v>28</v>
      </c>
      <c r="E347" s="126">
        <v>8.3172147001934177E-2</v>
      </c>
      <c r="F347">
        <v>78</v>
      </c>
    </row>
    <row r="348" spans="1:6">
      <c r="A348">
        <v>3189</v>
      </c>
      <c r="B348" t="s">
        <v>1083</v>
      </c>
      <c r="C348">
        <v>70</v>
      </c>
      <c r="D348">
        <f>VLOOKUP(A348,收盤價!A:C,3,0)</f>
        <v>75.8</v>
      </c>
      <c r="E348" s="126">
        <v>8.285714285714281E-2</v>
      </c>
      <c r="F348">
        <v>77.930000000000007</v>
      </c>
    </row>
    <row r="349" spans="1:6">
      <c r="A349">
        <v>3325</v>
      </c>
      <c r="B349" t="s">
        <v>1485</v>
      </c>
      <c r="C349">
        <v>15.7</v>
      </c>
      <c r="D349">
        <f>VLOOKUP(A349,收盤價!A:C,3,0)</f>
        <v>17</v>
      </c>
      <c r="E349" s="126">
        <v>8.2802547770700688E-2</v>
      </c>
      <c r="F349">
        <v>77.87</v>
      </c>
    </row>
    <row r="350" spans="1:6">
      <c r="A350">
        <v>3483</v>
      </c>
      <c r="B350" t="s">
        <v>313</v>
      </c>
      <c r="C350">
        <v>12.75</v>
      </c>
      <c r="D350">
        <f>VLOOKUP(A350,收盤價!A:C,3,0)</f>
        <v>13.8</v>
      </c>
      <c r="E350" s="126">
        <v>8.2352941176470643E-2</v>
      </c>
      <c r="F350">
        <v>77.81</v>
      </c>
    </row>
    <row r="351" spans="1:6">
      <c r="A351">
        <v>2031</v>
      </c>
      <c r="B351" t="s">
        <v>748</v>
      </c>
      <c r="C351">
        <v>14.7</v>
      </c>
      <c r="D351">
        <f>VLOOKUP(A351,收盤價!A:C,3,0)</f>
        <v>15.9</v>
      </c>
      <c r="E351" s="126">
        <v>8.1632653061224567E-2</v>
      </c>
      <c r="F351">
        <v>77.739999999999995</v>
      </c>
    </row>
    <row r="352" spans="1:6">
      <c r="A352">
        <v>2723</v>
      </c>
      <c r="B352" t="s">
        <v>975</v>
      </c>
      <c r="C352">
        <v>190</v>
      </c>
      <c r="D352">
        <f>VLOOKUP(A352,收盤價!A:C,3,0)</f>
        <v>205.5</v>
      </c>
      <c r="E352" s="126">
        <v>8.1578947368421056E-2</v>
      </c>
      <c r="F352">
        <v>77.680000000000007</v>
      </c>
    </row>
    <row r="353" spans="1:6">
      <c r="A353">
        <v>3056</v>
      </c>
      <c r="B353" t="s">
        <v>1071</v>
      </c>
      <c r="C353">
        <v>13.5</v>
      </c>
      <c r="D353">
        <f>VLOOKUP(A353,收盤價!A:C,3,0)</f>
        <v>14.6</v>
      </c>
      <c r="E353" s="126">
        <v>8.148148148148146E-2</v>
      </c>
      <c r="F353">
        <v>77.62</v>
      </c>
    </row>
    <row r="354" spans="1:6">
      <c r="A354">
        <v>1709</v>
      </c>
      <c r="B354" t="s">
        <v>683</v>
      </c>
      <c r="C354">
        <v>15.35</v>
      </c>
      <c r="D354">
        <f>VLOOKUP(A354,收盤價!A:C,3,0)</f>
        <v>16.600000000000001</v>
      </c>
      <c r="E354" s="126">
        <v>8.1433224755700445E-2</v>
      </c>
      <c r="F354">
        <v>77.55</v>
      </c>
    </row>
    <row r="355" spans="1:6">
      <c r="A355">
        <v>2373</v>
      </c>
      <c r="B355" t="s">
        <v>825</v>
      </c>
      <c r="C355">
        <v>51.8</v>
      </c>
      <c r="D355">
        <f>VLOOKUP(A355,收盤價!A:C,3,0)</f>
        <v>56</v>
      </c>
      <c r="E355" s="126">
        <v>8.1081081081081141E-2</v>
      </c>
      <c r="F355">
        <v>77.489999999999995</v>
      </c>
    </row>
    <row r="356" spans="1:6">
      <c r="A356">
        <v>2530</v>
      </c>
      <c r="B356" t="s">
        <v>933</v>
      </c>
      <c r="C356">
        <v>17.350000000000001</v>
      </c>
      <c r="D356">
        <f>VLOOKUP(A356,收盤價!A:C,3,0)</f>
        <v>18.75</v>
      </c>
      <c r="E356" s="126">
        <v>8.0691642651296747E-2</v>
      </c>
      <c r="F356">
        <v>77.430000000000007</v>
      </c>
    </row>
    <row r="357" spans="1:6">
      <c r="A357">
        <v>1522</v>
      </c>
      <c r="B357" t="s">
        <v>638</v>
      </c>
      <c r="C357">
        <v>24.25</v>
      </c>
      <c r="D357">
        <f>VLOOKUP(A357,收盤價!A:C,3,0)</f>
        <v>26.2</v>
      </c>
      <c r="E357" s="126">
        <v>8.0412371134020583E-2</v>
      </c>
      <c r="F357">
        <v>77.36</v>
      </c>
    </row>
    <row r="358" spans="1:6">
      <c r="A358">
        <v>1231</v>
      </c>
      <c r="B358" t="s">
        <v>545</v>
      </c>
      <c r="C358">
        <v>28</v>
      </c>
      <c r="D358">
        <f>VLOOKUP(A358,收盤價!A:C,3,0)</f>
        <v>30.25</v>
      </c>
      <c r="E358" s="126">
        <v>8.0357142857142863E-2</v>
      </c>
      <c r="F358">
        <v>77.3</v>
      </c>
    </row>
    <row r="359" spans="1:6">
      <c r="A359">
        <v>5009</v>
      </c>
      <c r="B359" t="s">
        <v>384</v>
      </c>
      <c r="C359">
        <v>17.5</v>
      </c>
      <c r="D359">
        <f>VLOOKUP(A359,收盤價!A:C,3,0)</f>
        <v>18.899999999999999</v>
      </c>
      <c r="E359" s="126">
        <v>7.9999999999999918E-2</v>
      </c>
      <c r="F359">
        <v>77.239999999999995</v>
      </c>
    </row>
    <row r="360" spans="1:6">
      <c r="A360">
        <v>2208</v>
      </c>
      <c r="B360" t="s">
        <v>771</v>
      </c>
      <c r="C360">
        <v>14.4</v>
      </c>
      <c r="D360">
        <f>VLOOKUP(A360,收盤價!A:C,3,0)</f>
        <v>15.55</v>
      </c>
      <c r="E360" s="126">
        <v>7.9861111111111133E-2</v>
      </c>
      <c r="F360">
        <v>77.17</v>
      </c>
    </row>
    <row r="361" spans="1:6">
      <c r="A361">
        <v>6279</v>
      </c>
      <c r="B361" t="s">
        <v>1739</v>
      </c>
      <c r="C361">
        <v>144</v>
      </c>
      <c r="D361">
        <f>VLOOKUP(A361,收盤價!A:C,3,0)</f>
        <v>155.5</v>
      </c>
      <c r="E361" s="126">
        <v>7.9861111111111105E-2</v>
      </c>
      <c r="F361">
        <v>77.11</v>
      </c>
    </row>
    <row r="362" spans="1:6">
      <c r="A362">
        <v>4113</v>
      </c>
      <c r="B362" t="s">
        <v>346</v>
      </c>
      <c r="C362">
        <v>10.65</v>
      </c>
      <c r="D362">
        <f>VLOOKUP(A362,收盤價!A:C,3,0)</f>
        <v>11.5</v>
      </c>
      <c r="E362" s="126">
        <v>7.9812206572769911E-2</v>
      </c>
      <c r="F362">
        <v>77.05</v>
      </c>
    </row>
    <row r="363" spans="1:6">
      <c r="A363">
        <v>3017</v>
      </c>
      <c r="B363" t="s">
        <v>1035</v>
      </c>
      <c r="C363">
        <v>27.6</v>
      </c>
      <c r="D363">
        <f>VLOOKUP(A363,收盤價!A:C,3,0)</f>
        <v>29.8</v>
      </c>
      <c r="E363" s="126">
        <v>7.9710144927536197E-2</v>
      </c>
      <c r="F363">
        <v>76.98</v>
      </c>
    </row>
    <row r="364" spans="1:6">
      <c r="A364">
        <v>8411</v>
      </c>
      <c r="B364" t="s">
        <v>1343</v>
      </c>
      <c r="C364">
        <v>27.8</v>
      </c>
      <c r="D364">
        <f>VLOOKUP(A364,收盤價!A:C,3,0)</f>
        <v>30</v>
      </c>
      <c r="E364" s="126">
        <v>7.913669064748198E-2</v>
      </c>
      <c r="F364">
        <v>76.92</v>
      </c>
    </row>
    <row r="365" spans="1:6">
      <c r="A365">
        <v>3703</v>
      </c>
      <c r="B365" t="s">
        <v>1154</v>
      </c>
      <c r="C365">
        <v>10.75</v>
      </c>
      <c r="D365">
        <f>VLOOKUP(A365,收盤價!A:C,3,0)</f>
        <v>11.6</v>
      </c>
      <c r="E365" s="126">
        <v>7.9069767441860436E-2</v>
      </c>
      <c r="F365">
        <v>76.849999999999994</v>
      </c>
    </row>
    <row r="366" spans="1:6">
      <c r="A366">
        <v>8422</v>
      </c>
      <c r="B366" t="s">
        <v>1344</v>
      </c>
      <c r="C366">
        <v>165</v>
      </c>
      <c r="D366">
        <f>VLOOKUP(A366,收盤價!A:C,3,0)</f>
        <v>178</v>
      </c>
      <c r="E366" s="126">
        <v>7.8787878787878782E-2</v>
      </c>
      <c r="F366">
        <v>76.790000000000006</v>
      </c>
    </row>
    <row r="367" spans="1:6">
      <c r="A367">
        <v>3428</v>
      </c>
      <c r="B367" t="s">
        <v>309</v>
      </c>
      <c r="C367">
        <v>49.8</v>
      </c>
      <c r="D367">
        <f>VLOOKUP(A367,收盤價!A:C,3,0)</f>
        <v>53.7</v>
      </c>
      <c r="E367" s="126">
        <v>7.8313253012048306E-2</v>
      </c>
      <c r="F367">
        <v>76.73</v>
      </c>
    </row>
    <row r="368" spans="1:6">
      <c r="A368">
        <v>3615</v>
      </c>
      <c r="B368" t="s">
        <v>1522</v>
      </c>
      <c r="C368">
        <v>20.55</v>
      </c>
      <c r="D368">
        <f>VLOOKUP(A368,收盤價!A:C,3,0)</f>
        <v>22.15</v>
      </c>
      <c r="E368" s="126">
        <v>7.7858880778588699E-2</v>
      </c>
      <c r="F368">
        <v>76.66</v>
      </c>
    </row>
    <row r="369" spans="1:6">
      <c r="A369">
        <v>4952</v>
      </c>
      <c r="B369" t="s">
        <v>1195</v>
      </c>
      <c r="C369">
        <v>36.9</v>
      </c>
      <c r="D369">
        <f>VLOOKUP(A369,收盤價!A:C,3,0)</f>
        <v>39.75</v>
      </c>
      <c r="E369" s="126">
        <v>7.7235772357723623E-2</v>
      </c>
      <c r="F369">
        <v>76.599999999999994</v>
      </c>
    </row>
    <row r="370" spans="1:6">
      <c r="A370">
        <v>3050</v>
      </c>
      <c r="B370" t="s">
        <v>1066</v>
      </c>
      <c r="C370">
        <v>7.91</v>
      </c>
      <c r="D370">
        <f>VLOOKUP(A370,收盤價!A:C,3,0)</f>
        <v>8.52</v>
      </c>
      <c r="E370" s="126">
        <v>7.7117572692793859E-2</v>
      </c>
      <c r="F370">
        <v>76.540000000000006</v>
      </c>
    </row>
    <row r="371" spans="1:6">
      <c r="A371">
        <v>4991</v>
      </c>
      <c r="B371" t="s">
        <v>1611</v>
      </c>
      <c r="C371">
        <v>83.5</v>
      </c>
      <c r="D371">
        <f>VLOOKUP(A371,收盤價!A:C,3,0)</f>
        <v>89.9</v>
      </c>
      <c r="E371" s="126">
        <v>7.6646706586826416E-2</v>
      </c>
      <c r="F371">
        <v>76.47</v>
      </c>
    </row>
    <row r="372" spans="1:6">
      <c r="A372">
        <v>1227</v>
      </c>
      <c r="B372" t="s">
        <v>543</v>
      </c>
      <c r="C372">
        <v>78.5</v>
      </c>
      <c r="D372">
        <f>VLOOKUP(A372,收盤價!A:C,3,0)</f>
        <v>84.5</v>
      </c>
      <c r="E372" s="126">
        <v>7.6433121019108277E-2</v>
      </c>
      <c r="F372">
        <v>76.41</v>
      </c>
    </row>
    <row r="373" spans="1:6">
      <c r="A373">
        <v>1258</v>
      </c>
      <c r="B373" t="s">
        <v>1414</v>
      </c>
      <c r="C373">
        <v>43.25</v>
      </c>
      <c r="D373">
        <f>VLOOKUP(A373,收盤價!A:C,3,0)</f>
        <v>46.55</v>
      </c>
      <c r="E373" s="126">
        <v>7.6300578034682015E-2</v>
      </c>
      <c r="F373">
        <v>76.349999999999994</v>
      </c>
    </row>
    <row r="374" spans="1:6">
      <c r="A374">
        <v>910861</v>
      </c>
      <c r="B374" t="s">
        <v>1360</v>
      </c>
      <c r="C374">
        <v>17.8</v>
      </c>
      <c r="D374">
        <f>VLOOKUP(A374,收盤價!A:C,3,0)</f>
        <v>19.149999999999999</v>
      </c>
      <c r="E374" s="126">
        <v>7.5842696629213363E-2</v>
      </c>
      <c r="F374">
        <v>76.28</v>
      </c>
    </row>
    <row r="375" spans="1:6">
      <c r="A375">
        <v>3363</v>
      </c>
      <c r="B375" t="s">
        <v>304</v>
      </c>
      <c r="C375">
        <v>26.4</v>
      </c>
      <c r="D375">
        <f>VLOOKUP(A375,收盤價!A:C,3,0)</f>
        <v>28.4</v>
      </c>
      <c r="E375" s="126">
        <v>7.575757575757576E-2</v>
      </c>
      <c r="F375">
        <v>76.22</v>
      </c>
    </row>
    <row r="376" spans="1:6">
      <c r="A376">
        <v>3551</v>
      </c>
      <c r="B376" t="s">
        <v>325</v>
      </c>
      <c r="C376">
        <v>35.200000000000003</v>
      </c>
      <c r="D376">
        <f>VLOOKUP(A376,收盤價!A:C,3,0)</f>
        <v>37.85</v>
      </c>
      <c r="E376" s="126">
        <v>7.5284090909090856E-2</v>
      </c>
      <c r="F376">
        <v>76.16</v>
      </c>
    </row>
    <row r="377" spans="1:6">
      <c r="A377">
        <v>6218</v>
      </c>
      <c r="B377" t="s">
        <v>1725</v>
      </c>
      <c r="C377">
        <v>16.75</v>
      </c>
      <c r="D377">
        <f>VLOOKUP(A377,收盤價!A:C,3,0)</f>
        <v>18</v>
      </c>
      <c r="E377" s="126">
        <v>7.4626865671641784E-2</v>
      </c>
      <c r="F377">
        <v>76.09</v>
      </c>
    </row>
    <row r="378" spans="1:6">
      <c r="A378">
        <v>2010</v>
      </c>
      <c r="B378" t="s">
        <v>733</v>
      </c>
      <c r="C378">
        <v>9.68</v>
      </c>
      <c r="D378">
        <f>VLOOKUP(A378,收盤價!A:C,3,0)</f>
        <v>10.4</v>
      </c>
      <c r="E378" s="126">
        <v>7.438016528925627E-2</v>
      </c>
      <c r="F378">
        <v>76.03</v>
      </c>
    </row>
    <row r="379" spans="1:6">
      <c r="A379">
        <v>3354</v>
      </c>
      <c r="B379" t="s">
        <v>1487</v>
      </c>
      <c r="C379">
        <v>8.17</v>
      </c>
      <c r="D379">
        <f>VLOOKUP(A379,收盤價!A:C,3,0)</f>
        <v>8.77</v>
      </c>
      <c r="E379" s="126">
        <v>7.3439412484700081E-2</v>
      </c>
      <c r="F379">
        <v>75.97</v>
      </c>
    </row>
    <row r="380" spans="1:6">
      <c r="A380">
        <v>2009</v>
      </c>
      <c r="B380" t="s">
        <v>732</v>
      </c>
      <c r="C380">
        <v>7.54</v>
      </c>
      <c r="D380">
        <f>VLOOKUP(A380,收盤價!A:C,3,0)</f>
        <v>8.09</v>
      </c>
      <c r="E380" s="126">
        <v>7.2944297082228091E-2</v>
      </c>
      <c r="F380">
        <v>75.900000000000006</v>
      </c>
    </row>
    <row r="381" spans="1:6">
      <c r="A381">
        <v>2413</v>
      </c>
      <c r="B381" t="s">
        <v>851</v>
      </c>
      <c r="C381">
        <v>14.4</v>
      </c>
      <c r="D381">
        <f>VLOOKUP(A381,收盤價!A:C,3,0)</f>
        <v>15.45</v>
      </c>
      <c r="E381" s="126">
        <v>7.2916666666666588E-2</v>
      </c>
      <c r="F381">
        <v>75.84</v>
      </c>
    </row>
    <row r="382" spans="1:6">
      <c r="A382">
        <v>8043</v>
      </c>
      <c r="B382" t="s">
        <v>1758</v>
      </c>
      <c r="C382">
        <v>14.4</v>
      </c>
      <c r="D382">
        <f>VLOOKUP(A382,收盤價!A:C,3,0)</f>
        <v>15.45</v>
      </c>
      <c r="E382" s="126">
        <v>7.2916666666666588E-2</v>
      </c>
      <c r="F382">
        <v>75.78</v>
      </c>
    </row>
    <row r="383" spans="1:6">
      <c r="A383">
        <v>1722</v>
      </c>
      <c r="B383" t="s">
        <v>694</v>
      </c>
      <c r="C383">
        <v>43</v>
      </c>
      <c r="D383">
        <f>VLOOKUP(A383,收盤價!A:C,3,0)</f>
        <v>46.1</v>
      </c>
      <c r="E383" s="126">
        <v>7.2093023255813987E-2</v>
      </c>
      <c r="F383">
        <v>75.709999999999994</v>
      </c>
    </row>
    <row r="384" spans="1:6">
      <c r="A384">
        <v>4747</v>
      </c>
      <c r="B384" t="s">
        <v>1596</v>
      </c>
      <c r="C384">
        <v>42</v>
      </c>
      <c r="D384">
        <f>VLOOKUP(A384,收盤價!A:C,3,0)</f>
        <v>45</v>
      </c>
      <c r="E384" s="126">
        <v>7.1428571428571425E-2</v>
      </c>
      <c r="F384">
        <v>75.650000000000006</v>
      </c>
    </row>
    <row r="385" spans="1:6">
      <c r="A385">
        <v>2027</v>
      </c>
      <c r="B385" t="s">
        <v>744</v>
      </c>
      <c r="C385">
        <v>16.100000000000001</v>
      </c>
      <c r="D385">
        <f>VLOOKUP(A385,收盤價!A:C,3,0)</f>
        <v>17.25</v>
      </c>
      <c r="E385" s="126">
        <v>7.1428571428571327E-2</v>
      </c>
      <c r="F385">
        <v>75.59</v>
      </c>
    </row>
    <row r="386" spans="1:6">
      <c r="A386">
        <v>3474</v>
      </c>
      <c r="B386" t="s">
        <v>1109</v>
      </c>
      <c r="C386">
        <v>26.8</v>
      </c>
      <c r="D386">
        <f>VLOOKUP(A386,收盤價!A:C,3,0)</f>
        <v>28.7</v>
      </c>
      <c r="E386" s="126">
        <v>7.0895522388059642E-2</v>
      </c>
      <c r="F386">
        <v>75.52</v>
      </c>
    </row>
    <row r="387" spans="1:6">
      <c r="A387">
        <v>3444</v>
      </c>
      <c r="B387" t="s">
        <v>1495</v>
      </c>
      <c r="C387">
        <v>17</v>
      </c>
      <c r="D387">
        <f>VLOOKUP(A387,收盤價!A:C,3,0)</f>
        <v>18.2</v>
      </c>
      <c r="E387" s="126">
        <v>7.0588235294117604E-2</v>
      </c>
      <c r="F387">
        <v>75.459999999999994</v>
      </c>
    </row>
    <row r="388" spans="1:6">
      <c r="A388">
        <v>8454</v>
      </c>
      <c r="B388" t="s">
        <v>1348</v>
      </c>
      <c r="C388">
        <v>198.5</v>
      </c>
      <c r="D388">
        <f>VLOOKUP(A388,收盤價!A:C,3,0)</f>
        <v>212.5</v>
      </c>
      <c r="E388" s="126">
        <v>7.0528967254408062E-2</v>
      </c>
      <c r="F388">
        <v>75.400000000000006</v>
      </c>
    </row>
    <row r="389" spans="1:6">
      <c r="A389">
        <v>4141</v>
      </c>
      <c r="B389" t="s">
        <v>1164</v>
      </c>
      <c r="C389">
        <v>33</v>
      </c>
      <c r="D389">
        <f>VLOOKUP(A389,收盤價!A:C,3,0)</f>
        <v>35.299999999999997</v>
      </c>
      <c r="E389" s="126">
        <v>6.9696969696969605E-2</v>
      </c>
      <c r="F389">
        <v>75.33</v>
      </c>
    </row>
    <row r="390" spans="1:6">
      <c r="A390">
        <v>9955</v>
      </c>
      <c r="B390" t="s">
        <v>1410</v>
      </c>
      <c r="C390">
        <v>13.75</v>
      </c>
      <c r="D390">
        <f>VLOOKUP(A390,收盤價!A:C,3,0)</f>
        <v>14.7</v>
      </c>
      <c r="E390" s="126">
        <v>6.9090909090909036E-2</v>
      </c>
      <c r="F390">
        <v>75.27</v>
      </c>
    </row>
    <row r="391" spans="1:6">
      <c r="A391">
        <v>2617</v>
      </c>
      <c r="B391" t="s">
        <v>962</v>
      </c>
      <c r="C391">
        <v>13.8</v>
      </c>
      <c r="D391">
        <f>VLOOKUP(A391,收盤價!A:C,3,0)</f>
        <v>14.75</v>
      </c>
      <c r="E391" s="126">
        <v>6.8840579710144872E-2</v>
      </c>
      <c r="F391">
        <v>75.209999999999994</v>
      </c>
    </row>
    <row r="392" spans="1:6">
      <c r="A392">
        <v>2015</v>
      </c>
      <c r="B392" t="s">
        <v>737</v>
      </c>
      <c r="C392">
        <v>38.549999999999997</v>
      </c>
      <c r="D392">
        <f>VLOOKUP(A392,收盤價!A:C,3,0)</f>
        <v>41.2</v>
      </c>
      <c r="E392" s="126">
        <v>6.8741893644617538E-2</v>
      </c>
      <c r="F392">
        <v>75.14</v>
      </c>
    </row>
    <row r="393" spans="1:6">
      <c r="A393">
        <v>4205</v>
      </c>
      <c r="B393" t="s">
        <v>1561</v>
      </c>
      <c r="C393">
        <v>37.1</v>
      </c>
      <c r="D393">
        <f>VLOOKUP(A393,收盤價!A:C,3,0)</f>
        <v>39.65</v>
      </c>
      <c r="E393" s="126">
        <v>6.8733153638813937E-2</v>
      </c>
      <c r="F393">
        <v>75.08</v>
      </c>
    </row>
    <row r="394" spans="1:6">
      <c r="A394">
        <v>4107</v>
      </c>
      <c r="B394" t="s">
        <v>1540</v>
      </c>
      <c r="C394">
        <v>132</v>
      </c>
      <c r="D394">
        <f>VLOOKUP(A394,收盤價!A:C,3,0)</f>
        <v>141</v>
      </c>
      <c r="E394" s="126">
        <v>6.8181818181818177E-2</v>
      </c>
      <c r="F394">
        <v>75.02</v>
      </c>
    </row>
    <row r="395" spans="1:6">
      <c r="A395">
        <v>1902</v>
      </c>
      <c r="B395" t="s">
        <v>721</v>
      </c>
      <c r="C395">
        <v>11</v>
      </c>
      <c r="D395">
        <f>VLOOKUP(A395,收盤價!A:C,3,0)</f>
        <v>11.75</v>
      </c>
      <c r="E395" s="126">
        <v>6.8181818181818177E-2</v>
      </c>
      <c r="F395">
        <v>74.95</v>
      </c>
    </row>
    <row r="396" spans="1:6">
      <c r="A396">
        <v>6271</v>
      </c>
      <c r="B396" t="s">
        <v>1288</v>
      </c>
      <c r="C396">
        <v>85.1</v>
      </c>
      <c r="D396">
        <f>VLOOKUP(A396,收盤價!A:C,3,0)</f>
        <v>90.9</v>
      </c>
      <c r="E396" s="126">
        <v>6.8155111633372636E-2</v>
      </c>
      <c r="F396">
        <v>74.89</v>
      </c>
    </row>
    <row r="397" spans="1:6">
      <c r="A397">
        <v>2316</v>
      </c>
      <c r="B397" t="s">
        <v>785</v>
      </c>
      <c r="C397">
        <v>27.15</v>
      </c>
      <c r="D397">
        <f>VLOOKUP(A397,收盤價!A:C,3,0)</f>
        <v>29</v>
      </c>
      <c r="E397" s="126">
        <v>6.8139963167587539E-2</v>
      </c>
      <c r="F397">
        <v>74.83</v>
      </c>
    </row>
    <row r="398" spans="1:6">
      <c r="A398">
        <v>1215</v>
      </c>
      <c r="B398" t="s">
        <v>536</v>
      </c>
      <c r="C398">
        <v>22.1</v>
      </c>
      <c r="D398">
        <f>VLOOKUP(A398,收盤價!A:C,3,0)</f>
        <v>23.6</v>
      </c>
      <c r="E398" s="126">
        <v>6.7873303167420809E-2</v>
      </c>
      <c r="F398">
        <v>74.760000000000005</v>
      </c>
    </row>
    <row r="399" spans="1:6">
      <c r="A399">
        <v>1589</v>
      </c>
      <c r="B399" t="s">
        <v>661</v>
      </c>
      <c r="C399">
        <v>215</v>
      </c>
      <c r="D399">
        <f>VLOOKUP(A399,收盤價!A:C,3,0)</f>
        <v>229.5</v>
      </c>
      <c r="E399" s="126">
        <v>6.7441860465116285E-2</v>
      </c>
      <c r="F399">
        <v>74.7</v>
      </c>
    </row>
    <row r="400" spans="1:6">
      <c r="A400">
        <v>1565</v>
      </c>
      <c r="B400" t="s">
        <v>1415</v>
      </c>
      <c r="C400">
        <v>565</v>
      </c>
      <c r="D400">
        <f>VLOOKUP(A400,收盤價!A:C,3,0)</f>
        <v>603</v>
      </c>
      <c r="E400" s="126">
        <v>6.7256637168141592E-2</v>
      </c>
      <c r="F400">
        <v>74.64</v>
      </c>
    </row>
    <row r="401" spans="1:6">
      <c r="A401">
        <v>2467</v>
      </c>
      <c r="B401" t="s">
        <v>895</v>
      </c>
      <c r="C401">
        <v>14.15</v>
      </c>
      <c r="D401">
        <f>VLOOKUP(A401,收盤價!A:C,3,0)</f>
        <v>15.1</v>
      </c>
      <c r="E401" s="126">
        <v>6.7137809187279102E-2</v>
      </c>
      <c r="F401">
        <v>74.569999999999993</v>
      </c>
    </row>
    <row r="402" spans="1:6">
      <c r="A402">
        <v>4533</v>
      </c>
      <c r="B402" t="s">
        <v>1583</v>
      </c>
      <c r="C402">
        <v>12</v>
      </c>
      <c r="D402">
        <f>VLOOKUP(A402,收盤價!A:C,3,0)</f>
        <v>12.8</v>
      </c>
      <c r="E402" s="126">
        <v>6.6666666666666721E-2</v>
      </c>
      <c r="F402">
        <v>74.510000000000005</v>
      </c>
    </row>
    <row r="403" spans="1:6">
      <c r="A403">
        <v>2330</v>
      </c>
      <c r="B403" t="s">
        <v>794</v>
      </c>
      <c r="C403">
        <v>142.5</v>
      </c>
      <c r="D403">
        <f>VLOOKUP(A403,收盤價!A:C,3,0)</f>
        <v>152</v>
      </c>
      <c r="E403" s="126">
        <v>6.6666666666666666E-2</v>
      </c>
      <c r="F403">
        <v>74.45</v>
      </c>
    </row>
    <row r="404" spans="1:6">
      <c r="A404">
        <v>8932</v>
      </c>
      <c r="B404" t="s">
        <v>1818</v>
      </c>
      <c r="C404">
        <v>8.9</v>
      </c>
      <c r="D404">
        <f>VLOOKUP(A404,收盤價!A:C,3,0)</f>
        <v>9.49</v>
      </c>
      <c r="E404" s="126">
        <v>6.6292134831460653E-2</v>
      </c>
      <c r="F404">
        <v>74.38</v>
      </c>
    </row>
    <row r="405" spans="1:6">
      <c r="A405">
        <v>6449</v>
      </c>
      <c r="B405" t="s">
        <v>1306</v>
      </c>
      <c r="C405">
        <v>28</v>
      </c>
      <c r="D405">
        <f>VLOOKUP(A405,收盤價!A:C,3,0)</f>
        <v>29.85</v>
      </c>
      <c r="E405" s="126">
        <v>6.6071428571428628E-2</v>
      </c>
      <c r="F405">
        <v>74.319999999999993</v>
      </c>
    </row>
    <row r="406" spans="1:6">
      <c r="A406">
        <v>3191</v>
      </c>
      <c r="B406" t="s">
        <v>1461</v>
      </c>
      <c r="C406">
        <v>17.5</v>
      </c>
      <c r="D406">
        <f>VLOOKUP(A406,收盤價!A:C,3,0)</f>
        <v>18.649999999999999</v>
      </c>
      <c r="E406" s="126">
        <v>6.5714285714285628E-2</v>
      </c>
      <c r="F406">
        <v>74.25</v>
      </c>
    </row>
    <row r="407" spans="1:6">
      <c r="A407">
        <v>4720</v>
      </c>
      <c r="B407" t="s">
        <v>1176</v>
      </c>
      <c r="C407">
        <v>16.100000000000001</v>
      </c>
      <c r="D407">
        <f>VLOOKUP(A407,收盤價!A:C,3,0)</f>
        <v>17.149999999999999</v>
      </c>
      <c r="E407" s="126">
        <v>6.5217391304347644E-2</v>
      </c>
      <c r="F407">
        <v>74.19</v>
      </c>
    </row>
    <row r="408" spans="1:6">
      <c r="A408">
        <v>1220</v>
      </c>
      <c r="B408" t="s">
        <v>541</v>
      </c>
      <c r="C408">
        <v>10</v>
      </c>
      <c r="D408">
        <f>VLOOKUP(A408,收盤價!A:C,3,0)</f>
        <v>10.65</v>
      </c>
      <c r="E408" s="126">
        <v>6.500000000000003E-2</v>
      </c>
      <c r="F408">
        <v>74.13</v>
      </c>
    </row>
    <row r="409" spans="1:6">
      <c r="A409">
        <v>9958</v>
      </c>
      <c r="B409" t="s">
        <v>1411</v>
      </c>
      <c r="C409">
        <v>10</v>
      </c>
      <c r="D409">
        <f>VLOOKUP(A409,收盤價!A:C,3,0)</f>
        <v>10.65</v>
      </c>
      <c r="E409" s="126">
        <v>6.500000000000003E-2</v>
      </c>
      <c r="F409">
        <v>74.06</v>
      </c>
    </row>
    <row r="410" spans="1:6">
      <c r="A410">
        <v>2712</v>
      </c>
      <c r="B410" t="s">
        <v>973</v>
      </c>
      <c r="C410">
        <v>23.95</v>
      </c>
      <c r="D410">
        <f>VLOOKUP(A410,收盤價!A:C,3,0)</f>
        <v>25.5</v>
      </c>
      <c r="E410" s="126">
        <v>6.4718162839248472E-2</v>
      </c>
      <c r="F410">
        <v>74</v>
      </c>
    </row>
    <row r="411" spans="1:6">
      <c r="A411">
        <v>3680</v>
      </c>
      <c r="B411" t="s">
        <v>1532</v>
      </c>
      <c r="C411">
        <v>31</v>
      </c>
      <c r="D411">
        <f>VLOOKUP(A411,收盤價!A:C,3,0)</f>
        <v>33</v>
      </c>
      <c r="E411" s="126">
        <v>6.4516129032258063E-2</v>
      </c>
      <c r="F411">
        <v>73.94</v>
      </c>
    </row>
    <row r="412" spans="1:6">
      <c r="A412">
        <v>9911</v>
      </c>
      <c r="B412" t="s">
        <v>1382</v>
      </c>
      <c r="C412">
        <v>18</v>
      </c>
      <c r="D412">
        <f>VLOOKUP(A412,收盤價!A:C,3,0)</f>
        <v>19.149999999999999</v>
      </c>
      <c r="E412" s="126">
        <v>6.3888888888888815E-2</v>
      </c>
      <c r="F412">
        <v>73.87</v>
      </c>
    </row>
    <row r="413" spans="1:6">
      <c r="A413">
        <v>2303</v>
      </c>
      <c r="B413" t="s">
        <v>778</v>
      </c>
      <c r="C413">
        <v>12.6</v>
      </c>
      <c r="D413">
        <f>VLOOKUP(A413,收盤價!A:C,3,0)</f>
        <v>13.4</v>
      </c>
      <c r="E413" s="126">
        <v>6.3492063492063544E-2</v>
      </c>
      <c r="F413">
        <v>73.81</v>
      </c>
    </row>
    <row r="414" spans="1:6">
      <c r="A414">
        <v>5439</v>
      </c>
      <c r="B414" t="s">
        <v>414</v>
      </c>
      <c r="C414">
        <v>18.95</v>
      </c>
      <c r="D414">
        <f>VLOOKUP(A414,收盤價!A:C,3,0)</f>
        <v>20.149999999999999</v>
      </c>
      <c r="E414" s="126">
        <v>6.3324538258575161E-2</v>
      </c>
      <c r="F414">
        <v>73.75</v>
      </c>
    </row>
    <row r="415" spans="1:6">
      <c r="A415">
        <v>1701</v>
      </c>
      <c r="B415" t="s">
        <v>678</v>
      </c>
      <c r="C415">
        <v>19</v>
      </c>
      <c r="D415">
        <f>VLOOKUP(A415,收盤價!A:C,3,0)</f>
        <v>20.2</v>
      </c>
      <c r="E415" s="126">
        <v>6.3157894736842066E-2</v>
      </c>
      <c r="F415">
        <v>73.680000000000007</v>
      </c>
    </row>
    <row r="416" spans="1:6">
      <c r="A416">
        <v>6426</v>
      </c>
      <c r="B416" t="s">
        <v>475</v>
      </c>
      <c r="C416">
        <v>34.9</v>
      </c>
      <c r="D416">
        <f>VLOOKUP(A416,收盤價!A:C,3,0)</f>
        <v>37.1</v>
      </c>
      <c r="E416" s="126">
        <v>6.3037249283667704E-2</v>
      </c>
      <c r="F416">
        <v>73.62</v>
      </c>
    </row>
    <row r="417" spans="1:6">
      <c r="A417">
        <v>2376</v>
      </c>
      <c r="B417" t="s">
        <v>828</v>
      </c>
      <c r="C417">
        <v>34.25</v>
      </c>
      <c r="D417">
        <f>VLOOKUP(A417,收盤價!A:C,3,0)</f>
        <v>36.4</v>
      </c>
      <c r="E417" s="126">
        <v>6.2773722627737186E-2</v>
      </c>
      <c r="F417">
        <v>73.56</v>
      </c>
    </row>
    <row r="418" spans="1:6">
      <c r="A418">
        <v>8926</v>
      </c>
      <c r="B418" t="s">
        <v>1350</v>
      </c>
      <c r="C418">
        <v>23.2</v>
      </c>
      <c r="D418">
        <f>VLOOKUP(A418,收盤價!A:C,3,0)</f>
        <v>24.65</v>
      </c>
      <c r="E418" s="126">
        <v>6.2499999999999972E-2</v>
      </c>
      <c r="F418">
        <v>73.489999999999995</v>
      </c>
    </row>
    <row r="419" spans="1:6">
      <c r="A419">
        <v>4999</v>
      </c>
      <c r="B419" t="s">
        <v>1203</v>
      </c>
      <c r="C419">
        <v>44.25</v>
      </c>
      <c r="D419">
        <f>VLOOKUP(A419,收盤價!A:C,3,0)</f>
        <v>47</v>
      </c>
      <c r="E419" s="126">
        <v>6.2146892655367235E-2</v>
      </c>
      <c r="F419">
        <v>73.430000000000007</v>
      </c>
    </row>
    <row r="420" spans="1:6">
      <c r="A420">
        <v>1717</v>
      </c>
      <c r="B420" t="s">
        <v>690</v>
      </c>
      <c r="C420">
        <v>31.4</v>
      </c>
      <c r="D420">
        <f>VLOOKUP(A420,收盤價!A:C,3,0)</f>
        <v>33.35</v>
      </c>
      <c r="E420" s="126">
        <v>6.2101910828025568E-2</v>
      </c>
      <c r="F420">
        <v>73.37</v>
      </c>
    </row>
    <row r="421" spans="1:6">
      <c r="A421">
        <v>1451</v>
      </c>
      <c r="B421" t="s">
        <v>602</v>
      </c>
      <c r="C421">
        <v>21.85</v>
      </c>
      <c r="D421">
        <f>VLOOKUP(A421,收盤價!A:C,3,0)</f>
        <v>23.2</v>
      </c>
      <c r="E421" s="126">
        <v>6.1784897025171523E-2</v>
      </c>
      <c r="F421">
        <v>73.3</v>
      </c>
    </row>
    <row r="422" spans="1:6">
      <c r="A422">
        <v>8201</v>
      </c>
      <c r="B422" t="s">
        <v>1332</v>
      </c>
      <c r="C422">
        <v>7.77</v>
      </c>
      <c r="D422">
        <f>VLOOKUP(A422,收盤價!A:C,3,0)</f>
        <v>8.25</v>
      </c>
      <c r="E422" s="126">
        <v>6.1776061776061833E-2</v>
      </c>
      <c r="F422">
        <v>73.239999999999995</v>
      </c>
    </row>
    <row r="423" spans="1:6">
      <c r="A423">
        <v>1264</v>
      </c>
      <c r="B423" t="s">
        <v>245</v>
      </c>
      <c r="C423">
        <v>194.5</v>
      </c>
      <c r="D423">
        <f>VLOOKUP(A423,收盤價!A:C,3,0)</f>
        <v>206.5</v>
      </c>
      <c r="E423" s="126">
        <v>6.1696658097686374E-2</v>
      </c>
      <c r="F423">
        <v>73.180000000000007</v>
      </c>
    </row>
    <row r="424" spans="1:6">
      <c r="A424">
        <v>8913</v>
      </c>
      <c r="B424" t="s">
        <v>506</v>
      </c>
      <c r="C424">
        <v>15.45</v>
      </c>
      <c r="D424">
        <f>VLOOKUP(A424,收盤價!A:C,3,0)</f>
        <v>16.399999999999999</v>
      </c>
      <c r="E424" s="126">
        <v>6.1488673139158533E-2</v>
      </c>
      <c r="F424">
        <v>73.11</v>
      </c>
    </row>
    <row r="425" spans="1:6">
      <c r="A425">
        <v>6221</v>
      </c>
      <c r="B425" t="s">
        <v>455</v>
      </c>
      <c r="C425">
        <v>23.7</v>
      </c>
      <c r="D425">
        <f>VLOOKUP(A425,收盤價!A:C,3,0)</f>
        <v>25.15</v>
      </c>
      <c r="E425" s="126">
        <v>6.1181434599156093E-2</v>
      </c>
      <c r="F425">
        <v>73.05</v>
      </c>
    </row>
    <row r="426" spans="1:6">
      <c r="A426">
        <v>3163</v>
      </c>
      <c r="B426" t="s">
        <v>277</v>
      </c>
      <c r="C426">
        <v>40.049999999999997</v>
      </c>
      <c r="D426">
        <f>VLOOKUP(A426,收盤價!A:C,3,0)</f>
        <v>42.5</v>
      </c>
      <c r="E426" s="126">
        <v>6.1173533083645516E-2</v>
      </c>
      <c r="F426">
        <v>72.989999999999995</v>
      </c>
    </row>
    <row r="427" spans="1:6">
      <c r="A427">
        <v>6128</v>
      </c>
      <c r="B427" t="s">
        <v>1244</v>
      </c>
      <c r="C427">
        <v>34.4</v>
      </c>
      <c r="D427">
        <f>VLOOKUP(A427,收盤價!A:C,3,0)</f>
        <v>36.5</v>
      </c>
      <c r="E427" s="126">
        <v>6.1046511627907023E-2</v>
      </c>
      <c r="F427">
        <v>72.92</v>
      </c>
    </row>
    <row r="428" spans="1:6">
      <c r="A428">
        <v>2820</v>
      </c>
      <c r="B428" t="s">
        <v>982</v>
      </c>
      <c r="C428">
        <v>11.5</v>
      </c>
      <c r="D428">
        <f>VLOOKUP(A428,收盤價!A:C,3,0)</f>
        <v>12.2</v>
      </c>
      <c r="E428" s="126">
        <v>6.0869565217391244E-2</v>
      </c>
      <c r="F428">
        <v>72.86</v>
      </c>
    </row>
    <row r="429" spans="1:6">
      <c r="A429">
        <v>4712</v>
      </c>
      <c r="B429" t="s">
        <v>370</v>
      </c>
      <c r="C429">
        <v>8.1300000000000008</v>
      </c>
      <c r="D429">
        <f>VLOOKUP(A429,收盤價!A:C,3,0)</f>
        <v>8.6199999999999992</v>
      </c>
      <c r="E429" s="126">
        <v>6.0270602706026861E-2</v>
      </c>
      <c r="F429">
        <v>72.8</v>
      </c>
    </row>
    <row r="430" spans="1:6">
      <c r="A430">
        <v>6148</v>
      </c>
      <c r="B430" t="s">
        <v>1705</v>
      </c>
      <c r="C430">
        <v>7.83</v>
      </c>
      <c r="D430">
        <f>VLOOKUP(A430,收盤價!A:C,3,0)</f>
        <v>8.3000000000000007</v>
      </c>
      <c r="E430" s="126">
        <v>6.0025542784163555E-2</v>
      </c>
      <c r="F430">
        <v>72.73</v>
      </c>
    </row>
    <row r="431" spans="1:6">
      <c r="A431">
        <v>2412</v>
      </c>
      <c r="B431" t="s">
        <v>850</v>
      </c>
      <c r="C431">
        <v>100</v>
      </c>
      <c r="D431">
        <f>VLOOKUP(A431,收盤價!A:C,3,0)</f>
        <v>106</v>
      </c>
      <c r="E431" s="126">
        <v>0.06</v>
      </c>
      <c r="F431">
        <v>72.67</v>
      </c>
    </row>
    <row r="432" spans="1:6">
      <c r="A432">
        <v>1733</v>
      </c>
      <c r="B432" t="s">
        <v>704</v>
      </c>
      <c r="C432">
        <v>42.85</v>
      </c>
      <c r="D432">
        <f>VLOOKUP(A432,收盤價!A:C,3,0)</f>
        <v>45.4</v>
      </c>
      <c r="E432" s="126">
        <v>5.9509918319719884E-2</v>
      </c>
      <c r="F432">
        <v>72.61</v>
      </c>
    </row>
    <row r="433" spans="1:6">
      <c r="A433">
        <v>9938</v>
      </c>
      <c r="B433" t="s">
        <v>1401</v>
      </c>
      <c r="C433">
        <v>78</v>
      </c>
      <c r="D433">
        <f>VLOOKUP(A433,收盤價!A:C,3,0)</f>
        <v>82.6</v>
      </c>
      <c r="E433" s="126">
        <v>5.8974358974358904E-2</v>
      </c>
      <c r="F433">
        <v>72.540000000000006</v>
      </c>
    </row>
    <row r="434" spans="1:6">
      <c r="A434">
        <v>1608</v>
      </c>
      <c r="B434" t="s">
        <v>667</v>
      </c>
      <c r="C434">
        <v>7.32</v>
      </c>
      <c r="D434">
        <f>VLOOKUP(A434,收盤價!A:C,3,0)</f>
        <v>7.75</v>
      </c>
      <c r="E434" s="126">
        <v>5.8743169398907065E-2</v>
      </c>
      <c r="F434">
        <v>72.48</v>
      </c>
    </row>
    <row r="435" spans="1:6">
      <c r="A435">
        <v>5487</v>
      </c>
      <c r="B435" t="s">
        <v>422</v>
      </c>
      <c r="C435">
        <v>21.35</v>
      </c>
      <c r="D435">
        <f>VLOOKUP(A435,收盤價!A:C,3,0)</f>
        <v>22.6</v>
      </c>
      <c r="E435" s="126">
        <v>5.8548009367681494E-2</v>
      </c>
      <c r="F435">
        <v>72.42</v>
      </c>
    </row>
    <row r="436" spans="1:6">
      <c r="A436">
        <v>2483</v>
      </c>
      <c r="B436" t="s">
        <v>906</v>
      </c>
      <c r="C436">
        <v>18.149999999999999</v>
      </c>
      <c r="D436">
        <f>VLOOKUP(A436,收盤價!A:C,3,0)</f>
        <v>19.2</v>
      </c>
      <c r="E436" s="126">
        <v>5.7851239669421531E-2</v>
      </c>
      <c r="F436">
        <v>72.349999999999994</v>
      </c>
    </row>
    <row r="437" spans="1:6">
      <c r="A437">
        <v>3454</v>
      </c>
      <c r="B437" t="s">
        <v>1108</v>
      </c>
      <c r="C437">
        <v>82</v>
      </c>
      <c r="D437">
        <f>VLOOKUP(A437,收盤價!A:C,3,0)</f>
        <v>86.7</v>
      </c>
      <c r="E437" s="126">
        <v>5.7317073170731744E-2</v>
      </c>
      <c r="F437">
        <v>72.290000000000006</v>
      </c>
    </row>
    <row r="438" spans="1:6">
      <c r="A438">
        <v>5464</v>
      </c>
      <c r="B438" t="s">
        <v>1653</v>
      </c>
      <c r="C438">
        <v>16.8</v>
      </c>
      <c r="D438">
        <f>VLOOKUP(A438,收盤價!A:C,3,0)</f>
        <v>17.75</v>
      </c>
      <c r="E438" s="126">
        <v>5.6547619047619006E-2</v>
      </c>
      <c r="F438">
        <v>72.23</v>
      </c>
    </row>
    <row r="439" spans="1:6">
      <c r="A439">
        <v>2064</v>
      </c>
      <c r="B439" t="s">
        <v>259</v>
      </c>
      <c r="C439">
        <v>16.850000000000001</v>
      </c>
      <c r="D439">
        <f>VLOOKUP(A439,收盤價!A:C,3,0)</f>
        <v>17.8</v>
      </c>
      <c r="E439" s="126">
        <v>5.6379821958456929E-2</v>
      </c>
      <c r="F439">
        <v>72.16</v>
      </c>
    </row>
    <row r="440" spans="1:6">
      <c r="A440">
        <v>2301</v>
      </c>
      <c r="B440" t="s">
        <v>776</v>
      </c>
      <c r="C440">
        <v>34.6</v>
      </c>
      <c r="D440">
        <f>VLOOKUP(A440,收盤價!A:C,3,0)</f>
        <v>36.549999999999997</v>
      </c>
      <c r="E440" s="126">
        <v>5.6358381502890048E-2</v>
      </c>
      <c r="F440">
        <v>72.099999999999994</v>
      </c>
    </row>
    <row r="441" spans="1:6">
      <c r="A441">
        <v>2441</v>
      </c>
      <c r="B441" t="s">
        <v>874</v>
      </c>
      <c r="C441">
        <v>35.049999999999997</v>
      </c>
      <c r="D441">
        <f>VLOOKUP(A441,收盤價!A:C,3,0)</f>
        <v>37</v>
      </c>
      <c r="E441" s="126">
        <v>5.5634807417974406E-2</v>
      </c>
      <c r="F441">
        <v>72.040000000000006</v>
      </c>
    </row>
    <row r="442" spans="1:6">
      <c r="A442">
        <v>5388</v>
      </c>
      <c r="B442" t="s">
        <v>1216</v>
      </c>
      <c r="C442">
        <v>77.5</v>
      </c>
      <c r="D442">
        <f>VLOOKUP(A442,收盤價!A:C,3,0)</f>
        <v>81.8</v>
      </c>
      <c r="E442" s="126">
        <v>5.5483870967741898E-2</v>
      </c>
      <c r="F442">
        <v>71.97</v>
      </c>
    </row>
    <row r="443" spans="1:6">
      <c r="A443">
        <v>1590</v>
      </c>
      <c r="B443" t="s">
        <v>662</v>
      </c>
      <c r="C443">
        <v>173</v>
      </c>
      <c r="D443">
        <f>VLOOKUP(A443,收盤價!A:C,3,0)</f>
        <v>182.5</v>
      </c>
      <c r="E443" s="126">
        <v>5.4913294797687862E-2</v>
      </c>
      <c r="F443">
        <v>71.91</v>
      </c>
    </row>
    <row r="444" spans="1:6">
      <c r="A444">
        <v>3522</v>
      </c>
      <c r="B444" t="s">
        <v>320</v>
      </c>
      <c r="C444">
        <v>11</v>
      </c>
      <c r="D444">
        <f>VLOOKUP(A444,收盤價!A:C,3,0)</f>
        <v>11.6</v>
      </c>
      <c r="E444" s="126">
        <v>5.4545454545454515E-2</v>
      </c>
      <c r="F444">
        <v>71.849999999999994</v>
      </c>
    </row>
    <row r="445" spans="1:6">
      <c r="A445">
        <v>1475</v>
      </c>
      <c r="B445" t="s">
        <v>623</v>
      </c>
      <c r="C445">
        <v>8.1</v>
      </c>
      <c r="D445">
        <f>VLOOKUP(A445,收盤價!A:C,3,0)</f>
        <v>8.5399999999999991</v>
      </c>
      <c r="E445" s="126">
        <v>5.4320987654320932E-2</v>
      </c>
      <c r="F445">
        <v>71.78</v>
      </c>
    </row>
    <row r="446" spans="1:6">
      <c r="A446">
        <v>1465</v>
      </c>
      <c r="B446" t="s">
        <v>613</v>
      </c>
      <c r="C446">
        <v>13.9</v>
      </c>
      <c r="D446">
        <f>VLOOKUP(A446,收盤價!A:C,3,0)</f>
        <v>14.65</v>
      </c>
      <c r="E446" s="126">
        <v>5.3956834532374098E-2</v>
      </c>
      <c r="F446">
        <v>71.72</v>
      </c>
    </row>
    <row r="447" spans="1:6">
      <c r="A447">
        <v>2024</v>
      </c>
      <c r="B447" t="s">
        <v>742</v>
      </c>
      <c r="C447">
        <v>7.24</v>
      </c>
      <c r="D447">
        <f>VLOOKUP(A447,收盤價!A:C,3,0)</f>
        <v>7.63</v>
      </c>
      <c r="E447" s="126">
        <v>5.386740331491708E-2</v>
      </c>
      <c r="F447">
        <v>71.66</v>
      </c>
    </row>
    <row r="448" spans="1:6">
      <c r="A448">
        <v>4163</v>
      </c>
      <c r="B448" t="s">
        <v>1556</v>
      </c>
      <c r="C448">
        <v>121</v>
      </c>
      <c r="D448">
        <f>VLOOKUP(A448,收盤價!A:C,3,0)</f>
        <v>127.5</v>
      </c>
      <c r="E448" s="126">
        <v>5.3719008264462811E-2</v>
      </c>
      <c r="F448">
        <v>71.59</v>
      </c>
    </row>
    <row r="449" spans="1:6">
      <c r="A449">
        <v>3037</v>
      </c>
      <c r="B449" t="s">
        <v>1054</v>
      </c>
      <c r="C449">
        <v>15.85</v>
      </c>
      <c r="D449">
        <f>VLOOKUP(A449,收盤價!A:C,3,0)</f>
        <v>16.7</v>
      </c>
      <c r="E449" s="126">
        <v>5.3627760252365909E-2</v>
      </c>
      <c r="F449">
        <v>71.53</v>
      </c>
    </row>
    <row r="450" spans="1:6">
      <c r="A450">
        <v>1707</v>
      </c>
      <c r="B450" t="s">
        <v>681</v>
      </c>
      <c r="C450">
        <v>187</v>
      </c>
      <c r="D450">
        <f>VLOOKUP(A450,收盤價!A:C,3,0)</f>
        <v>197</v>
      </c>
      <c r="E450" s="126">
        <v>5.3475935828877004E-2</v>
      </c>
      <c r="F450">
        <v>71.459999999999994</v>
      </c>
    </row>
    <row r="451" spans="1:6">
      <c r="A451">
        <v>8091</v>
      </c>
      <c r="B451" t="s">
        <v>1775</v>
      </c>
      <c r="C451">
        <v>60.3</v>
      </c>
      <c r="D451">
        <f>VLOOKUP(A451,收盤價!A:C,3,0)</f>
        <v>63.5</v>
      </c>
      <c r="E451" s="126">
        <v>5.3067993366500879E-2</v>
      </c>
      <c r="F451">
        <v>71.400000000000006</v>
      </c>
    </row>
    <row r="452" spans="1:6">
      <c r="A452">
        <v>5531</v>
      </c>
      <c r="B452" t="s">
        <v>1226</v>
      </c>
      <c r="C452">
        <v>12.25</v>
      </c>
      <c r="D452">
        <f>VLOOKUP(A452,收盤價!A:C,3,0)</f>
        <v>12.9</v>
      </c>
      <c r="E452" s="126">
        <v>5.3061224489795944E-2</v>
      </c>
      <c r="F452">
        <v>71.34</v>
      </c>
    </row>
    <row r="453" spans="1:6">
      <c r="A453">
        <v>5534</v>
      </c>
      <c r="B453" t="s">
        <v>1228</v>
      </c>
      <c r="C453">
        <v>45.5</v>
      </c>
      <c r="D453">
        <f>VLOOKUP(A453,收盤價!A:C,3,0)</f>
        <v>47.9</v>
      </c>
      <c r="E453" s="126">
        <v>5.2747252747252719E-2</v>
      </c>
      <c r="F453">
        <v>71.27</v>
      </c>
    </row>
    <row r="454" spans="1:6">
      <c r="A454">
        <v>2509</v>
      </c>
      <c r="B454" t="s">
        <v>924</v>
      </c>
      <c r="C454">
        <v>22.8</v>
      </c>
      <c r="D454">
        <f>VLOOKUP(A454,收盤價!A:C,3,0)</f>
        <v>24</v>
      </c>
      <c r="E454" s="126">
        <v>5.263157894736839E-2</v>
      </c>
      <c r="F454">
        <v>71.209999999999994</v>
      </c>
    </row>
    <row r="455" spans="1:6">
      <c r="A455">
        <v>8050</v>
      </c>
      <c r="B455" t="s">
        <v>1763</v>
      </c>
      <c r="C455">
        <v>51.5</v>
      </c>
      <c r="D455">
        <f>VLOOKUP(A455,收盤價!A:C,3,0)</f>
        <v>54.2</v>
      </c>
      <c r="E455" s="126">
        <v>5.2427184466019475E-2</v>
      </c>
      <c r="F455">
        <v>71.150000000000006</v>
      </c>
    </row>
    <row r="456" spans="1:6">
      <c r="A456">
        <v>3707</v>
      </c>
      <c r="B456" t="s">
        <v>345</v>
      </c>
      <c r="C456">
        <v>9.6</v>
      </c>
      <c r="D456">
        <f>VLOOKUP(A456,收盤價!A:C,3,0)</f>
        <v>10.1</v>
      </c>
      <c r="E456" s="126">
        <v>5.2083333333333336E-2</v>
      </c>
      <c r="F456">
        <v>71.08</v>
      </c>
    </row>
    <row r="457" spans="1:6">
      <c r="A457">
        <v>3042</v>
      </c>
      <c r="B457" t="s">
        <v>1058</v>
      </c>
      <c r="C457">
        <v>37.5</v>
      </c>
      <c r="D457">
        <f>VLOOKUP(A457,收盤價!A:C,3,0)</f>
        <v>39.450000000000003</v>
      </c>
      <c r="E457" s="126">
        <v>5.2000000000000074E-2</v>
      </c>
      <c r="F457">
        <v>71.02</v>
      </c>
    </row>
    <row r="458" spans="1:6">
      <c r="A458">
        <v>8070</v>
      </c>
      <c r="B458" t="s">
        <v>1320</v>
      </c>
      <c r="C458">
        <v>85</v>
      </c>
      <c r="D458">
        <f>VLOOKUP(A458,收盤價!A:C,3,0)</f>
        <v>89.4</v>
      </c>
      <c r="E458" s="126">
        <v>5.1764705882353011E-2</v>
      </c>
      <c r="F458">
        <v>70.959999999999994</v>
      </c>
    </row>
    <row r="459" spans="1:6">
      <c r="A459">
        <v>1446</v>
      </c>
      <c r="B459" t="s">
        <v>599</v>
      </c>
      <c r="C459">
        <v>20.95</v>
      </c>
      <c r="D459">
        <f>VLOOKUP(A459,收盤價!A:C,3,0)</f>
        <v>22</v>
      </c>
      <c r="E459" s="126">
        <v>5.0119331742243471E-2</v>
      </c>
      <c r="F459">
        <v>70.89</v>
      </c>
    </row>
    <row r="460" spans="1:6">
      <c r="A460">
        <v>1409</v>
      </c>
      <c r="B460" t="s">
        <v>577</v>
      </c>
      <c r="C460">
        <v>9.1</v>
      </c>
      <c r="D460">
        <f>VLOOKUP(A460,收盤價!A:C,3,0)</f>
        <v>9.5500000000000007</v>
      </c>
      <c r="E460" s="126">
        <v>4.9450549450549566E-2</v>
      </c>
      <c r="F460">
        <v>70.83</v>
      </c>
    </row>
    <row r="461" spans="1:6">
      <c r="A461">
        <v>2460</v>
      </c>
      <c r="B461" t="s">
        <v>889</v>
      </c>
      <c r="C461">
        <v>9.5299999999999994</v>
      </c>
      <c r="D461">
        <f>VLOOKUP(A461,收盤價!A:C,3,0)</f>
        <v>10</v>
      </c>
      <c r="E461" s="126">
        <v>4.9317943336831128E-2</v>
      </c>
      <c r="F461">
        <v>70.77</v>
      </c>
    </row>
    <row r="462" spans="1:6">
      <c r="A462">
        <v>4916</v>
      </c>
      <c r="B462" t="s">
        <v>1187</v>
      </c>
      <c r="C462">
        <v>24.05</v>
      </c>
      <c r="D462">
        <f>VLOOKUP(A462,收盤價!A:C,3,0)</f>
        <v>25.2</v>
      </c>
      <c r="E462" s="126">
        <v>4.7817047817047757E-2</v>
      </c>
      <c r="F462">
        <v>70.7</v>
      </c>
    </row>
    <row r="463" spans="1:6">
      <c r="A463">
        <v>1432</v>
      </c>
      <c r="B463" t="s">
        <v>586</v>
      </c>
      <c r="C463">
        <v>20.95</v>
      </c>
      <c r="D463">
        <f>VLOOKUP(A463,收盤價!A:C,3,0)</f>
        <v>21.95</v>
      </c>
      <c r="E463" s="126">
        <v>4.77326968973747E-2</v>
      </c>
      <c r="F463">
        <v>70.64</v>
      </c>
    </row>
    <row r="464" spans="1:6">
      <c r="A464">
        <v>6182</v>
      </c>
      <c r="B464" t="s">
        <v>447</v>
      </c>
      <c r="C464">
        <v>11.55</v>
      </c>
      <c r="D464">
        <f>VLOOKUP(A464,收盤價!A:C,3,0)</f>
        <v>12.1</v>
      </c>
      <c r="E464" s="126">
        <v>4.7619047619047526E-2</v>
      </c>
      <c r="F464">
        <v>70.58</v>
      </c>
    </row>
    <row r="465" spans="1:6">
      <c r="A465">
        <v>9943</v>
      </c>
      <c r="B465" t="s">
        <v>1406</v>
      </c>
      <c r="C465">
        <v>54.7</v>
      </c>
      <c r="D465">
        <f>VLOOKUP(A465,收盤價!A:C,3,0)</f>
        <v>57.3</v>
      </c>
      <c r="E465" s="126">
        <v>4.7531992687385637E-2</v>
      </c>
      <c r="F465">
        <v>70.510000000000005</v>
      </c>
    </row>
    <row r="466" spans="1:6">
      <c r="A466">
        <v>3489</v>
      </c>
      <c r="B466" t="s">
        <v>315</v>
      </c>
      <c r="C466">
        <v>10.55</v>
      </c>
      <c r="D466">
        <f>VLOOKUP(A466,收盤價!A:C,3,0)</f>
        <v>11.05</v>
      </c>
      <c r="E466" s="126">
        <v>4.7393364928909949E-2</v>
      </c>
      <c r="F466">
        <v>70.45</v>
      </c>
    </row>
    <row r="467" spans="1:6">
      <c r="A467">
        <v>2399</v>
      </c>
      <c r="B467" t="s">
        <v>842</v>
      </c>
      <c r="C467">
        <v>7.6</v>
      </c>
      <c r="D467">
        <f>VLOOKUP(A467,收盤價!A:C,3,0)</f>
        <v>7.96</v>
      </c>
      <c r="E467" s="126">
        <v>4.7368421052631622E-2</v>
      </c>
      <c r="F467">
        <v>70.39</v>
      </c>
    </row>
    <row r="468" spans="1:6">
      <c r="A468">
        <v>4429</v>
      </c>
      <c r="B468" t="s">
        <v>362</v>
      </c>
      <c r="C468">
        <v>22.25</v>
      </c>
      <c r="D468">
        <f>VLOOKUP(A468,收盤價!A:C,3,0)</f>
        <v>23.3</v>
      </c>
      <c r="E468" s="126">
        <v>4.7191011235955087E-2</v>
      </c>
      <c r="F468">
        <v>70.319999999999993</v>
      </c>
    </row>
    <row r="469" spans="1:6">
      <c r="A469">
        <v>2438</v>
      </c>
      <c r="B469" t="s">
        <v>871</v>
      </c>
      <c r="C469">
        <v>14.95</v>
      </c>
      <c r="D469">
        <f>VLOOKUP(A469,收盤價!A:C,3,0)</f>
        <v>15.65</v>
      </c>
      <c r="E469" s="126">
        <v>4.6822742474916461E-2</v>
      </c>
      <c r="F469">
        <v>70.260000000000005</v>
      </c>
    </row>
    <row r="470" spans="1:6">
      <c r="A470">
        <v>3023</v>
      </c>
      <c r="B470" t="s">
        <v>1040</v>
      </c>
      <c r="C470">
        <v>62.1</v>
      </c>
      <c r="D470">
        <f>VLOOKUP(A470,收盤價!A:C,3,0)</f>
        <v>65</v>
      </c>
      <c r="E470" s="126">
        <v>4.6698872785829286E-2</v>
      </c>
      <c r="F470">
        <v>70.2</v>
      </c>
    </row>
    <row r="471" spans="1:6">
      <c r="A471">
        <v>2104</v>
      </c>
      <c r="B471" t="s">
        <v>759</v>
      </c>
      <c r="C471">
        <v>24.65</v>
      </c>
      <c r="D471">
        <f>VLOOKUP(A471,收盤價!A:C,3,0)</f>
        <v>25.8</v>
      </c>
      <c r="E471" s="126">
        <v>4.665314401622727E-2</v>
      </c>
      <c r="F471">
        <v>70.13</v>
      </c>
    </row>
    <row r="472" spans="1:6">
      <c r="A472">
        <v>2102</v>
      </c>
      <c r="B472" t="s">
        <v>757</v>
      </c>
      <c r="C472">
        <v>15.05</v>
      </c>
      <c r="D472">
        <f>VLOOKUP(A472,收盤價!A:C,3,0)</f>
        <v>15.75</v>
      </c>
      <c r="E472" s="126">
        <v>4.6511627906976695E-2</v>
      </c>
      <c r="F472">
        <v>70.069999999999993</v>
      </c>
    </row>
    <row r="473" spans="1:6">
      <c r="A473">
        <v>1603</v>
      </c>
      <c r="B473" t="s">
        <v>664</v>
      </c>
      <c r="C473">
        <v>11.9</v>
      </c>
      <c r="D473">
        <f>VLOOKUP(A473,收盤價!A:C,3,0)</f>
        <v>12.45</v>
      </c>
      <c r="E473" s="126">
        <v>4.6218487394957895E-2</v>
      </c>
      <c r="F473">
        <v>70.010000000000005</v>
      </c>
    </row>
    <row r="474" spans="1:6">
      <c r="A474">
        <v>2478</v>
      </c>
      <c r="B474" t="s">
        <v>902</v>
      </c>
      <c r="C474">
        <v>15.15</v>
      </c>
      <c r="D474">
        <f>VLOOKUP(A474,收盤價!A:C,3,0)</f>
        <v>15.85</v>
      </c>
      <c r="E474" s="126">
        <v>4.620462046204616E-2</v>
      </c>
      <c r="F474">
        <v>69.94</v>
      </c>
    </row>
    <row r="475" spans="1:6">
      <c r="A475">
        <v>9929</v>
      </c>
      <c r="B475" t="s">
        <v>1394</v>
      </c>
      <c r="C475">
        <v>13</v>
      </c>
      <c r="D475">
        <f>VLOOKUP(A475,收盤價!A:C,3,0)</f>
        <v>13.6</v>
      </c>
      <c r="E475" s="126">
        <v>4.6153846153846129E-2</v>
      </c>
      <c r="F475">
        <v>69.88</v>
      </c>
    </row>
    <row r="476" spans="1:6">
      <c r="A476">
        <v>3563</v>
      </c>
      <c r="B476" t="s">
        <v>330</v>
      </c>
      <c r="C476">
        <v>45.9</v>
      </c>
      <c r="D476">
        <f>VLOOKUP(A476,收盤價!A:C,3,0)</f>
        <v>48</v>
      </c>
      <c r="E476" s="126">
        <v>4.5751633986928136E-2</v>
      </c>
      <c r="F476">
        <v>69.819999999999993</v>
      </c>
    </row>
    <row r="477" spans="1:6">
      <c r="A477">
        <v>2408</v>
      </c>
      <c r="B477" t="s">
        <v>848</v>
      </c>
      <c r="C477">
        <v>40.85</v>
      </c>
      <c r="D477">
        <f>VLOOKUP(A477,收盤價!A:C,3,0)</f>
        <v>42.7</v>
      </c>
      <c r="E477" s="126">
        <v>4.5287637698898445E-2</v>
      </c>
      <c r="F477">
        <v>69.75</v>
      </c>
    </row>
    <row r="478" spans="1:6">
      <c r="A478">
        <v>6236</v>
      </c>
      <c r="B478" t="s">
        <v>461</v>
      </c>
      <c r="C478">
        <v>32.450000000000003</v>
      </c>
      <c r="D478">
        <f>VLOOKUP(A478,收盤價!A:C,3,0)</f>
        <v>33.9</v>
      </c>
      <c r="E478" s="126">
        <v>4.4684129429892007E-2</v>
      </c>
      <c r="F478">
        <v>69.69</v>
      </c>
    </row>
    <row r="479" spans="1:6">
      <c r="A479">
        <v>2329</v>
      </c>
      <c r="B479" t="s">
        <v>793</v>
      </c>
      <c r="C479">
        <v>12.35</v>
      </c>
      <c r="D479">
        <f>VLOOKUP(A479,收盤價!A:C,3,0)</f>
        <v>12.9</v>
      </c>
      <c r="E479" s="126">
        <v>4.4534412955465646E-2</v>
      </c>
      <c r="F479">
        <v>69.63</v>
      </c>
    </row>
    <row r="480" spans="1:6">
      <c r="A480">
        <v>6509</v>
      </c>
      <c r="B480" t="s">
        <v>477</v>
      </c>
      <c r="C480">
        <v>19.350000000000001</v>
      </c>
      <c r="D480">
        <f>VLOOKUP(A480,收盤價!A:C,3,0)</f>
        <v>20.2</v>
      </c>
      <c r="E480" s="126">
        <v>4.3927648578811256E-2</v>
      </c>
      <c r="F480">
        <v>69.56</v>
      </c>
    </row>
    <row r="481" spans="1:6">
      <c r="A481">
        <v>1536</v>
      </c>
      <c r="B481" t="s">
        <v>650</v>
      </c>
      <c r="C481">
        <v>115</v>
      </c>
      <c r="D481">
        <f>VLOOKUP(A481,收盤價!A:C,3,0)</f>
        <v>120</v>
      </c>
      <c r="E481" s="126">
        <v>4.3478260869565216E-2</v>
      </c>
      <c r="F481">
        <v>69.5</v>
      </c>
    </row>
    <row r="482" spans="1:6">
      <c r="A482">
        <v>2228</v>
      </c>
      <c r="B482" t="s">
        <v>773</v>
      </c>
      <c r="C482">
        <v>173</v>
      </c>
      <c r="D482">
        <f>VLOOKUP(A482,收盤價!A:C,3,0)</f>
        <v>180.5</v>
      </c>
      <c r="E482" s="126">
        <v>4.3352601156069363E-2</v>
      </c>
      <c r="F482">
        <v>69.44</v>
      </c>
    </row>
    <row r="483" spans="1:6">
      <c r="A483">
        <v>6203</v>
      </c>
      <c r="B483" t="s">
        <v>451</v>
      </c>
      <c r="C483">
        <v>32.6</v>
      </c>
      <c r="D483">
        <f>VLOOKUP(A483,收盤價!A:C,3,0)</f>
        <v>34</v>
      </c>
      <c r="E483" s="126">
        <v>4.2944785276073573E-2</v>
      </c>
      <c r="F483">
        <v>69.37</v>
      </c>
    </row>
    <row r="484" spans="1:6">
      <c r="A484">
        <v>2437</v>
      </c>
      <c r="B484" t="s">
        <v>870</v>
      </c>
      <c r="C484">
        <v>51.3</v>
      </c>
      <c r="D484">
        <f>VLOOKUP(A484,收盤價!A:C,3,0)</f>
        <v>53.5</v>
      </c>
      <c r="E484" s="126">
        <v>4.2884990253411366E-2</v>
      </c>
      <c r="F484">
        <v>69.31</v>
      </c>
    </row>
    <row r="485" spans="1:6">
      <c r="A485">
        <v>3027</v>
      </c>
      <c r="B485" t="s">
        <v>1044</v>
      </c>
      <c r="C485">
        <v>14.05</v>
      </c>
      <c r="D485">
        <f>VLOOKUP(A485,收盤價!A:C,3,0)</f>
        <v>14.65</v>
      </c>
      <c r="E485" s="126">
        <v>4.2704626334519546E-2</v>
      </c>
      <c r="F485">
        <v>69.25</v>
      </c>
    </row>
    <row r="486" spans="1:6">
      <c r="A486">
        <v>6206</v>
      </c>
      <c r="B486" t="s">
        <v>1272</v>
      </c>
      <c r="C486">
        <v>105.5</v>
      </c>
      <c r="D486">
        <f>VLOOKUP(A486,收盤價!A:C,3,0)</f>
        <v>110</v>
      </c>
      <c r="E486" s="126">
        <v>4.2654028436018961E-2</v>
      </c>
      <c r="F486">
        <v>69.180000000000007</v>
      </c>
    </row>
    <row r="487" spans="1:6">
      <c r="A487">
        <v>5395</v>
      </c>
      <c r="B487" t="s">
        <v>1647</v>
      </c>
      <c r="C487">
        <v>30.55</v>
      </c>
      <c r="D487">
        <f>VLOOKUP(A487,收盤價!A:C,3,0)</f>
        <v>31.85</v>
      </c>
      <c r="E487" s="126">
        <v>4.2553191489361722E-2</v>
      </c>
      <c r="F487">
        <v>69.12</v>
      </c>
    </row>
    <row r="488" spans="1:6">
      <c r="A488">
        <v>2465</v>
      </c>
      <c r="B488" t="s">
        <v>893</v>
      </c>
      <c r="C488">
        <v>9.93</v>
      </c>
      <c r="D488">
        <f>VLOOKUP(A488,收盤價!A:C,3,0)</f>
        <v>10.35</v>
      </c>
      <c r="E488" s="126">
        <v>4.2296072507552865E-2</v>
      </c>
      <c r="F488">
        <v>69.06</v>
      </c>
    </row>
    <row r="489" spans="1:6">
      <c r="A489">
        <v>1514</v>
      </c>
      <c r="B489" t="s">
        <v>632</v>
      </c>
      <c r="C489">
        <v>8.31</v>
      </c>
      <c r="D489">
        <f>VLOOKUP(A489,收盤價!A:C,3,0)</f>
        <v>8.66</v>
      </c>
      <c r="E489" s="126">
        <v>4.2117930204572759E-2</v>
      </c>
      <c r="F489">
        <v>68.989999999999995</v>
      </c>
    </row>
    <row r="490" spans="1:6">
      <c r="A490">
        <v>1732</v>
      </c>
      <c r="B490" t="s">
        <v>703</v>
      </c>
      <c r="C490">
        <v>13.1</v>
      </c>
      <c r="D490">
        <f>VLOOKUP(A490,收盤價!A:C,3,0)</f>
        <v>13.65</v>
      </c>
      <c r="E490" s="126">
        <v>4.1984732824427537E-2</v>
      </c>
      <c r="F490">
        <v>68.930000000000007</v>
      </c>
    </row>
    <row r="491" spans="1:6">
      <c r="A491">
        <v>2536</v>
      </c>
      <c r="B491" t="s">
        <v>936</v>
      </c>
      <c r="C491">
        <v>22.65</v>
      </c>
      <c r="D491">
        <f>VLOOKUP(A491,收盤價!A:C,3,0)</f>
        <v>23.6</v>
      </c>
      <c r="E491" s="126">
        <v>4.1942604856512272E-2</v>
      </c>
      <c r="F491">
        <v>68.86</v>
      </c>
    </row>
    <row r="492" spans="1:6">
      <c r="A492">
        <v>8099</v>
      </c>
      <c r="B492" t="s">
        <v>1780</v>
      </c>
      <c r="C492">
        <v>17.899999999999999</v>
      </c>
      <c r="D492">
        <f>VLOOKUP(A492,收盤價!A:C,3,0)</f>
        <v>18.649999999999999</v>
      </c>
      <c r="E492" s="126">
        <v>4.1899441340782127E-2</v>
      </c>
      <c r="F492">
        <v>68.8</v>
      </c>
    </row>
    <row r="493" spans="1:6">
      <c r="A493">
        <v>3299</v>
      </c>
      <c r="B493" t="s">
        <v>298</v>
      </c>
      <c r="C493">
        <v>52.8</v>
      </c>
      <c r="D493">
        <f>VLOOKUP(A493,收盤價!A:C,3,0)</f>
        <v>55</v>
      </c>
      <c r="E493" s="126">
        <v>4.166666666666672E-2</v>
      </c>
      <c r="F493">
        <v>68.739999999999995</v>
      </c>
    </row>
    <row r="494" spans="1:6">
      <c r="A494">
        <v>3305</v>
      </c>
      <c r="B494" t="s">
        <v>1090</v>
      </c>
      <c r="C494">
        <v>24.2</v>
      </c>
      <c r="D494">
        <f>VLOOKUP(A494,收盤價!A:C,3,0)</f>
        <v>25.2</v>
      </c>
      <c r="E494" s="126">
        <v>4.1322314049586778E-2</v>
      </c>
      <c r="F494">
        <v>68.67</v>
      </c>
    </row>
    <row r="495" spans="1:6">
      <c r="A495">
        <v>2312</v>
      </c>
      <c r="B495" t="s">
        <v>782</v>
      </c>
      <c r="C495">
        <v>10.9</v>
      </c>
      <c r="D495">
        <f>VLOOKUP(A495,收盤價!A:C,3,0)</f>
        <v>11.35</v>
      </c>
      <c r="E495" s="126">
        <v>4.1284403669724704E-2</v>
      </c>
      <c r="F495">
        <v>68.61</v>
      </c>
    </row>
    <row r="496" spans="1:6">
      <c r="A496">
        <v>1203</v>
      </c>
      <c r="B496" t="s">
        <v>533</v>
      </c>
      <c r="C496">
        <v>21.9</v>
      </c>
      <c r="D496">
        <f>VLOOKUP(A496,收盤價!A:C,3,0)</f>
        <v>22.8</v>
      </c>
      <c r="E496" s="126">
        <v>4.1095890410959006E-2</v>
      </c>
      <c r="F496">
        <v>68.55</v>
      </c>
    </row>
    <row r="497" spans="1:6">
      <c r="A497">
        <v>6605</v>
      </c>
      <c r="B497" t="s">
        <v>1312</v>
      </c>
      <c r="C497">
        <v>110</v>
      </c>
      <c r="D497">
        <f>VLOOKUP(A497,收盤價!A:C,3,0)</f>
        <v>114.5</v>
      </c>
      <c r="E497" s="126">
        <v>4.0909090909090909E-2</v>
      </c>
      <c r="F497">
        <v>68.48</v>
      </c>
    </row>
    <row r="498" spans="1:6">
      <c r="A498">
        <v>9908</v>
      </c>
      <c r="B498" t="s">
        <v>1380</v>
      </c>
      <c r="C498">
        <v>22.2</v>
      </c>
      <c r="D498">
        <f>VLOOKUP(A498,收盤價!A:C,3,0)</f>
        <v>23.1</v>
      </c>
      <c r="E498" s="126">
        <v>4.054054054054064E-2</v>
      </c>
      <c r="F498">
        <v>68.42</v>
      </c>
    </row>
    <row r="499" spans="1:6">
      <c r="A499">
        <v>6155</v>
      </c>
      <c r="B499" t="s">
        <v>1254</v>
      </c>
      <c r="C499">
        <v>18.5</v>
      </c>
      <c r="D499">
        <f>VLOOKUP(A499,收盤價!A:C,3,0)</f>
        <v>19.25</v>
      </c>
      <c r="E499" s="126">
        <v>4.0540540540540543E-2</v>
      </c>
      <c r="F499">
        <v>68.36</v>
      </c>
    </row>
    <row r="500" spans="1:6">
      <c r="A500">
        <v>3066</v>
      </c>
      <c r="B500" t="s">
        <v>1444</v>
      </c>
      <c r="C500">
        <v>7.6</v>
      </c>
      <c r="D500">
        <f>VLOOKUP(A500,收盤價!A:C,3,0)</f>
        <v>7.9</v>
      </c>
      <c r="E500" s="126">
        <v>3.9473684210526411E-2</v>
      </c>
      <c r="F500">
        <v>68.290000000000006</v>
      </c>
    </row>
    <row r="501" spans="1:6">
      <c r="A501">
        <v>1531</v>
      </c>
      <c r="B501" t="s">
        <v>646</v>
      </c>
      <c r="C501">
        <v>17.850000000000001</v>
      </c>
      <c r="D501">
        <f>VLOOKUP(A501,收盤價!A:C,3,0)</f>
        <v>18.55</v>
      </c>
      <c r="E501" s="126">
        <v>3.9215686274509762E-2</v>
      </c>
      <c r="F501">
        <v>68.23</v>
      </c>
    </row>
    <row r="502" spans="1:6">
      <c r="A502">
        <v>4912</v>
      </c>
      <c r="B502" t="s">
        <v>1185</v>
      </c>
      <c r="C502">
        <v>85</v>
      </c>
      <c r="D502">
        <f>VLOOKUP(A502,收盤價!A:C,3,0)</f>
        <v>88.3</v>
      </c>
      <c r="E502" s="126">
        <v>3.8823529411764673E-2</v>
      </c>
      <c r="F502">
        <v>68.17</v>
      </c>
    </row>
    <row r="503" spans="1:6">
      <c r="A503">
        <v>6161</v>
      </c>
      <c r="B503" t="s">
        <v>441</v>
      </c>
      <c r="C503">
        <v>6.97</v>
      </c>
      <c r="D503">
        <f>VLOOKUP(A503,收盤價!A:C,3,0)</f>
        <v>7.24</v>
      </c>
      <c r="E503" s="126">
        <v>3.8737446197991458E-2</v>
      </c>
      <c r="F503">
        <v>68.099999999999994</v>
      </c>
    </row>
    <row r="504" spans="1:6">
      <c r="A504">
        <v>6257</v>
      </c>
      <c r="B504" t="s">
        <v>1286</v>
      </c>
      <c r="C504">
        <v>23.25</v>
      </c>
      <c r="D504">
        <f>VLOOKUP(A504,收盤價!A:C,3,0)</f>
        <v>24.15</v>
      </c>
      <c r="E504" s="126">
        <v>3.8709677419354778E-2</v>
      </c>
      <c r="F504">
        <v>68.040000000000006</v>
      </c>
    </row>
    <row r="505" spans="1:6">
      <c r="A505">
        <v>2596</v>
      </c>
      <c r="B505" t="s">
        <v>1432</v>
      </c>
      <c r="C505">
        <v>13</v>
      </c>
      <c r="D505">
        <f>VLOOKUP(A505,收盤價!A:C,3,0)</f>
        <v>13.5</v>
      </c>
      <c r="E505" s="126">
        <v>3.8461538461538464E-2</v>
      </c>
      <c r="F505">
        <v>67.98</v>
      </c>
    </row>
    <row r="506" spans="1:6">
      <c r="A506">
        <v>1618</v>
      </c>
      <c r="B506" t="s">
        <v>676</v>
      </c>
      <c r="C506">
        <v>7.32</v>
      </c>
      <c r="D506">
        <f>VLOOKUP(A506,收盤價!A:C,3,0)</f>
        <v>7.6</v>
      </c>
      <c r="E506" s="126">
        <v>3.825136612021849E-2</v>
      </c>
      <c r="F506">
        <v>67.91</v>
      </c>
    </row>
    <row r="507" spans="1:6">
      <c r="A507">
        <v>8032</v>
      </c>
      <c r="B507" t="s">
        <v>1754</v>
      </c>
      <c r="C507">
        <v>27.7</v>
      </c>
      <c r="D507">
        <f>VLOOKUP(A507,收盤價!A:C,3,0)</f>
        <v>28.75</v>
      </c>
      <c r="E507" s="126">
        <v>3.7906137184115549E-2</v>
      </c>
      <c r="F507">
        <v>67.849999999999994</v>
      </c>
    </row>
    <row r="508" spans="1:6">
      <c r="A508">
        <v>6104</v>
      </c>
      <c r="B508" t="s">
        <v>1685</v>
      </c>
      <c r="C508">
        <v>40.5</v>
      </c>
      <c r="D508">
        <f>VLOOKUP(A508,收盤價!A:C,3,0)</f>
        <v>42</v>
      </c>
      <c r="E508" s="126">
        <v>3.7037037037037035E-2</v>
      </c>
      <c r="F508">
        <v>67.790000000000006</v>
      </c>
    </row>
    <row r="509" spans="1:6">
      <c r="A509">
        <v>2616</v>
      </c>
      <c r="B509" t="s">
        <v>961</v>
      </c>
      <c r="C509">
        <v>23</v>
      </c>
      <c r="D509">
        <f>VLOOKUP(A509,收盤價!A:C,3,0)</f>
        <v>23.85</v>
      </c>
      <c r="E509" s="126">
        <v>3.6956521739130499E-2</v>
      </c>
      <c r="F509">
        <v>67.72</v>
      </c>
    </row>
    <row r="510" spans="1:6">
      <c r="A510">
        <v>6163</v>
      </c>
      <c r="B510" t="s">
        <v>442</v>
      </c>
      <c r="C510">
        <v>10.95</v>
      </c>
      <c r="D510">
        <f>VLOOKUP(A510,收盤價!A:C,3,0)</f>
        <v>11.35</v>
      </c>
      <c r="E510" s="126">
        <v>3.6529680365296836E-2</v>
      </c>
      <c r="F510">
        <v>67.66</v>
      </c>
    </row>
    <row r="511" spans="1:6">
      <c r="A511">
        <v>6109</v>
      </c>
      <c r="B511" t="s">
        <v>1688</v>
      </c>
      <c r="C511">
        <v>13.75</v>
      </c>
      <c r="D511">
        <f>VLOOKUP(A511,收盤價!A:C,3,0)</f>
        <v>14.25</v>
      </c>
      <c r="E511" s="126">
        <v>3.6363636363636362E-2</v>
      </c>
      <c r="F511">
        <v>67.599999999999994</v>
      </c>
    </row>
    <row r="512" spans="1:6">
      <c r="A512">
        <v>6412</v>
      </c>
      <c r="B512" t="s">
        <v>1299</v>
      </c>
      <c r="C512">
        <v>36.1</v>
      </c>
      <c r="D512">
        <f>VLOOKUP(A512,收盤價!A:C,3,0)</f>
        <v>37.4</v>
      </c>
      <c r="E512" s="126">
        <v>3.6011080332409892E-2</v>
      </c>
      <c r="F512">
        <v>67.53</v>
      </c>
    </row>
    <row r="513" spans="1:6">
      <c r="A513">
        <v>5310</v>
      </c>
      <c r="B513" t="s">
        <v>1631</v>
      </c>
      <c r="C513">
        <v>26.45</v>
      </c>
      <c r="D513">
        <f>VLOOKUP(A513,收盤價!A:C,3,0)</f>
        <v>27.4</v>
      </c>
      <c r="E513" s="126">
        <v>3.5916824196597329E-2</v>
      </c>
      <c r="F513">
        <v>67.47</v>
      </c>
    </row>
    <row r="514" spans="1:6">
      <c r="A514">
        <v>3026</v>
      </c>
      <c r="B514" t="s">
        <v>1043</v>
      </c>
      <c r="C514">
        <v>34.1</v>
      </c>
      <c r="D514">
        <f>VLOOKUP(A514,收盤價!A:C,3,0)</f>
        <v>35.299999999999997</v>
      </c>
      <c r="E514" s="126">
        <v>3.5190615835776998E-2</v>
      </c>
      <c r="F514">
        <v>67.41</v>
      </c>
    </row>
    <row r="515" spans="1:6">
      <c r="A515">
        <v>3388</v>
      </c>
      <c r="B515" t="s">
        <v>308</v>
      </c>
      <c r="C515">
        <v>62.6</v>
      </c>
      <c r="D515">
        <f>VLOOKUP(A515,收盤價!A:C,3,0)</f>
        <v>64.8</v>
      </c>
      <c r="E515" s="126">
        <v>3.5143769968051047E-2</v>
      </c>
      <c r="F515">
        <v>67.34</v>
      </c>
    </row>
    <row r="516" spans="1:6">
      <c r="A516">
        <v>2850</v>
      </c>
      <c r="B516" t="s">
        <v>992</v>
      </c>
      <c r="C516">
        <v>22.8</v>
      </c>
      <c r="D516">
        <f>VLOOKUP(A516,收盤價!A:C,3,0)</f>
        <v>23.6</v>
      </c>
      <c r="E516" s="126">
        <v>3.5087719298245647E-2</v>
      </c>
      <c r="F516">
        <v>67.28</v>
      </c>
    </row>
    <row r="517" spans="1:6">
      <c r="A517">
        <v>1468</v>
      </c>
      <c r="B517" t="s">
        <v>616</v>
      </c>
      <c r="C517">
        <v>9.7100000000000009</v>
      </c>
      <c r="D517">
        <f>VLOOKUP(A517,收盤價!A:C,3,0)</f>
        <v>10.050000000000001</v>
      </c>
      <c r="E517" s="126">
        <v>3.5015447991761053E-2</v>
      </c>
      <c r="F517">
        <v>67.22</v>
      </c>
    </row>
    <row r="518" spans="1:6">
      <c r="A518">
        <v>6281</v>
      </c>
      <c r="B518" t="s">
        <v>1291</v>
      </c>
      <c r="C518">
        <v>57.2</v>
      </c>
      <c r="D518">
        <f>VLOOKUP(A518,收盤價!A:C,3,0)</f>
        <v>59.2</v>
      </c>
      <c r="E518" s="126">
        <v>3.4965034965034961E-2</v>
      </c>
      <c r="F518">
        <v>67.150000000000006</v>
      </c>
    </row>
    <row r="519" spans="1:6">
      <c r="A519">
        <v>8435</v>
      </c>
      <c r="B519" t="s">
        <v>503</v>
      </c>
      <c r="C519">
        <v>47.45</v>
      </c>
      <c r="D519">
        <f>VLOOKUP(A519,收盤價!A:C,3,0)</f>
        <v>49.1</v>
      </c>
      <c r="E519" s="126">
        <v>3.4773445732349813E-2</v>
      </c>
      <c r="F519">
        <v>67.09</v>
      </c>
    </row>
    <row r="520" spans="1:6">
      <c r="A520">
        <v>5511</v>
      </c>
      <c r="B520" t="s">
        <v>1665</v>
      </c>
      <c r="C520">
        <v>24.6</v>
      </c>
      <c r="D520">
        <f>VLOOKUP(A520,收盤價!A:C,3,0)</f>
        <v>25.45</v>
      </c>
      <c r="E520" s="126">
        <v>3.4552845528455195E-2</v>
      </c>
      <c r="F520">
        <v>67.03</v>
      </c>
    </row>
    <row r="521" spans="1:6">
      <c r="A521">
        <v>3034</v>
      </c>
      <c r="B521" t="s">
        <v>1051</v>
      </c>
      <c r="C521">
        <v>130.5</v>
      </c>
      <c r="D521">
        <f>VLOOKUP(A521,收盤價!A:C,3,0)</f>
        <v>135</v>
      </c>
      <c r="E521" s="126">
        <v>3.4482758620689655E-2</v>
      </c>
      <c r="F521">
        <v>66.959999999999994</v>
      </c>
    </row>
    <row r="522" spans="1:6">
      <c r="A522">
        <v>1308</v>
      </c>
      <c r="B522" t="s">
        <v>557</v>
      </c>
      <c r="C522">
        <v>18.850000000000001</v>
      </c>
      <c r="D522">
        <f>VLOOKUP(A522,收盤價!A:C,3,0)</f>
        <v>19.5</v>
      </c>
      <c r="E522" s="126">
        <v>3.4482758620689578E-2</v>
      </c>
      <c r="F522">
        <v>66.900000000000006</v>
      </c>
    </row>
    <row r="523" spans="1:6">
      <c r="A523">
        <v>1216</v>
      </c>
      <c r="B523" t="s">
        <v>537</v>
      </c>
      <c r="C523">
        <v>55.5</v>
      </c>
      <c r="D523">
        <f>VLOOKUP(A523,收盤價!A:C,3,0)</f>
        <v>57.4</v>
      </c>
      <c r="E523" s="126">
        <v>3.4234234234234211E-2</v>
      </c>
      <c r="F523">
        <v>66.84</v>
      </c>
    </row>
    <row r="524" spans="1:6">
      <c r="A524">
        <v>6216</v>
      </c>
      <c r="B524" t="s">
        <v>1277</v>
      </c>
      <c r="C524">
        <v>27.9</v>
      </c>
      <c r="D524">
        <f>VLOOKUP(A524,收盤價!A:C,3,0)</f>
        <v>28.85</v>
      </c>
      <c r="E524" s="126">
        <v>3.405017921146964E-2</v>
      </c>
      <c r="F524">
        <v>66.77</v>
      </c>
    </row>
    <row r="525" spans="1:6">
      <c r="A525">
        <v>3266</v>
      </c>
      <c r="B525" t="s">
        <v>1088</v>
      </c>
      <c r="C525">
        <v>13.35</v>
      </c>
      <c r="D525">
        <f>VLOOKUP(A525,收盤價!A:C,3,0)</f>
        <v>13.8</v>
      </c>
      <c r="E525" s="126">
        <v>3.3707865168539408E-2</v>
      </c>
      <c r="F525">
        <v>66.709999999999994</v>
      </c>
    </row>
    <row r="526" spans="1:6">
      <c r="A526">
        <v>1612</v>
      </c>
      <c r="B526" t="s">
        <v>670</v>
      </c>
      <c r="C526">
        <v>8.3800000000000008</v>
      </c>
      <c r="D526">
        <f>VLOOKUP(A526,收盤價!A:C,3,0)</f>
        <v>8.66</v>
      </c>
      <c r="E526" s="126">
        <v>3.3412887828162215E-2</v>
      </c>
      <c r="F526">
        <v>66.650000000000006</v>
      </c>
    </row>
    <row r="527" spans="1:6">
      <c r="A527">
        <v>1326</v>
      </c>
      <c r="B527" t="s">
        <v>571</v>
      </c>
      <c r="C527">
        <v>76</v>
      </c>
      <c r="D527">
        <f>VLOOKUP(A527,收盤價!A:C,3,0)</f>
        <v>78.5</v>
      </c>
      <c r="E527" s="126">
        <v>3.2894736842105261E-2</v>
      </c>
      <c r="F527">
        <v>66.58</v>
      </c>
    </row>
    <row r="528" spans="1:6">
      <c r="A528">
        <v>1785</v>
      </c>
      <c r="B528" t="s">
        <v>1425</v>
      </c>
      <c r="C528">
        <v>21.3</v>
      </c>
      <c r="D528">
        <f>VLOOKUP(A528,收盤價!A:C,3,0)</f>
        <v>22</v>
      </c>
      <c r="E528" s="126">
        <v>3.2863849765258184E-2</v>
      </c>
      <c r="F528">
        <v>66.52</v>
      </c>
    </row>
    <row r="529" spans="1:6">
      <c r="A529">
        <v>6261</v>
      </c>
      <c r="B529" t="s">
        <v>468</v>
      </c>
      <c r="C529">
        <v>47.45</v>
      </c>
      <c r="D529">
        <f>VLOOKUP(A529,收盤價!A:C,3,0)</f>
        <v>49</v>
      </c>
      <c r="E529" s="126">
        <v>3.2665964172813429E-2</v>
      </c>
      <c r="F529">
        <v>66.459999999999994</v>
      </c>
    </row>
    <row r="530" spans="1:6">
      <c r="A530">
        <v>2480</v>
      </c>
      <c r="B530" t="s">
        <v>903</v>
      </c>
      <c r="C530">
        <v>26.05</v>
      </c>
      <c r="D530">
        <f>VLOOKUP(A530,收盤價!A:C,3,0)</f>
        <v>26.9</v>
      </c>
      <c r="E530" s="126">
        <v>3.2629558541266715E-2</v>
      </c>
      <c r="F530">
        <v>66.39</v>
      </c>
    </row>
    <row r="531" spans="1:6">
      <c r="A531">
        <v>3036</v>
      </c>
      <c r="B531" t="s">
        <v>1053</v>
      </c>
      <c r="C531">
        <v>37.299999999999997</v>
      </c>
      <c r="D531">
        <f>VLOOKUP(A531,收盤價!A:C,3,0)</f>
        <v>38.5</v>
      </c>
      <c r="E531" s="126">
        <v>3.2171581769437074E-2</v>
      </c>
      <c r="F531">
        <v>66.33</v>
      </c>
    </row>
    <row r="532" spans="1:6">
      <c r="A532">
        <v>5274</v>
      </c>
      <c r="B532" t="s">
        <v>1625</v>
      </c>
      <c r="C532">
        <v>345</v>
      </c>
      <c r="D532">
        <f>VLOOKUP(A532,收盤價!A:C,3,0)</f>
        <v>356</v>
      </c>
      <c r="E532" s="126">
        <v>3.1884057971014491E-2</v>
      </c>
      <c r="F532">
        <v>66.27</v>
      </c>
    </row>
    <row r="533" spans="1:6">
      <c r="A533">
        <v>1325</v>
      </c>
      <c r="B533" t="s">
        <v>570</v>
      </c>
      <c r="C533">
        <v>20.399999999999999</v>
      </c>
      <c r="D533">
        <f>VLOOKUP(A533,收盤價!A:C,3,0)</f>
        <v>21.05</v>
      </c>
      <c r="E533" s="126">
        <v>3.1862745098039325E-2</v>
      </c>
      <c r="F533">
        <v>66.2</v>
      </c>
    </row>
    <row r="534" spans="1:6">
      <c r="A534">
        <v>6202</v>
      </c>
      <c r="B534" t="s">
        <v>1270</v>
      </c>
      <c r="C534">
        <v>50.9</v>
      </c>
      <c r="D534">
        <f>VLOOKUP(A534,收盤價!A:C,3,0)</f>
        <v>52.5</v>
      </c>
      <c r="E534" s="126">
        <v>3.1434184675834996E-2</v>
      </c>
      <c r="F534">
        <v>66.14</v>
      </c>
    </row>
    <row r="535" spans="1:6">
      <c r="A535">
        <v>4541</v>
      </c>
      <c r="B535" t="s">
        <v>1586</v>
      </c>
      <c r="C535">
        <v>32.200000000000003</v>
      </c>
      <c r="D535">
        <f>VLOOKUP(A535,收盤價!A:C,3,0)</f>
        <v>33.200000000000003</v>
      </c>
      <c r="E535" s="126">
        <v>3.1055900621118009E-2</v>
      </c>
      <c r="F535">
        <v>66.069999999999993</v>
      </c>
    </row>
    <row r="536" spans="1:6">
      <c r="A536">
        <v>5203</v>
      </c>
      <c r="B536" t="s">
        <v>1205</v>
      </c>
      <c r="C536">
        <v>71.5</v>
      </c>
      <c r="D536">
        <f>VLOOKUP(A536,收盤價!A:C,3,0)</f>
        <v>73.7</v>
      </c>
      <c r="E536" s="126">
        <v>3.0769230769230809E-2</v>
      </c>
      <c r="F536">
        <v>66.010000000000005</v>
      </c>
    </row>
    <row r="537" spans="1:6">
      <c r="A537">
        <v>1439</v>
      </c>
      <c r="B537" t="s">
        <v>592</v>
      </c>
      <c r="C537">
        <v>13</v>
      </c>
      <c r="D537">
        <f>VLOOKUP(A537,收盤價!A:C,3,0)</f>
        <v>13.4</v>
      </c>
      <c r="E537" s="126">
        <v>3.0769230769230795E-2</v>
      </c>
      <c r="F537">
        <v>65.95</v>
      </c>
    </row>
    <row r="538" spans="1:6">
      <c r="A538">
        <v>1219</v>
      </c>
      <c r="B538" t="s">
        <v>540</v>
      </c>
      <c r="C538">
        <v>14.75</v>
      </c>
      <c r="D538">
        <f>VLOOKUP(A538,收盤價!A:C,3,0)</f>
        <v>15.2</v>
      </c>
      <c r="E538" s="126">
        <v>3.0508474576271139E-2</v>
      </c>
      <c r="F538">
        <v>65.88</v>
      </c>
    </row>
    <row r="539" spans="1:6">
      <c r="A539">
        <v>4406</v>
      </c>
      <c r="B539" t="s">
        <v>1566</v>
      </c>
      <c r="C539">
        <v>11.55</v>
      </c>
      <c r="D539">
        <f>VLOOKUP(A539,收盤價!A:C,3,0)</f>
        <v>11.9</v>
      </c>
      <c r="E539" s="126">
        <v>3.0303030303030269E-2</v>
      </c>
      <c r="F539">
        <v>65.819999999999993</v>
      </c>
    </row>
    <row r="540" spans="1:6">
      <c r="A540">
        <v>3593</v>
      </c>
      <c r="B540" t="s">
        <v>1134</v>
      </c>
      <c r="C540">
        <v>8.27</v>
      </c>
      <c r="D540">
        <f>VLOOKUP(A540,收盤價!A:C,3,0)</f>
        <v>8.52</v>
      </c>
      <c r="E540" s="126">
        <v>3.0229746070133012E-2</v>
      </c>
      <c r="F540">
        <v>65.760000000000005</v>
      </c>
    </row>
    <row r="541" spans="1:6">
      <c r="A541">
        <v>3028</v>
      </c>
      <c r="B541" t="s">
        <v>1045</v>
      </c>
      <c r="C541">
        <v>16.600000000000001</v>
      </c>
      <c r="D541">
        <f>VLOOKUP(A541,收盤價!A:C,3,0)</f>
        <v>17.100000000000001</v>
      </c>
      <c r="E541" s="126">
        <v>3.012048192771084E-2</v>
      </c>
      <c r="F541">
        <v>65.69</v>
      </c>
    </row>
    <row r="542" spans="1:6">
      <c r="A542">
        <v>1584</v>
      </c>
      <c r="B542" t="s">
        <v>1418</v>
      </c>
      <c r="C542">
        <v>13.45</v>
      </c>
      <c r="D542">
        <f>VLOOKUP(A542,收盤價!A:C,3,0)</f>
        <v>13.85</v>
      </c>
      <c r="E542" s="126">
        <v>2.9739776951672889E-2</v>
      </c>
      <c r="F542">
        <v>65.63</v>
      </c>
    </row>
    <row r="543" spans="1:6">
      <c r="A543">
        <v>5902</v>
      </c>
      <c r="B543" t="s">
        <v>430</v>
      </c>
      <c r="C543">
        <v>10.15</v>
      </c>
      <c r="D543">
        <f>VLOOKUP(A543,收盤價!A:C,3,0)</f>
        <v>10.45</v>
      </c>
      <c r="E543" s="126">
        <v>2.9556650246305313E-2</v>
      </c>
      <c r="F543">
        <v>65.569999999999993</v>
      </c>
    </row>
    <row r="544" spans="1:6">
      <c r="A544">
        <v>2912</v>
      </c>
      <c r="B544" t="s">
        <v>1019</v>
      </c>
      <c r="C544">
        <v>222</v>
      </c>
      <c r="D544">
        <f>VLOOKUP(A544,收盤價!A:C,3,0)</f>
        <v>228.5</v>
      </c>
      <c r="E544" s="126">
        <v>2.9279279279279279E-2</v>
      </c>
      <c r="F544">
        <v>65.5</v>
      </c>
    </row>
    <row r="545" spans="1:6">
      <c r="A545">
        <v>2101</v>
      </c>
      <c r="B545" t="s">
        <v>756</v>
      </c>
      <c r="C545">
        <v>29.05</v>
      </c>
      <c r="D545">
        <f>VLOOKUP(A545,收盤價!A:C,3,0)</f>
        <v>29.9</v>
      </c>
      <c r="E545" s="126">
        <v>2.9259896729776174E-2</v>
      </c>
      <c r="F545">
        <v>65.44</v>
      </c>
    </row>
    <row r="546" spans="1:6">
      <c r="A546">
        <v>1519</v>
      </c>
      <c r="B546" t="s">
        <v>636</v>
      </c>
      <c r="C546">
        <v>15.75</v>
      </c>
      <c r="D546">
        <f>VLOOKUP(A546,收盤價!A:C,3,0)</f>
        <v>16.2</v>
      </c>
      <c r="E546" s="126">
        <v>2.8571428571428525E-2</v>
      </c>
      <c r="F546">
        <v>65.38</v>
      </c>
    </row>
    <row r="547" spans="1:6">
      <c r="A547">
        <v>3588</v>
      </c>
      <c r="B547" t="s">
        <v>1132</v>
      </c>
      <c r="C547">
        <v>30.05</v>
      </c>
      <c r="D547">
        <f>VLOOKUP(A547,收盤價!A:C,3,0)</f>
        <v>30.9</v>
      </c>
      <c r="E547" s="126">
        <v>2.8286189683860163E-2</v>
      </c>
      <c r="F547">
        <v>65.31</v>
      </c>
    </row>
    <row r="548" spans="1:6">
      <c r="A548">
        <v>1301</v>
      </c>
      <c r="B548" t="s">
        <v>552</v>
      </c>
      <c r="C548">
        <v>77.8</v>
      </c>
      <c r="D548">
        <f>VLOOKUP(A548,收盤價!A:C,3,0)</f>
        <v>80</v>
      </c>
      <c r="E548" s="126">
        <v>2.8277634961439625E-2</v>
      </c>
      <c r="F548">
        <v>65.25</v>
      </c>
    </row>
    <row r="549" spans="1:6">
      <c r="A549">
        <v>2035</v>
      </c>
      <c r="B549" t="s">
        <v>1429</v>
      </c>
      <c r="C549">
        <v>46</v>
      </c>
      <c r="D549">
        <f>VLOOKUP(A549,收盤價!A:C,3,0)</f>
        <v>47.3</v>
      </c>
      <c r="E549" s="126">
        <v>2.8260869565217329E-2</v>
      </c>
      <c r="F549">
        <v>65.19</v>
      </c>
    </row>
    <row r="550" spans="1:6">
      <c r="A550">
        <v>4722</v>
      </c>
      <c r="B550" t="s">
        <v>1177</v>
      </c>
      <c r="C550">
        <v>33.65</v>
      </c>
      <c r="D550">
        <f>VLOOKUP(A550,收盤價!A:C,3,0)</f>
        <v>34.6</v>
      </c>
      <c r="E550" s="126">
        <v>2.8231797919762346E-2</v>
      </c>
      <c r="F550">
        <v>65.12</v>
      </c>
    </row>
    <row r="551" spans="1:6">
      <c r="A551">
        <v>1711</v>
      </c>
      <c r="B551" t="s">
        <v>685</v>
      </c>
      <c r="C551">
        <v>21.3</v>
      </c>
      <c r="D551">
        <f>VLOOKUP(A551,收盤價!A:C,3,0)</f>
        <v>21.9</v>
      </c>
      <c r="E551" s="126">
        <v>2.8169014084506942E-2</v>
      </c>
      <c r="F551">
        <v>65.06</v>
      </c>
    </row>
    <row r="552" spans="1:6">
      <c r="A552">
        <v>5263</v>
      </c>
      <c r="B552" t="s">
        <v>1623</v>
      </c>
      <c r="C552">
        <v>284.5</v>
      </c>
      <c r="D552">
        <f>VLOOKUP(A552,收盤價!A:C,3,0)</f>
        <v>292.5</v>
      </c>
      <c r="E552" s="126">
        <v>2.8119507908611598E-2</v>
      </c>
      <c r="F552">
        <v>65</v>
      </c>
    </row>
    <row r="553" spans="1:6">
      <c r="A553">
        <v>1232</v>
      </c>
      <c r="B553" t="s">
        <v>546</v>
      </c>
      <c r="C553">
        <v>74.900000000000006</v>
      </c>
      <c r="D553">
        <f>VLOOKUP(A553,收盤價!A:C,3,0)</f>
        <v>77</v>
      </c>
      <c r="E553" s="126">
        <v>2.8037383177570017E-2</v>
      </c>
      <c r="F553">
        <v>64.930000000000007</v>
      </c>
    </row>
    <row r="554" spans="1:6">
      <c r="A554">
        <v>3260</v>
      </c>
      <c r="B554" t="s">
        <v>1472</v>
      </c>
      <c r="C554">
        <v>34</v>
      </c>
      <c r="D554">
        <f>VLOOKUP(A554,收盤價!A:C,3,0)</f>
        <v>34.950000000000003</v>
      </c>
      <c r="E554" s="126">
        <v>2.794117647058832E-2</v>
      </c>
      <c r="F554">
        <v>64.87</v>
      </c>
    </row>
    <row r="555" spans="1:6">
      <c r="A555">
        <v>4303</v>
      </c>
      <c r="B555" t="s">
        <v>1563</v>
      </c>
      <c r="C555">
        <v>12.75</v>
      </c>
      <c r="D555">
        <f>VLOOKUP(A555,收盤價!A:C,3,0)</f>
        <v>13.1</v>
      </c>
      <c r="E555" s="126">
        <v>2.7450980392156835E-2</v>
      </c>
      <c r="F555">
        <v>64.81</v>
      </c>
    </row>
    <row r="556" spans="1:6">
      <c r="A556">
        <v>8930</v>
      </c>
      <c r="B556" t="s">
        <v>512</v>
      </c>
      <c r="C556">
        <v>9.1999999999999993</v>
      </c>
      <c r="D556">
        <f>VLOOKUP(A556,收盤價!A:C,3,0)</f>
        <v>9.4499999999999993</v>
      </c>
      <c r="E556" s="126">
        <v>2.7173913043478264E-2</v>
      </c>
      <c r="F556">
        <v>64.739999999999995</v>
      </c>
    </row>
    <row r="557" spans="1:6">
      <c r="A557">
        <v>3705</v>
      </c>
      <c r="B557" t="s">
        <v>1156</v>
      </c>
      <c r="C557">
        <v>48</v>
      </c>
      <c r="D557">
        <f>VLOOKUP(A557,收盤價!A:C,3,0)</f>
        <v>49.3</v>
      </c>
      <c r="E557" s="126">
        <v>2.7083333333333275E-2</v>
      </c>
      <c r="F557">
        <v>64.680000000000007</v>
      </c>
    </row>
    <row r="558" spans="1:6">
      <c r="A558">
        <v>3437</v>
      </c>
      <c r="B558" t="s">
        <v>1105</v>
      </c>
      <c r="C558">
        <v>27.85</v>
      </c>
      <c r="D558">
        <f>VLOOKUP(A558,收盤價!A:C,3,0)</f>
        <v>28.6</v>
      </c>
      <c r="E558" s="126">
        <v>2.6929982046678635E-2</v>
      </c>
      <c r="F558">
        <v>64.62</v>
      </c>
    </row>
    <row r="559" spans="1:6">
      <c r="A559">
        <v>2527</v>
      </c>
      <c r="B559" t="s">
        <v>931</v>
      </c>
      <c r="C559">
        <v>17.149999999999999</v>
      </c>
      <c r="D559">
        <f>VLOOKUP(A559,收盤價!A:C,3,0)</f>
        <v>17.600000000000001</v>
      </c>
      <c r="E559" s="126">
        <v>2.6239067055393753E-2</v>
      </c>
      <c r="F559">
        <v>64.55</v>
      </c>
    </row>
    <row r="560" spans="1:6">
      <c r="A560">
        <v>3556</v>
      </c>
      <c r="B560" t="s">
        <v>327</v>
      </c>
      <c r="C560">
        <v>57.2</v>
      </c>
      <c r="D560">
        <f>VLOOKUP(A560,收盤價!A:C,3,0)</f>
        <v>58.7</v>
      </c>
      <c r="E560" s="126">
        <v>2.6223776223776224E-2</v>
      </c>
      <c r="F560">
        <v>64.489999999999995</v>
      </c>
    </row>
    <row r="561" spans="1:6">
      <c r="A561">
        <v>2061</v>
      </c>
      <c r="B561" t="s">
        <v>257</v>
      </c>
      <c r="C561">
        <v>11.5</v>
      </c>
      <c r="D561">
        <f>VLOOKUP(A561,收盤價!A:C,3,0)</f>
        <v>11.8</v>
      </c>
      <c r="E561" s="126">
        <v>2.6086956521739191E-2</v>
      </c>
      <c r="F561">
        <v>64.430000000000007</v>
      </c>
    </row>
    <row r="562" spans="1:6">
      <c r="A562">
        <v>1773</v>
      </c>
      <c r="B562" t="s">
        <v>710</v>
      </c>
      <c r="C562">
        <v>42.5</v>
      </c>
      <c r="D562">
        <f>VLOOKUP(A562,收盤價!A:C,3,0)</f>
        <v>43.6</v>
      </c>
      <c r="E562" s="126">
        <v>2.5882352941176506E-2</v>
      </c>
      <c r="F562">
        <v>64.36</v>
      </c>
    </row>
    <row r="563" spans="1:6">
      <c r="A563">
        <v>1538</v>
      </c>
      <c r="B563" t="s">
        <v>652</v>
      </c>
      <c r="C563">
        <v>5.04</v>
      </c>
      <c r="D563">
        <f>VLOOKUP(A563,收盤價!A:C,3,0)</f>
        <v>5.17</v>
      </c>
      <c r="E563" s="126">
        <v>2.5793650793650771E-2</v>
      </c>
      <c r="F563">
        <v>64.3</v>
      </c>
    </row>
    <row r="564" spans="1:6">
      <c r="A564">
        <v>3583</v>
      </c>
      <c r="B564" t="s">
        <v>1130</v>
      </c>
      <c r="C564">
        <v>74.099999999999994</v>
      </c>
      <c r="D564">
        <f>VLOOKUP(A564,收盤價!A:C,3,0)</f>
        <v>76</v>
      </c>
      <c r="E564" s="126">
        <v>2.564102564102572E-2</v>
      </c>
      <c r="F564">
        <v>64.239999999999995</v>
      </c>
    </row>
    <row r="565" spans="1:6">
      <c r="A565">
        <v>4137</v>
      </c>
      <c r="B565" t="s">
        <v>1163</v>
      </c>
      <c r="C565">
        <v>295.5</v>
      </c>
      <c r="D565">
        <f>VLOOKUP(A565,收盤價!A:C,3,0)</f>
        <v>303</v>
      </c>
      <c r="E565" s="126">
        <v>2.5380710659898477E-2</v>
      </c>
      <c r="F565">
        <v>64.17</v>
      </c>
    </row>
    <row r="566" spans="1:6">
      <c r="A566">
        <v>2367</v>
      </c>
      <c r="B566" t="s">
        <v>821</v>
      </c>
      <c r="C566">
        <v>12</v>
      </c>
      <c r="D566">
        <f>VLOOKUP(A566,收盤價!A:C,3,0)</f>
        <v>12.3</v>
      </c>
      <c r="E566" s="126">
        <v>2.500000000000006E-2</v>
      </c>
      <c r="F566">
        <v>64.11</v>
      </c>
    </row>
    <row r="567" spans="1:6">
      <c r="A567">
        <v>2484</v>
      </c>
      <c r="B567" t="s">
        <v>907</v>
      </c>
      <c r="C567">
        <v>20.399999999999999</v>
      </c>
      <c r="D567">
        <f>VLOOKUP(A567,收盤價!A:C,3,0)</f>
        <v>20.9</v>
      </c>
      <c r="E567" s="126">
        <v>2.4509803921568631E-2</v>
      </c>
      <c r="F567">
        <v>64.05</v>
      </c>
    </row>
    <row r="568" spans="1:6">
      <c r="A568">
        <v>6111</v>
      </c>
      <c r="B568" t="s">
        <v>1689</v>
      </c>
      <c r="C568">
        <v>98.6</v>
      </c>
      <c r="D568">
        <f>VLOOKUP(A568,收盤價!A:C,3,0)</f>
        <v>101</v>
      </c>
      <c r="E568" s="126">
        <v>2.4340770791075109E-2</v>
      </c>
      <c r="F568">
        <v>63.98</v>
      </c>
    </row>
    <row r="569" spans="1:6">
      <c r="A569">
        <v>4306</v>
      </c>
      <c r="B569" t="s">
        <v>1168</v>
      </c>
      <c r="C569">
        <v>12.55</v>
      </c>
      <c r="D569">
        <f>VLOOKUP(A569,收盤價!A:C,3,0)</f>
        <v>12.85</v>
      </c>
      <c r="E569" s="126">
        <v>2.3904382470119435E-2</v>
      </c>
      <c r="F569">
        <v>63.92</v>
      </c>
    </row>
    <row r="570" spans="1:6">
      <c r="A570">
        <v>1469</v>
      </c>
      <c r="B570" t="s">
        <v>617</v>
      </c>
      <c r="C570">
        <v>12.6</v>
      </c>
      <c r="D570">
        <f>VLOOKUP(A570,收盤價!A:C,3,0)</f>
        <v>12.9</v>
      </c>
      <c r="E570" s="126">
        <v>2.3809523809523867E-2</v>
      </c>
      <c r="F570">
        <v>63.86</v>
      </c>
    </row>
    <row r="571" spans="1:6">
      <c r="A571">
        <v>8935</v>
      </c>
      <c r="B571" t="s">
        <v>513</v>
      </c>
      <c r="C571">
        <v>6.34</v>
      </c>
      <c r="D571">
        <f>VLOOKUP(A571,收盤價!A:C,3,0)</f>
        <v>6.49</v>
      </c>
      <c r="E571" s="126">
        <v>2.3659305993690909E-2</v>
      </c>
      <c r="F571">
        <v>63.79</v>
      </c>
    </row>
    <row r="572" spans="1:6">
      <c r="A572">
        <v>2423</v>
      </c>
      <c r="B572" t="s">
        <v>858</v>
      </c>
      <c r="C572">
        <v>16.95</v>
      </c>
      <c r="D572">
        <f>VLOOKUP(A572,收盤價!A:C,3,0)</f>
        <v>17.350000000000001</v>
      </c>
      <c r="E572" s="126">
        <v>2.3598820058997178E-2</v>
      </c>
      <c r="F572">
        <v>63.73</v>
      </c>
    </row>
    <row r="573" spans="1:6">
      <c r="A573">
        <v>1303</v>
      </c>
      <c r="B573" t="s">
        <v>553</v>
      </c>
      <c r="C573">
        <v>65.5</v>
      </c>
      <c r="D573">
        <f>VLOOKUP(A573,收盤價!A:C,3,0)</f>
        <v>67</v>
      </c>
      <c r="E573" s="126">
        <v>2.2900763358778626E-2</v>
      </c>
      <c r="F573">
        <v>63.67</v>
      </c>
    </row>
    <row r="574" spans="1:6">
      <c r="A574">
        <v>1444</v>
      </c>
      <c r="B574" t="s">
        <v>597</v>
      </c>
      <c r="C574">
        <v>9.48</v>
      </c>
      <c r="D574">
        <f>VLOOKUP(A574,收盤價!A:C,3,0)</f>
        <v>9.69</v>
      </c>
      <c r="E574" s="126">
        <v>2.2151898734177118E-2</v>
      </c>
      <c r="F574">
        <v>63.6</v>
      </c>
    </row>
    <row r="575" spans="1:6">
      <c r="A575">
        <v>5351</v>
      </c>
      <c r="B575" t="s">
        <v>1640</v>
      </c>
      <c r="C575">
        <v>13.65</v>
      </c>
      <c r="D575">
        <f>VLOOKUP(A575,收盤價!A:C,3,0)</f>
        <v>13.95</v>
      </c>
      <c r="E575" s="126">
        <v>2.19780219780219E-2</v>
      </c>
      <c r="F575">
        <v>63.54</v>
      </c>
    </row>
    <row r="576" spans="1:6">
      <c r="A576">
        <v>5243</v>
      </c>
      <c r="B576" t="s">
        <v>1209</v>
      </c>
      <c r="C576">
        <v>32.200000000000003</v>
      </c>
      <c r="D576">
        <f>VLOOKUP(A576,收盤價!A:C,3,0)</f>
        <v>32.9</v>
      </c>
      <c r="E576" s="126">
        <v>2.1739130434782473E-2</v>
      </c>
      <c r="F576">
        <v>63.47</v>
      </c>
    </row>
    <row r="577" spans="1:6">
      <c r="A577">
        <v>1443</v>
      </c>
      <c r="B577" t="s">
        <v>596</v>
      </c>
      <c r="C577">
        <v>5.09</v>
      </c>
      <c r="D577">
        <f>VLOOKUP(A577,收盤價!A:C,3,0)</f>
        <v>5.2</v>
      </c>
      <c r="E577" s="126">
        <v>2.1611001964636604E-2</v>
      </c>
      <c r="F577">
        <v>63.41</v>
      </c>
    </row>
    <row r="578" spans="1:6">
      <c r="A578">
        <v>4305</v>
      </c>
      <c r="B578" t="s">
        <v>1564</v>
      </c>
      <c r="C578">
        <v>25.95</v>
      </c>
      <c r="D578">
        <f>VLOOKUP(A578,收盤價!A:C,3,0)</f>
        <v>26.5</v>
      </c>
      <c r="E578" s="126">
        <v>2.1194605009633938E-2</v>
      </c>
      <c r="F578">
        <v>63.35</v>
      </c>
    </row>
    <row r="579" spans="1:6">
      <c r="A579">
        <v>1410</v>
      </c>
      <c r="B579" t="s">
        <v>578</v>
      </c>
      <c r="C579">
        <v>23.9</v>
      </c>
      <c r="D579">
        <f>VLOOKUP(A579,收盤價!A:C,3,0)</f>
        <v>24.4</v>
      </c>
      <c r="E579" s="126">
        <v>2.0920502092050212E-2</v>
      </c>
      <c r="F579">
        <v>63.28</v>
      </c>
    </row>
    <row r="580" spans="1:6">
      <c r="A580">
        <v>6277</v>
      </c>
      <c r="B580" t="s">
        <v>1289</v>
      </c>
      <c r="C580">
        <v>73.2</v>
      </c>
      <c r="D580">
        <f>VLOOKUP(A580,收盤價!A:C,3,0)</f>
        <v>74.7</v>
      </c>
      <c r="E580" s="126">
        <v>2.0491803278688523E-2</v>
      </c>
      <c r="F580">
        <v>63.22</v>
      </c>
    </row>
    <row r="581" spans="1:6">
      <c r="A581">
        <v>1583</v>
      </c>
      <c r="B581" t="s">
        <v>660</v>
      </c>
      <c r="C581">
        <v>65.400000000000006</v>
      </c>
      <c r="D581">
        <f>VLOOKUP(A581,收盤價!A:C,3,0)</f>
        <v>66.7</v>
      </c>
      <c r="E581" s="126">
        <v>1.9877675840978548E-2</v>
      </c>
      <c r="F581">
        <v>63.16</v>
      </c>
    </row>
    <row r="582" spans="1:6">
      <c r="A582">
        <v>4972</v>
      </c>
      <c r="B582" t="s">
        <v>1608</v>
      </c>
      <c r="C582">
        <v>40.299999999999997</v>
      </c>
      <c r="D582">
        <f>VLOOKUP(A582,收盤價!A:C,3,0)</f>
        <v>41.1</v>
      </c>
      <c r="E582" s="126">
        <v>1.9851116625310281E-2</v>
      </c>
      <c r="F582">
        <v>63.09</v>
      </c>
    </row>
    <row r="583" spans="1:6">
      <c r="A583">
        <v>6174</v>
      </c>
      <c r="B583" t="s">
        <v>1712</v>
      </c>
      <c r="C583">
        <v>15.25</v>
      </c>
      <c r="D583">
        <f>VLOOKUP(A583,收盤價!A:C,3,0)</f>
        <v>15.55</v>
      </c>
      <c r="E583" s="126">
        <v>1.967213114754103E-2</v>
      </c>
      <c r="F583">
        <v>63.03</v>
      </c>
    </row>
    <row r="584" spans="1:6">
      <c r="A584">
        <v>8421</v>
      </c>
      <c r="B584" t="s">
        <v>498</v>
      </c>
      <c r="C584">
        <v>12.85</v>
      </c>
      <c r="D584">
        <f>VLOOKUP(A584,收盤價!A:C,3,0)</f>
        <v>13.1</v>
      </c>
      <c r="E584" s="126">
        <v>1.9455252918287938E-2</v>
      </c>
      <c r="F584">
        <v>62.97</v>
      </c>
    </row>
    <row r="585" spans="1:6">
      <c r="A585">
        <v>1903</v>
      </c>
      <c r="B585" t="s">
        <v>722</v>
      </c>
      <c r="C585">
        <v>31</v>
      </c>
      <c r="D585">
        <f>VLOOKUP(A585,收盤價!A:C,3,0)</f>
        <v>31.6</v>
      </c>
      <c r="E585" s="126">
        <v>1.9354838709677465E-2</v>
      </c>
      <c r="F585">
        <v>62.9</v>
      </c>
    </row>
    <row r="586" spans="1:6">
      <c r="A586">
        <v>2359</v>
      </c>
      <c r="B586" t="s">
        <v>814</v>
      </c>
      <c r="C586">
        <v>15.6</v>
      </c>
      <c r="D586">
        <f>VLOOKUP(A586,收盤價!A:C,3,0)</f>
        <v>15.9</v>
      </c>
      <c r="E586" s="126">
        <v>1.9230769230769277E-2</v>
      </c>
      <c r="F586">
        <v>62.84</v>
      </c>
    </row>
    <row r="587" spans="1:6">
      <c r="A587">
        <v>6177</v>
      </c>
      <c r="B587" t="s">
        <v>1261</v>
      </c>
      <c r="C587">
        <v>21.25</v>
      </c>
      <c r="D587">
        <f>VLOOKUP(A587,收盤價!A:C,3,0)</f>
        <v>21.65</v>
      </c>
      <c r="E587" s="126">
        <v>1.8823529411764638E-2</v>
      </c>
      <c r="F587">
        <v>62.78</v>
      </c>
    </row>
    <row r="588" spans="1:6">
      <c r="A588">
        <v>6292</v>
      </c>
      <c r="B588" t="s">
        <v>1743</v>
      </c>
      <c r="C588">
        <v>29.8</v>
      </c>
      <c r="D588">
        <f>VLOOKUP(A588,收盤價!A:C,3,0)</f>
        <v>30.35</v>
      </c>
      <c r="E588" s="126">
        <v>1.8456375838926196E-2</v>
      </c>
      <c r="F588">
        <v>62.71</v>
      </c>
    </row>
    <row r="589" spans="1:6">
      <c r="A589">
        <v>2066</v>
      </c>
      <c r="B589" t="s">
        <v>260</v>
      </c>
      <c r="C589">
        <v>109</v>
      </c>
      <c r="D589">
        <f>VLOOKUP(A589,收盤價!A:C,3,0)</f>
        <v>111</v>
      </c>
      <c r="E589" s="126">
        <v>1.834862385321101E-2</v>
      </c>
      <c r="F589">
        <v>62.65</v>
      </c>
    </row>
    <row r="590" spans="1:6">
      <c r="A590">
        <v>2539</v>
      </c>
      <c r="B590" t="s">
        <v>939</v>
      </c>
      <c r="C590">
        <v>24.55</v>
      </c>
      <c r="D590">
        <f>VLOOKUP(A590,收盤價!A:C,3,0)</f>
        <v>25</v>
      </c>
      <c r="E590" s="126">
        <v>1.8329938900203638E-2</v>
      </c>
      <c r="F590">
        <v>62.59</v>
      </c>
    </row>
    <row r="591" spans="1:6">
      <c r="A591">
        <v>6224</v>
      </c>
      <c r="B591" t="s">
        <v>1278</v>
      </c>
      <c r="C591">
        <v>64.900000000000006</v>
      </c>
      <c r="D591">
        <f>VLOOKUP(A591,收盤價!A:C,3,0)</f>
        <v>66</v>
      </c>
      <c r="E591" s="126">
        <v>1.6949152542372791E-2</v>
      </c>
      <c r="F591">
        <v>62.52</v>
      </c>
    </row>
    <row r="592" spans="1:6">
      <c r="A592">
        <v>3441</v>
      </c>
      <c r="B592" t="s">
        <v>1494</v>
      </c>
      <c r="C592">
        <v>12</v>
      </c>
      <c r="D592">
        <f>VLOOKUP(A592,收盤價!A:C,3,0)</f>
        <v>12.2</v>
      </c>
      <c r="E592" s="126">
        <v>1.6666666666666607E-2</v>
      </c>
      <c r="F592">
        <v>62.46</v>
      </c>
    </row>
    <row r="593" spans="1:6">
      <c r="A593">
        <v>3550</v>
      </c>
      <c r="B593" t="s">
        <v>1123</v>
      </c>
      <c r="C593">
        <v>12.15</v>
      </c>
      <c r="D593">
        <f>VLOOKUP(A593,收盤價!A:C,3,0)</f>
        <v>12.35</v>
      </c>
      <c r="E593" s="126">
        <v>1.6460905349794181E-2</v>
      </c>
      <c r="F593">
        <v>62.4</v>
      </c>
    </row>
    <row r="594" spans="1:6">
      <c r="A594">
        <v>1437</v>
      </c>
      <c r="B594" t="s">
        <v>590</v>
      </c>
      <c r="C594">
        <v>12.25</v>
      </c>
      <c r="D594">
        <f>VLOOKUP(A594,收盤價!A:C,3,0)</f>
        <v>12.45</v>
      </c>
      <c r="E594" s="126">
        <v>1.632653061224484E-2</v>
      </c>
      <c r="F594">
        <v>62.33</v>
      </c>
    </row>
    <row r="595" spans="1:6">
      <c r="A595">
        <v>6286</v>
      </c>
      <c r="B595" t="s">
        <v>1295</v>
      </c>
      <c r="C595">
        <v>190</v>
      </c>
      <c r="D595">
        <f>VLOOKUP(A595,收盤價!A:C,3,0)</f>
        <v>193</v>
      </c>
      <c r="E595" s="126">
        <v>1.5789473684210527E-2</v>
      </c>
      <c r="F595">
        <v>62.27</v>
      </c>
    </row>
    <row r="596" spans="1:6">
      <c r="A596">
        <v>3663</v>
      </c>
      <c r="B596" t="s">
        <v>1529</v>
      </c>
      <c r="C596">
        <v>15.95</v>
      </c>
      <c r="D596">
        <f>VLOOKUP(A596,收盤價!A:C,3,0)</f>
        <v>16.2</v>
      </c>
      <c r="E596" s="126">
        <v>1.5673981191222573E-2</v>
      </c>
      <c r="F596">
        <v>62.21</v>
      </c>
    </row>
    <row r="597" spans="1:6">
      <c r="A597">
        <v>1233</v>
      </c>
      <c r="B597" t="s">
        <v>547</v>
      </c>
      <c r="C597">
        <v>39</v>
      </c>
      <c r="D597">
        <f>VLOOKUP(A597,收盤價!A:C,3,0)</f>
        <v>39.6</v>
      </c>
      <c r="E597" s="126">
        <v>1.5384615384615422E-2</v>
      </c>
      <c r="F597">
        <v>62.14</v>
      </c>
    </row>
    <row r="598" spans="1:6">
      <c r="A598">
        <v>3465</v>
      </c>
      <c r="B598" t="s">
        <v>1497</v>
      </c>
      <c r="C598">
        <v>10.1</v>
      </c>
      <c r="D598">
        <f>VLOOKUP(A598,收盤價!A:C,3,0)</f>
        <v>10.25</v>
      </c>
      <c r="E598" s="126">
        <v>1.4851485148514887E-2</v>
      </c>
      <c r="F598">
        <v>62.08</v>
      </c>
    </row>
    <row r="599" spans="1:6">
      <c r="A599">
        <v>6147</v>
      </c>
      <c r="B599" t="s">
        <v>1704</v>
      </c>
      <c r="C599">
        <v>54.2</v>
      </c>
      <c r="D599">
        <f>VLOOKUP(A599,收盤價!A:C,3,0)</f>
        <v>55</v>
      </c>
      <c r="E599" s="126">
        <v>1.4760147601475962E-2</v>
      </c>
      <c r="F599">
        <v>62.02</v>
      </c>
    </row>
    <row r="600" spans="1:6">
      <c r="A600">
        <v>3045</v>
      </c>
      <c r="B600" t="s">
        <v>1061</v>
      </c>
      <c r="C600">
        <v>102</v>
      </c>
      <c r="D600">
        <f>VLOOKUP(A600,收盤價!A:C,3,0)</f>
        <v>103.5</v>
      </c>
      <c r="E600" s="126">
        <v>1.4705882352941176E-2</v>
      </c>
      <c r="F600">
        <v>61.95</v>
      </c>
    </row>
    <row r="601" spans="1:6">
      <c r="A601">
        <v>3528</v>
      </c>
      <c r="B601" t="s">
        <v>1508</v>
      </c>
      <c r="C601">
        <v>31.55</v>
      </c>
      <c r="D601">
        <f>VLOOKUP(A601,收盤價!A:C,3,0)</f>
        <v>32</v>
      </c>
      <c r="E601" s="126">
        <v>1.426307448494451E-2</v>
      </c>
      <c r="F601">
        <v>61.89</v>
      </c>
    </row>
    <row r="602" spans="1:6">
      <c r="A602">
        <v>6294</v>
      </c>
      <c r="B602" t="s">
        <v>1744</v>
      </c>
      <c r="C602">
        <v>105.5</v>
      </c>
      <c r="D602">
        <f>VLOOKUP(A602,收盤價!A:C,3,0)</f>
        <v>107</v>
      </c>
      <c r="E602" s="126">
        <v>1.4218009478672985E-2</v>
      </c>
      <c r="F602">
        <v>61.83</v>
      </c>
    </row>
    <row r="603" spans="1:6">
      <c r="A603">
        <v>6287</v>
      </c>
      <c r="B603" t="s">
        <v>1741</v>
      </c>
      <c r="C603">
        <v>3.55</v>
      </c>
      <c r="D603">
        <f>VLOOKUP(A603,收盤價!A:C,3,0)</f>
        <v>3.6</v>
      </c>
      <c r="E603" s="126">
        <v>1.4084507042253596E-2</v>
      </c>
      <c r="F603">
        <v>61.76</v>
      </c>
    </row>
    <row r="604" spans="1:6">
      <c r="A604">
        <v>8289</v>
      </c>
      <c r="B604" t="s">
        <v>1795</v>
      </c>
      <c r="C604">
        <v>11.15</v>
      </c>
      <c r="D604">
        <f>VLOOKUP(A604,收盤價!A:C,3,0)</f>
        <v>11.3</v>
      </c>
      <c r="E604" s="126">
        <v>1.345291479820631E-2</v>
      </c>
      <c r="F604">
        <v>61.7</v>
      </c>
    </row>
    <row r="605" spans="1:6">
      <c r="A605">
        <v>2395</v>
      </c>
      <c r="B605" t="s">
        <v>840</v>
      </c>
      <c r="C605">
        <v>228</v>
      </c>
      <c r="D605">
        <f>VLOOKUP(A605,收盤價!A:C,3,0)</f>
        <v>231</v>
      </c>
      <c r="E605" s="126">
        <v>1.3157894736842105E-2</v>
      </c>
      <c r="F605">
        <v>61.64</v>
      </c>
    </row>
    <row r="606" spans="1:6">
      <c r="A606">
        <v>6105</v>
      </c>
      <c r="B606" t="s">
        <v>1686</v>
      </c>
      <c r="C606">
        <v>42.65</v>
      </c>
      <c r="D606">
        <f>VLOOKUP(A606,收盤價!A:C,3,0)</f>
        <v>43.2</v>
      </c>
      <c r="E606" s="126">
        <v>1.2895662368112645E-2</v>
      </c>
      <c r="F606">
        <v>61.57</v>
      </c>
    </row>
    <row r="607" spans="1:6">
      <c r="A607">
        <v>4737</v>
      </c>
      <c r="B607" t="s">
        <v>1180</v>
      </c>
      <c r="C607">
        <v>54.3</v>
      </c>
      <c r="D607">
        <f>VLOOKUP(A607,收盤價!A:C,3,0)</f>
        <v>55</v>
      </c>
      <c r="E607" s="126">
        <v>1.2891344383057144E-2</v>
      </c>
      <c r="F607">
        <v>61.51</v>
      </c>
    </row>
    <row r="608" spans="1:6">
      <c r="A608">
        <v>1713</v>
      </c>
      <c r="B608" t="s">
        <v>687</v>
      </c>
      <c r="C608">
        <v>15.7</v>
      </c>
      <c r="D608">
        <f>VLOOKUP(A608,收盤價!A:C,3,0)</f>
        <v>15.9</v>
      </c>
      <c r="E608" s="126">
        <v>1.2738853503184782E-2</v>
      </c>
      <c r="F608">
        <v>61.45</v>
      </c>
    </row>
    <row r="609" spans="1:6">
      <c r="A609">
        <v>3171</v>
      </c>
      <c r="B609" t="s">
        <v>1460</v>
      </c>
      <c r="C609">
        <v>19.7</v>
      </c>
      <c r="D609">
        <f>VLOOKUP(A609,收盤價!A:C,3,0)</f>
        <v>19.95</v>
      </c>
      <c r="E609" s="126">
        <v>1.2690355329949238E-2</v>
      </c>
      <c r="F609">
        <v>61.38</v>
      </c>
    </row>
    <row r="610" spans="1:6">
      <c r="A610">
        <v>3093</v>
      </c>
      <c r="B610" t="s">
        <v>272</v>
      </c>
      <c r="C610">
        <v>27.8</v>
      </c>
      <c r="D610">
        <f>VLOOKUP(A610,收盤價!A:C,3,0)</f>
        <v>28.15</v>
      </c>
      <c r="E610" s="126">
        <v>1.258992805755388E-2</v>
      </c>
      <c r="F610">
        <v>61.32</v>
      </c>
    </row>
    <row r="611" spans="1:6">
      <c r="A611">
        <v>1735</v>
      </c>
      <c r="B611" t="s">
        <v>706</v>
      </c>
      <c r="C611">
        <v>11.95</v>
      </c>
      <c r="D611">
        <f>VLOOKUP(A611,收盤價!A:C,3,0)</f>
        <v>12.1</v>
      </c>
      <c r="E611" s="126">
        <v>1.2552301255230157E-2</v>
      </c>
      <c r="F611">
        <v>61.26</v>
      </c>
    </row>
    <row r="612" spans="1:6">
      <c r="A612">
        <v>1808</v>
      </c>
      <c r="B612" t="s">
        <v>717</v>
      </c>
      <c r="C612">
        <v>28.45</v>
      </c>
      <c r="D612">
        <f>VLOOKUP(A612,收盤價!A:C,3,0)</f>
        <v>28.8</v>
      </c>
      <c r="E612" s="126">
        <v>1.2302284710017625E-2</v>
      </c>
      <c r="F612">
        <v>61.19</v>
      </c>
    </row>
    <row r="613" spans="1:6">
      <c r="A613">
        <v>3059</v>
      </c>
      <c r="B613" t="s">
        <v>1074</v>
      </c>
      <c r="C613">
        <v>28.65</v>
      </c>
      <c r="D613">
        <f>VLOOKUP(A613,收盤價!A:C,3,0)</f>
        <v>29</v>
      </c>
      <c r="E613" s="126">
        <v>1.2216404886562005E-2</v>
      </c>
      <c r="F613">
        <v>61.13</v>
      </c>
    </row>
    <row r="614" spans="1:6">
      <c r="A614">
        <v>3501</v>
      </c>
      <c r="B614" t="s">
        <v>1112</v>
      </c>
      <c r="C614">
        <v>51.4</v>
      </c>
      <c r="D614">
        <f>VLOOKUP(A614,收盤價!A:C,3,0)</f>
        <v>52</v>
      </c>
      <c r="E614" s="126">
        <v>1.1673151750972791E-2</v>
      </c>
      <c r="F614">
        <v>61.07</v>
      </c>
    </row>
    <row r="615" spans="1:6">
      <c r="A615">
        <v>5533</v>
      </c>
      <c r="B615" t="s">
        <v>1227</v>
      </c>
      <c r="C615">
        <v>17.149999999999999</v>
      </c>
      <c r="D615">
        <f>VLOOKUP(A615,收盤價!A:C,3,0)</f>
        <v>17.350000000000001</v>
      </c>
      <c r="E615" s="126">
        <v>1.1661807580175093E-2</v>
      </c>
      <c r="F615">
        <v>61</v>
      </c>
    </row>
    <row r="616" spans="1:6">
      <c r="A616">
        <v>1537</v>
      </c>
      <c r="B616" t="s">
        <v>651</v>
      </c>
      <c r="C616">
        <v>129</v>
      </c>
      <c r="D616">
        <f>VLOOKUP(A616,收盤價!A:C,3,0)</f>
        <v>130.5</v>
      </c>
      <c r="E616" s="126">
        <v>1.1627906976744186E-2</v>
      </c>
      <c r="F616">
        <v>60.94</v>
      </c>
    </row>
    <row r="617" spans="1:6">
      <c r="A617" t="s">
        <v>243</v>
      </c>
      <c r="B617" t="s">
        <v>728</v>
      </c>
      <c r="C617">
        <v>39.35</v>
      </c>
      <c r="D617">
        <f>VLOOKUP(A617,收盤價!A:C,3,0)</f>
        <v>39.799999999999997</v>
      </c>
      <c r="E617" s="126">
        <v>1.1435832274459866E-2</v>
      </c>
      <c r="F617">
        <v>60.88</v>
      </c>
    </row>
    <row r="618" spans="1:6">
      <c r="A618">
        <v>3646</v>
      </c>
      <c r="B618" t="s">
        <v>1527</v>
      </c>
      <c r="C618">
        <v>13.3</v>
      </c>
      <c r="D618">
        <f>VLOOKUP(A618,收盤價!A:C,3,0)</f>
        <v>13.45</v>
      </c>
      <c r="E618" s="126">
        <v>1.1278195488721696E-2</v>
      </c>
      <c r="F618">
        <v>60.81</v>
      </c>
    </row>
    <row r="619" spans="1:6">
      <c r="A619">
        <v>6209</v>
      </c>
      <c r="B619" t="s">
        <v>1273</v>
      </c>
      <c r="C619">
        <v>17.75</v>
      </c>
      <c r="D619">
        <f>VLOOKUP(A619,收盤價!A:C,3,0)</f>
        <v>17.95</v>
      </c>
      <c r="E619" s="126">
        <v>1.1267605633802778E-2</v>
      </c>
      <c r="F619">
        <v>60.75</v>
      </c>
    </row>
    <row r="620" spans="1:6">
      <c r="A620">
        <v>3653</v>
      </c>
      <c r="B620" t="s">
        <v>1142</v>
      </c>
      <c r="C620">
        <v>47</v>
      </c>
      <c r="D620">
        <f>VLOOKUP(A620,收盤價!A:C,3,0)</f>
        <v>47.5</v>
      </c>
      <c r="E620" s="126">
        <v>1.0638297872340425E-2</v>
      </c>
      <c r="F620">
        <v>60.68</v>
      </c>
    </row>
    <row r="621" spans="1:6">
      <c r="A621">
        <v>2501</v>
      </c>
      <c r="B621" t="s">
        <v>920</v>
      </c>
      <c r="C621">
        <v>14.25</v>
      </c>
      <c r="D621">
        <f>VLOOKUP(A621,收盤價!A:C,3,0)</f>
        <v>14.4</v>
      </c>
      <c r="E621" s="126">
        <v>1.052631578947371E-2</v>
      </c>
      <c r="F621">
        <v>60.62</v>
      </c>
    </row>
    <row r="622" spans="1:6">
      <c r="A622">
        <v>3167</v>
      </c>
      <c r="B622" t="s">
        <v>1082</v>
      </c>
      <c r="C622">
        <v>28.8</v>
      </c>
      <c r="D622">
        <f>VLOOKUP(A622,收盤價!A:C,3,0)</f>
        <v>29.1</v>
      </c>
      <c r="E622" s="126">
        <v>1.041666666666669E-2</v>
      </c>
      <c r="F622">
        <v>60.56</v>
      </c>
    </row>
    <row r="623" spans="1:6">
      <c r="A623">
        <v>1315</v>
      </c>
      <c r="B623" t="s">
        <v>564</v>
      </c>
      <c r="C623">
        <v>24.05</v>
      </c>
      <c r="D623">
        <f>VLOOKUP(A623,收盤價!A:C,3,0)</f>
        <v>24.3</v>
      </c>
      <c r="E623" s="126">
        <v>1.0395010395010394E-2</v>
      </c>
      <c r="F623">
        <v>60.49</v>
      </c>
    </row>
    <row r="624" spans="1:6">
      <c r="A624">
        <v>2461</v>
      </c>
      <c r="B624" t="s">
        <v>890</v>
      </c>
      <c r="C624">
        <v>14.9</v>
      </c>
      <c r="D624">
        <f>VLOOKUP(A624,收盤價!A:C,3,0)</f>
        <v>15.05</v>
      </c>
      <c r="E624" s="126">
        <v>1.0067114093959755E-2</v>
      </c>
      <c r="F624">
        <v>60.43</v>
      </c>
    </row>
    <row r="625" spans="1:6">
      <c r="A625">
        <v>2443</v>
      </c>
      <c r="B625" t="s">
        <v>876</v>
      </c>
      <c r="C625">
        <v>7.04</v>
      </c>
      <c r="D625">
        <f>VLOOKUP(A625,收盤價!A:C,3,0)</f>
        <v>7.11</v>
      </c>
      <c r="E625" s="126">
        <v>9.9431818181818579E-3</v>
      </c>
      <c r="F625">
        <v>60.37</v>
      </c>
    </row>
    <row r="626" spans="1:6">
      <c r="A626">
        <v>2387</v>
      </c>
      <c r="B626" t="s">
        <v>835</v>
      </c>
      <c r="C626">
        <v>15.3</v>
      </c>
      <c r="D626">
        <f>VLOOKUP(A626,收盤價!A:C,3,0)</f>
        <v>15.45</v>
      </c>
      <c r="E626" s="126">
        <v>9.8039215686273572E-3</v>
      </c>
      <c r="F626">
        <v>60.3</v>
      </c>
    </row>
    <row r="627" spans="1:6">
      <c r="A627">
        <v>2022</v>
      </c>
      <c r="B627" t="s">
        <v>740</v>
      </c>
      <c r="C627">
        <v>4.1500000000000004</v>
      </c>
      <c r="D627">
        <f>VLOOKUP(A627,收盤價!A:C,3,0)</f>
        <v>4.1900000000000004</v>
      </c>
      <c r="E627" s="126">
        <v>9.6385542168674777E-3</v>
      </c>
      <c r="F627">
        <v>60.24</v>
      </c>
    </row>
    <row r="628" spans="1:6">
      <c r="A628">
        <v>9802</v>
      </c>
      <c r="B628" t="s">
        <v>1374</v>
      </c>
      <c r="C628">
        <v>52.5</v>
      </c>
      <c r="D628">
        <f>VLOOKUP(A628,收盤價!A:C,3,0)</f>
        <v>53</v>
      </c>
      <c r="E628" s="126">
        <v>9.5238095238095247E-3</v>
      </c>
      <c r="F628">
        <v>60.18</v>
      </c>
    </row>
    <row r="629" spans="1:6">
      <c r="A629">
        <v>2434</v>
      </c>
      <c r="B629" t="s">
        <v>868</v>
      </c>
      <c r="C629">
        <v>6.39</v>
      </c>
      <c r="D629">
        <f>VLOOKUP(A629,收盤價!A:C,3,0)</f>
        <v>6.45</v>
      </c>
      <c r="E629" s="126">
        <v>9.3896713615024257E-3</v>
      </c>
      <c r="F629">
        <v>60.11</v>
      </c>
    </row>
    <row r="630" spans="1:6">
      <c r="A630">
        <v>8383</v>
      </c>
      <c r="B630" t="s">
        <v>494</v>
      </c>
      <c r="C630">
        <v>53.6</v>
      </c>
      <c r="D630">
        <f>VLOOKUP(A630,收盤價!A:C,3,0)</f>
        <v>54.1</v>
      </c>
      <c r="E630" s="126">
        <v>9.3283582089552231E-3</v>
      </c>
      <c r="F630">
        <v>60.05</v>
      </c>
    </row>
    <row r="631" spans="1:6">
      <c r="A631">
        <v>1213</v>
      </c>
      <c r="B631" t="s">
        <v>535</v>
      </c>
      <c r="C631">
        <v>16.149999999999999</v>
      </c>
      <c r="D631">
        <f>VLOOKUP(A631,收盤價!A:C,3,0)</f>
        <v>16.3</v>
      </c>
      <c r="E631" s="126">
        <v>9.2879256965945605E-3</v>
      </c>
      <c r="F631">
        <v>59.99</v>
      </c>
    </row>
    <row r="632" spans="1:6">
      <c r="A632">
        <v>4174</v>
      </c>
      <c r="B632" t="s">
        <v>356</v>
      </c>
      <c r="C632">
        <v>437</v>
      </c>
      <c r="D632">
        <f>VLOOKUP(A632,收盤價!A:C,3,0)</f>
        <v>441</v>
      </c>
      <c r="E632" s="126">
        <v>9.1533180778032037E-3</v>
      </c>
      <c r="F632">
        <v>59.92</v>
      </c>
    </row>
    <row r="633" spans="1:6">
      <c r="A633">
        <v>2722</v>
      </c>
      <c r="B633" t="s">
        <v>974</v>
      </c>
      <c r="C633">
        <v>44.45</v>
      </c>
      <c r="D633">
        <f>VLOOKUP(A633,收盤價!A:C,3,0)</f>
        <v>44.85</v>
      </c>
      <c r="E633" s="126">
        <v>8.998875140607392E-3</v>
      </c>
      <c r="F633">
        <v>59.86</v>
      </c>
    </row>
    <row r="634" spans="1:6">
      <c r="A634">
        <v>5312</v>
      </c>
      <c r="B634" t="s">
        <v>402</v>
      </c>
      <c r="C634">
        <v>78.2</v>
      </c>
      <c r="D634">
        <f>VLOOKUP(A634,收盤價!A:C,3,0)</f>
        <v>78.900000000000006</v>
      </c>
      <c r="E634" s="126">
        <v>8.9514066496164044E-3</v>
      </c>
      <c r="F634">
        <v>59.8</v>
      </c>
    </row>
    <row r="635" spans="1:6">
      <c r="A635">
        <v>1815</v>
      </c>
      <c r="B635" t="s">
        <v>1428</v>
      </c>
      <c r="C635">
        <v>11.45</v>
      </c>
      <c r="D635">
        <f>VLOOKUP(A635,收盤價!A:C,3,0)</f>
        <v>11.55</v>
      </c>
      <c r="E635" s="126">
        <v>8.7336244541485961E-3</v>
      </c>
      <c r="F635">
        <v>59.73</v>
      </c>
    </row>
    <row r="636" spans="1:6">
      <c r="A636">
        <v>3052</v>
      </c>
      <c r="B636" t="s">
        <v>1068</v>
      </c>
      <c r="C636">
        <v>9.52</v>
      </c>
      <c r="D636">
        <f>VLOOKUP(A636,收盤價!A:C,3,0)</f>
        <v>9.6</v>
      </c>
      <c r="E636" s="126">
        <v>8.4033613445378234E-3</v>
      </c>
      <c r="F636">
        <v>59.67</v>
      </c>
    </row>
    <row r="637" spans="1:6">
      <c r="A637">
        <v>3675</v>
      </c>
      <c r="B637" t="s">
        <v>1531</v>
      </c>
      <c r="C637">
        <v>25.35</v>
      </c>
      <c r="D637">
        <f>VLOOKUP(A637,收盤價!A:C,3,0)</f>
        <v>25.55</v>
      </c>
      <c r="E637" s="126">
        <v>7.8895463510847835E-3</v>
      </c>
      <c r="F637">
        <v>59.61</v>
      </c>
    </row>
    <row r="638" spans="1:6">
      <c r="A638">
        <v>4104</v>
      </c>
      <c r="B638" t="s">
        <v>1158</v>
      </c>
      <c r="C638">
        <v>50.8</v>
      </c>
      <c r="D638">
        <f>VLOOKUP(A638,收盤價!A:C,3,0)</f>
        <v>51.2</v>
      </c>
      <c r="E638" s="126">
        <v>7.8740157480316087E-3</v>
      </c>
      <c r="F638">
        <v>59.54</v>
      </c>
    </row>
    <row r="639" spans="1:6">
      <c r="A639">
        <v>3323</v>
      </c>
      <c r="B639" t="s">
        <v>301</v>
      </c>
      <c r="C639">
        <v>19.350000000000001</v>
      </c>
      <c r="D639">
        <f>VLOOKUP(A639,收盤價!A:C,3,0)</f>
        <v>19.5</v>
      </c>
      <c r="E639" s="126">
        <v>7.7519379844960502E-3</v>
      </c>
      <c r="F639">
        <v>59.48</v>
      </c>
    </row>
    <row r="640" spans="1:6">
      <c r="A640">
        <v>6183</v>
      </c>
      <c r="B640" t="s">
        <v>1262</v>
      </c>
      <c r="C640">
        <v>26</v>
      </c>
      <c r="D640">
        <f>VLOOKUP(A640,收盤價!A:C,3,0)</f>
        <v>26.2</v>
      </c>
      <c r="E640" s="126">
        <v>7.692307692307665E-3</v>
      </c>
      <c r="F640">
        <v>59.42</v>
      </c>
    </row>
    <row r="641" spans="1:6">
      <c r="A641">
        <v>3071</v>
      </c>
      <c r="B641" t="s">
        <v>1445</v>
      </c>
      <c r="C641">
        <v>6.8</v>
      </c>
      <c r="D641">
        <f>VLOOKUP(A641,收盤價!A:C,3,0)</f>
        <v>6.85</v>
      </c>
      <c r="E641" s="126">
        <v>7.3529411764705621E-3</v>
      </c>
      <c r="F641">
        <v>59.35</v>
      </c>
    </row>
    <row r="642" spans="1:6">
      <c r="A642">
        <v>2701</v>
      </c>
      <c r="B642" t="s">
        <v>967</v>
      </c>
      <c r="C642">
        <v>14.6</v>
      </c>
      <c r="D642">
        <f>VLOOKUP(A642,收盤價!A:C,3,0)</f>
        <v>14.7</v>
      </c>
      <c r="E642" s="126">
        <v>6.8493150684931269E-3</v>
      </c>
      <c r="F642">
        <v>59.29</v>
      </c>
    </row>
    <row r="643" spans="1:6">
      <c r="A643">
        <v>5432</v>
      </c>
      <c r="B643" t="s">
        <v>1649</v>
      </c>
      <c r="C643">
        <v>15.2</v>
      </c>
      <c r="D643">
        <f>VLOOKUP(A643,收盤價!A:C,3,0)</f>
        <v>15.3</v>
      </c>
      <c r="E643" s="126">
        <v>6.5789473684211468E-3</v>
      </c>
      <c r="F643">
        <v>59.23</v>
      </c>
    </row>
    <row r="644" spans="1:6">
      <c r="A644">
        <v>5508</v>
      </c>
      <c r="B644" t="s">
        <v>1664</v>
      </c>
      <c r="C644">
        <v>31.2</v>
      </c>
      <c r="D644">
        <f>VLOOKUP(A644,收盤價!A:C,3,0)</f>
        <v>31.4</v>
      </c>
      <c r="E644" s="126">
        <v>6.4102564102563875E-3</v>
      </c>
      <c r="F644">
        <v>59.16</v>
      </c>
    </row>
    <row r="645" spans="1:6">
      <c r="A645">
        <v>9918</v>
      </c>
      <c r="B645" t="s">
        <v>1386</v>
      </c>
      <c r="C645">
        <v>31.5</v>
      </c>
      <c r="D645">
        <f>VLOOKUP(A645,收盤價!A:C,3,0)</f>
        <v>31.7</v>
      </c>
      <c r="E645" s="126">
        <v>6.3492063492063266E-3</v>
      </c>
      <c r="F645">
        <v>59.1</v>
      </c>
    </row>
    <row r="646" spans="1:6">
      <c r="A646">
        <v>6414</v>
      </c>
      <c r="B646" t="s">
        <v>1300</v>
      </c>
      <c r="C646">
        <v>360</v>
      </c>
      <c r="D646">
        <f>VLOOKUP(A646,收盤價!A:C,3,0)</f>
        <v>362</v>
      </c>
      <c r="E646" s="126">
        <v>5.5555555555555558E-3</v>
      </c>
      <c r="F646">
        <v>59.04</v>
      </c>
    </row>
    <row r="647" spans="1:6">
      <c r="A647">
        <v>2107</v>
      </c>
      <c r="B647" t="s">
        <v>762</v>
      </c>
      <c r="C647">
        <v>18.399999999999999</v>
      </c>
      <c r="D647">
        <f>VLOOKUP(A647,收盤價!A:C,3,0)</f>
        <v>18.5</v>
      </c>
      <c r="E647" s="126">
        <v>5.4347826086957301E-3</v>
      </c>
      <c r="F647">
        <v>58.97</v>
      </c>
    </row>
    <row r="648" spans="1:6">
      <c r="A648">
        <v>3303</v>
      </c>
      <c r="B648" t="s">
        <v>299</v>
      </c>
      <c r="C648">
        <v>19</v>
      </c>
      <c r="D648">
        <f>VLOOKUP(A648,收盤價!A:C,3,0)</f>
        <v>19.100000000000001</v>
      </c>
      <c r="E648" s="126">
        <v>5.2631578947369166E-3</v>
      </c>
      <c r="F648">
        <v>58.91</v>
      </c>
    </row>
    <row r="649" spans="1:6">
      <c r="A649">
        <v>5345</v>
      </c>
      <c r="B649" t="s">
        <v>405</v>
      </c>
      <c r="C649">
        <v>9.9</v>
      </c>
      <c r="D649">
        <f>VLOOKUP(A649,收盤價!A:C,3,0)</f>
        <v>9.9499999999999993</v>
      </c>
      <c r="E649" s="126">
        <v>5.0505050505049425E-3</v>
      </c>
      <c r="F649">
        <v>58.85</v>
      </c>
    </row>
    <row r="650" spans="1:6">
      <c r="A650">
        <v>1201</v>
      </c>
      <c r="B650" t="s">
        <v>532</v>
      </c>
      <c r="C650">
        <v>19.899999999999999</v>
      </c>
      <c r="D650">
        <f>VLOOKUP(A650,收盤價!A:C,3,0)</f>
        <v>20</v>
      </c>
      <c r="E650" s="126">
        <v>5.0251256281407756E-3</v>
      </c>
      <c r="F650">
        <v>58.78</v>
      </c>
    </row>
    <row r="651" spans="1:6">
      <c r="A651">
        <v>2511</v>
      </c>
      <c r="B651" t="s">
        <v>925</v>
      </c>
      <c r="C651">
        <v>10.1</v>
      </c>
      <c r="D651">
        <f>VLOOKUP(A651,收盤價!A:C,3,0)</f>
        <v>10.15</v>
      </c>
      <c r="E651" s="126">
        <v>4.9504950495050208E-3</v>
      </c>
      <c r="F651">
        <v>58.72</v>
      </c>
    </row>
    <row r="652" spans="1:6">
      <c r="A652">
        <v>3617</v>
      </c>
      <c r="B652" t="s">
        <v>1139</v>
      </c>
      <c r="C652">
        <v>103</v>
      </c>
      <c r="D652">
        <f>VLOOKUP(A652,收盤價!A:C,3,0)</f>
        <v>103.5</v>
      </c>
      <c r="E652" s="126">
        <v>4.8543689320388345E-3</v>
      </c>
      <c r="F652">
        <v>58.66</v>
      </c>
    </row>
    <row r="653" spans="1:6">
      <c r="A653">
        <v>8131</v>
      </c>
      <c r="B653" t="s">
        <v>1329</v>
      </c>
      <c r="C653">
        <v>21.2</v>
      </c>
      <c r="D653">
        <f>VLOOKUP(A653,收盤價!A:C,3,0)</f>
        <v>21.3</v>
      </c>
      <c r="E653" s="126">
        <v>4.7169811320755392E-3</v>
      </c>
      <c r="F653">
        <v>58.59</v>
      </c>
    </row>
    <row r="654" spans="1:6">
      <c r="A654">
        <v>5276</v>
      </c>
      <c r="B654" t="s">
        <v>1626</v>
      </c>
      <c r="C654">
        <v>22.7</v>
      </c>
      <c r="D654">
        <f>VLOOKUP(A654,收盤價!A:C,3,0)</f>
        <v>22.8</v>
      </c>
      <c r="E654" s="126">
        <v>4.4052863436123977E-3</v>
      </c>
      <c r="F654">
        <v>58.53</v>
      </c>
    </row>
    <row r="655" spans="1:6">
      <c r="A655">
        <v>6192</v>
      </c>
      <c r="B655" t="s">
        <v>1266</v>
      </c>
      <c r="C655">
        <v>46.5</v>
      </c>
      <c r="D655">
        <f>VLOOKUP(A655,收盤價!A:C,3,0)</f>
        <v>46.7</v>
      </c>
      <c r="E655" s="126">
        <v>4.301075268817265E-3</v>
      </c>
      <c r="F655">
        <v>58.47</v>
      </c>
    </row>
    <row r="656" spans="1:6">
      <c r="A656">
        <v>6204</v>
      </c>
      <c r="B656" t="s">
        <v>1720</v>
      </c>
      <c r="C656">
        <v>23.4</v>
      </c>
      <c r="D656">
        <f>VLOOKUP(A656,收盤價!A:C,3,0)</f>
        <v>23.5</v>
      </c>
      <c r="E656" s="126">
        <v>4.2735042735043346E-3</v>
      </c>
      <c r="F656">
        <v>58.4</v>
      </c>
    </row>
    <row r="657" spans="1:6">
      <c r="A657">
        <v>6208</v>
      </c>
      <c r="B657" t="s">
        <v>1721</v>
      </c>
      <c r="C657">
        <v>11.9</v>
      </c>
      <c r="D657">
        <f>VLOOKUP(A657,收盤價!A:C,3,0)</f>
        <v>11.95</v>
      </c>
      <c r="E657" s="126">
        <v>4.201680672268818E-3</v>
      </c>
      <c r="F657">
        <v>58.34</v>
      </c>
    </row>
    <row r="658" spans="1:6">
      <c r="A658">
        <v>3598</v>
      </c>
      <c r="B658" t="s">
        <v>1136</v>
      </c>
      <c r="C658">
        <v>49.35</v>
      </c>
      <c r="D658">
        <f>VLOOKUP(A658,收盤價!A:C,3,0)</f>
        <v>49.55</v>
      </c>
      <c r="E658" s="126">
        <v>4.0526849037486471E-3</v>
      </c>
      <c r="F658">
        <v>58.28</v>
      </c>
    </row>
    <row r="659" spans="1:6">
      <c r="A659">
        <v>4526</v>
      </c>
      <c r="B659" t="s">
        <v>1171</v>
      </c>
      <c r="C659">
        <v>24.7</v>
      </c>
      <c r="D659">
        <f>VLOOKUP(A659,收盤價!A:C,3,0)</f>
        <v>24.8</v>
      </c>
      <c r="E659" s="126">
        <v>4.0485829959514743E-3</v>
      </c>
      <c r="F659">
        <v>58.21</v>
      </c>
    </row>
    <row r="660" spans="1:6">
      <c r="A660">
        <v>8401</v>
      </c>
      <c r="B660" t="s">
        <v>1802</v>
      </c>
      <c r="C660">
        <v>12.45</v>
      </c>
      <c r="D660">
        <f>VLOOKUP(A660,收盤價!A:C,3,0)</f>
        <v>12.5</v>
      </c>
      <c r="E660" s="126">
        <v>4.0160642570281693E-3</v>
      </c>
      <c r="F660">
        <v>58.15</v>
      </c>
    </row>
    <row r="661" spans="1:6">
      <c r="A661">
        <v>4956</v>
      </c>
      <c r="B661" t="s">
        <v>1196</v>
      </c>
      <c r="C661">
        <v>13.1</v>
      </c>
      <c r="D661">
        <f>VLOOKUP(A661,收盤價!A:C,3,0)</f>
        <v>13.15</v>
      </c>
      <c r="E661" s="126">
        <v>3.8167938931298255E-3</v>
      </c>
      <c r="F661">
        <v>58.08</v>
      </c>
    </row>
    <row r="662" spans="1:6">
      <c r="A662">
        <v>5215</v>
      </c>
      <c r="B662" t="s">
        <v>1206</v>
      </c>
      <c r="C662">
        <v>40</v>
      </c>
      <c r="D662">
        <f>VLOOKUP(A662,收盤價!A:C,3,0)</f>
        <v>40.15</v>
      </c>
      <c r="E662" s="126">
        <v>3.7499999999999643E-3</v>
      </c>
      <c r="F662">
        <v>58.02</v>
      </c>
    </row>
    <row r="663" spans="1:6">
      <c r="A663">
        <v>3213</v>
      </c>
      <c r="B663" t="s">
        <v>1465</v>
      </c>
      <c r="C663">
        <v>40.35</v>
      </c>
      <c r="D663">
        <f>VLOOKUP(A663,收盤價!A:C,3,0)</f>
        <v>40.5</v>
      </c>
      <c r="E663" s="126">
        <v>3.7174721189590725E-3</v>
      </c>
      <c r="F663">
        <v>57.96</v>
      </c>
    </row>
    <row r="664" spans="1:6">
      <c r="A664">
        <v>5457</v>
      </c>
      <c r="B664" t="s">
        <v>418</v>
      </c>
      <c r="C664">
        <v>27.8</v>
      </c>
      <c r="D664">
        <f>VLOOKUP(A664,收盤價!A:C,3,0)</f>
        <v>27.9</v>
      </c>
      <c r="E664" s="126">
        <v>3.5971223021581968E-3</v>
      </c>
      <c r="F664">
        <v>57.89</v>
      </c>
    </row>
    <row r="665" spans="1:6">
      <c r="A665">
        <v>5209</v>
      </c>
      <c r="B665" t="s">
        <v>1619</v>
      </c>
      <c r="C665">
        <v>44.05</v>
      </c>
      <c r="D665">
        <f>VLOOKUP(A665,收盤價!A:C,3,0)</f>
        <v>44.2</v>
      </c>
      <c r="E665" s="126">
        <v>3.4052213393871893E-3</v>
      </c>
      <c r="F665">
        <v>57.83</v>
      </c>
    </row>
    <row r="666" spans="1:6">
      <c r="A666">
        <v>4138</v>
      </c>
      <c r="B666" t="s">
        <v>1550</v>
      </c>
      <c r="C666">
        <v>62.5</v>
      </c>
      <c r="D666">
        <f>VLOOKUP(A666,收盤價!A:C,3,0)</f>
        <v>62.7</v>
      </c>
      <c r="E666" s="126">
        <v>3.2000000000000457E-3</v>
      </c>
      <c r="F666">
        <v>57.77</v>
      </c>
    </row>
    <row r="667" spans="1:6">
      <c r="A667">
        <v>4976</v>
      </c>
      <c r="B667" t="s">
        <v>1199</v>
      </c>
      <c r="C667">
        <v>16.5</v>
      </c>
      <c r="D667">
        <f>VLOOKUP(A667,收盤價!A:C,3,0)</f>
        <v>16.55</v>
      </c>
      <c r="E667" s="126">
        <v>3.0303030303030732E-3</v>
      </c>
      <c r="F667">
        <v>57.7</v>
      </c>
    </row>
    <row r="668" spans="1:6">
      <c r="A668">
        <v>3057</v>
      </c>
      <c r="B668" t="s">
        <v>1072</v>
      </c>
      <c r="C668">
        <v>19.2</v>
      </c>
      <c r="D668">
        <f>VLOOKUP(A668,收盤價!A:C,3,0)</f>
        <v>19.25</v>
      </c>
      <c r="E668" s="126">
        <v>2.6041666666667038E-3</v>
      </c>
      <c r="F668">
        <v>57.64</v>
      </c>
    </row>
    <row r="669" spans="1:6">
      <c r="A669">
        <v>2206</v>
      </c>
      <c r="B669" t="s">
        <v>769</v>
      </c>
      <c r="C669">
        <v>22</v>
      </c>
      <c r="D669">
        <f>VLOOKUP(A669,收盤價!A:C,3,0)</f>
        <v>22.05</v>
      </c>
      <c r="E669" s="126">
        <v>2.2727272727273051E-3</v>
      </c>
      <c r="F669">
        <v>57.58</v>
      </c>
    </row>
    <row r="670" spans="1:6">
      <c r="A670">
        <v>3090</v>
      </c>
      <c r="B670" t="s">
        <v>1077</v>
      </c>
      <c r="C670">
        <v>23.75</v>
      </c>
      <c r="D670">
        <f>VLOOKUP(A670,收盤價!A:C,3,0)</f>
        <v>23.8</v>
      </c>
      <c r="E670" s="126">
        <v>2.1052631578947667E-3</v>
      </c>
      <c r="F670">
        <v>57.51</v>
      </c>
    </row>
    <row r="671" spans="1:6">
      <c r="A671">
        <v>1566</v>
      </c>
      <c r="B671" t="s">
        <v>248</v>
      </c>
      <c r="C671">
        <v>24.1</v>
      </c>
      <c r="D671">
        <f>VLOOKUP(A671,收盤價!A:C,3,0)</f>
        <v>24.15</v>
      </c>
      <c r="E671" s="126">
        <v>2.07468879668038E-3</v>
      </c>
      <c r="F671">
        <v>57.45</v>
      </c>
    </row>
    <row r="672" spans="1:6">
      <c r="A672">
        <v>5493</v>
      </c>
      <c r="B672" t="s">
        <v>1662</v>
      </c>
      <c r="C672">
        <v>32.450000000000003</v>
      </c>
      <c r="D672">
        <f>VLOOKUP(A672,收盤價!A:C,3,0)</f>
        <v>32.5</v>
      </c>
      <c r="E672" s="126">
        <v>1.5408320493065378E-3</v>
      </c>
      <c r="F672">
        <v>57.39</v>
      </c>
    </row>
    <row r="673" spans="1:6">
      <c r="A673">
        <v>4904</v>
      </c>
      <c r="B673" t="s">
        <v>1183</v>
      </c>
      <c r="C673">
        <v>70.2</v>
      </c>
      <c r="D673">
        <f>VLOOKUP(A673,收盤價!A:C,3,0)</f>
        <v>70.3</v>
      </c>
      <c r="E673" s="126">
        <v>1.4245014245013435E-3</v>
      </c>
      <c r="F673">
        <v>57.32</v>
      </c>
    </row>
    <row r="674" spans="1:6">
      <c r="A674">
        <v>3529</v>
      </c>
      <c r="B674" t="s">
        <v>322</v>
      </c>
      <c r="C674">
        <v>365</v>
      </c>
      <c r="D674">
        <f>VLOOKUP(A674,收盤價!A:C,3,0)</f>
        <v>365.5</v>
      </c>
      <c r="E674" s="126">
        <v>1.3698630136986301E-3</v>
      </c>
      <c r="F674">
        <v>57.26</v>
      </c>
    </row>
    <row r="675" spans="1:6">
      <c r="A675">
        <v>2637</v>
      </c>
      <c r="B675" t="s">
        <v>965</v>
      </c>
      <c r="C675">
        <v>37.299999999999997</v>
      </c>
      <c r="D675">
        <f>VLOOKUP(A675,收盤價!A:C,3,0)</f>
        <v>37.35</v>
      </c>
      <c r="E675" s="126">
        <v>1.3404825737266559E-3</v>
      </c>
      <c r="F675">
        <v>57.2</v>
      </c>
    </row>
    <row r="676" spans="1:6">
      <c r="A676">
        <v>6126</v>
      </c>
      <c r="B676" t="s">
        <v>1696</v>
      </c>
      <c r="C676">
        <v>8.11</v>
      </c>
      <c r="D676">
        <f>VLOOKUP(A676,收盤價!A:C,3,0)</f>
        <v>8.1199999999999992</v>
      </c>
      <c r="E676" s="126">
        <v>1.2330456226880132E-3</v>
      </c>
      <c r="F676">
        <v>57.13</v>
      </c>
    </row>
    <row r="677" spans="1:6">
      <c r="A677">
        <v>3561</v>
      </c>
      <c r="B677" t="s">
        <v>1126</v>
      </c>
      <c r="C677">
        <v>19</v>
      </c>
      <c r="D677">
        <f>VLOOKUP(A677,收盤價!A:C,3,0)</f>
        <v>19</v>
      </c>
      <c r="E677" s="126">
        <v>0</v>
      </c>
      <c r="F677">
        <v>57.07</v>
      </c>
    </row>
    <row r="678" spans="1:6">
      <c r="A678">
        <v>5102</v>
      </c>
      <c r="B678" t="s">
        <v>387</v>
      </c>
      <c r="C678">
        <v>14.35</v>
      </c>
      <c r="D678">
        <f>VLOOKUP(A678,收盤價!A:C,3,0)</f>
        <v>14.35</v>
      </c>
      <c r="E678" s="126">
        <v>0</v>
      </c>
      <c r="F678">
        <v>57.01</v>
      </c>
    </row>
    <row r="679" spans="1:6">
      <c r="A679">
        <v>6125</v>
      </c>
      <c r="B679" t="s">
        <v>436</v>
      </c>
      <c r="C679">
        <v>12.9</v>
      </c>
      <c r="D679">
        <f>VLOOKUP(A679,收盤價!A:C,3,0)</f>
        <v>12.9</v>
      </c>
      <c r="E679" s="126">
        <v>0</v>
      </c>
      <c r="F679">
        <v>56.94</v>
      </c>
    </row>
    <row r="680" spans="1:6">
      <c r="A680">
        <v>5410</v>
      </c>
      <c r="B680" t="s">
        <v>1648</v>
      </c>
      <c r="C680">
        <v>12.3</v>
      </c>
      <c r="D680">
        <f>VLOOKUP(A680,收盤價!A:C,3,0)</f>
        <v>12.3</v>
      </c>
      <c r="E680" s="126">
        <v>0</v>
      </c>
      <c r="F680">
        <v>56.88</v>
      </c>
    </row>
    <row r="681" spans="1:6">
      <c r="A681">
        <v>2012</v>
      </c>
      <c r="B681" t="s">
        <v>734</v>
      </c>
      <c r="C681">
        <v>14</v>
      </c>
      <c r="D681">
        <f>VLOOKUP(A681,收盤價!A:C,3,0)</f>
        <v>14</v>
      </c>
      <c r="E681" s="126">
        <v>0</v>
      </c>
      <c r="F681">
        <v>56.82</v>
      </c>
    </row>
    <row r="682" spans="1:6">
      <c r="A682">
        <v>2913</v>
      </c>
      <c r="B682" t="s">
        <v>1020</v>
      </c>
      <c r="C682">
        <v>14.65</v>
      </c>
      <c r="D682">
        <f>VLOOKUP(A682,收盤價!A:C,3,0)</f>
        <v>14.65</v>
      </c>
      <c r="E682" s="126">
        <v>0</v>
      </c>
      <c r="F682">
        <v>56.75</v>
      </c>
    </row>
    <row r="683" spans="1:6">
      <c r="A683">
        <v>9907</v>
      </c>
      <c r="B683" t="s">
        <v>1379</v>
      </c>
      <c r="C683">
        <v>16.2</v>
      </c>
      <c r="D683">
        <f>VLOOKUP(A683,收盤價!A:C,3,0)</f>
        <v>16.2</v>
      </c>
      <c r="E683" s="126">
        <v>0</v>
      </c>
      <c r="F683">
        <v>56.69</v>
      </c>
    </row>
    <row r="684" spans="1:6">
      <c r="A684">
        <v>3284</v>
      </c>
      <c r="B684" t="s">
        <v>293</v>
      </c>
      <c r="C684">
        <v>9.4499999999999993</v>
      </c>
      <c r="D684">
        <f>VLOOKUP(A684,收盤價!A:C,3,0)</f>
        <v>9.4499999999999993</v>
      </c>
      <c r="E684" s="126">
        <v>0</v>
      </c>
      <c r="F684">
        <v>56.63</v>
      </c>
    </row>
    <row r="685" spans="1:6">
      <c r="A685">
        <v>8390</v>
      </c>
      <c r="B685" t="s">
        <v>1801</v>
      </c>
      <c r="C685">
        <v>15.1</v>
      </c>
      <c r="D685">
        <f>VLOOKUP(A685,收盤價!A:C,3,0)</f>
        <v>15.1</v>
      </c>
      <c r="E685" s="126">
        <v>0</v>
      </c>
      <c r="F685">
        <v>56.56</v>
      </c>
    </row>
    <row r="686" spans="1:6">
      <c r="A686">
        <v>6190</v>
      </c>
      <c r="B686" t="s">
        <v>449</v>
      </c>
      <c r="C686">
        <v>6.5</v>
      </c>
      <c r="D686">
        <f>VLOOKUP(A686,收盤價!A:C,3,0)</f>
        <v>6.5</v>
      </c>
      <c r="E686" s="126">
        <v>0</v>
      </c>
      <c r="F686">
        <v>56.5</v>
      </c>
    </row>
    <row r="687" spans="1:6">
      <c r="A687">
        <v>8450</v>
      </c>
      <c r="B687" t="s">
        <v>504</v>
      </c>
      <c r="C687">
        <v>84.5</v>
      </c>
      <c r="D687">
        <f>VLOOKUP(A687,收盤價!A:C,3,0)</f>
        <v>84.4</v>
      </c>
      <c r="E687" s="126">
        <v>-1.1834319526626547E-3</v>
      </c>
      <c r="F687">
        <v>56.44</v>
      </c>
    </row>
    <row r="688" spans="1:6">
      <c r="A688">
        <v>2543</v>
      </c>
      <c r="B688" t="s">
        <v>942</v>
      </c>
      <c r="C688">
        <v>8.31</v>
      </c>
      <c r="D688">
        <f>VLOOKUP(A688,收盤價!A:C,3,0)</f>
        <v>8.3000000000000007</v>
      </c>
      <c r="E688" s="126">
        <v>-1.2033694344163401E-3</v>
      </c>
      <c r="F688">
        <v>56.37</v>
      </c>
    </row>
    <row r="689" spans="1:6">
      <c r="A689">
        <v>3416</v>
      </c>
      <c r="B689" t="s">
        <v>1102</v>
      </c>
      <c r="C689">
        <v>54.5</v>
      </c>
      <c r="D689">
        <f>VLOOKUP(A689,收盤價!A:C,3,0)</f>
        <v>54.4</v>
      </c>
      <c r="E689" s="126">
        <v>-1.834862385321127E-3</v>
      </c>
      <c r="F689">
        <v>56.31</v>
      </c>
    </row>
    <row r="690" spans="1:6">
      <c r="A690">
        <v>4207</v>
      </c>
      <c r="B690" t="s">
        <v>1562</v>
      </c>
      <c r="C690">
        <v>9.89</v>
      </c>
      <c r="D690">
        <f>VLOOKUP(A690,收盤價!A:C,3,0)</f>
        <v>9.8699999999999992</v>
      </c>
      <c r="E690" s="126">
        <v>-2.0222446916078208E-3</v>
      </c>
      <c r="F690">
        <v>56.25</v>
      </c>
    </row>
    <row r="691" spans="1:6">
      <c r="A691">
        <v>5403</v>
      </c>
      <c r="B691" t="s">
        <v>1833</v>
      </c>
      <c r="C691">
        <v>23.15</v>
      </c>
      <c r="D691">
        <f>VLOOKUP(A691,收盤價!A:C,3,0)</f>
        <v>23.1</v>
      </c>
      <c r="E691" s="126">
        <v>-2.1598272138227716E-3</v>
      </c>
      <c r="F691">
        <v>56.18</v>
      </c>
    </row>
    <row r="692" spans="1:6">
      <c r="A692">
        <v>1314</v>
      </c>
      <c r="B692" t="s">
        <v>563</v>
      </c>
      <c r="C692">
        <v>8.69</v>
      </c>
      <c r="D692">
        <f>VLOOKUP(A692,收盤價!A:C,3,0)</f>
        <v>8.67</v>
      </c>
      <c r="E692" s="126">
        <v>-2.3014959723819993E-3</v>
      </c>
      <c r="F692">
        <v>56.12</v>
      </c>
    </row>
    <row r="693" spans="1:6">
      <c r="A693">
        <v>3033</v>
      </c>
      <c r="B693" t="s">
        <v>1050</v>
      </c>
      <c r="C693">
        <v>20</v>
      </c>
      <c r="D693">
        <f>VLOOKUP(A693,收盤價!A:C,3,0)</f>
        <v>19.95</v>
      </c>
      <c r="E693" s="126">
        <v>-2.5000000000000356E-3</v>
      </c>
      <c r="F693">
        <v>56.06</v>
      </c>
    </row>
    <row r="694" spans="1:6">
      <c r="A694">
        <v>6298</v>
      </c>
      <c r="B694" t="s">
        <v>1745</v>
      </c>
      <c r="C694">
        <v>17.7</v>
      </c>
      <c r="D694">
        <f>VLOOKUP(A694,收盤價!A:C,3,0)</f>
        <v>17.649999999999999</v>
      </c>
      <c r="E694" s="126">
        <v>-2.8248587570621872E-3</v>
      </c>
      <c r="F694">
        <v>55.99</v>
      </c>
    </row>
    <row r="695" spans="1:6">
      <c r="A695">
        <v>5371</v>
      </c>
      <c r="B695" t="s">
        <v>409</v>
      </c>
      <c r="C695">
        <v>33.299999999999997</v>
      </c>
      <c r="D695">
        <f>VLOOKUP(A695,收盤價!A:C,3,0)</f>
        <v>33.200000000000003</v>
      </c>
      <c r="E695" s="126">
        <v>-3.0030030030028325E-3</v>
      </c>
      <c r="F695">
        <v>55.93</v>
      </c>
    </row>
    <row r="696" spans="1:6">
      <c r="A696">
        <v>9927</v>
      </c>
      <c r="B696" t="s">
        <v>1392</v>
      </c>
      <c r="C696">
        <v>30.75</v>
      </c>
      <c r="D696">
        <f>VLOOKUP(A696,收盤價!A:C,3,0)</f>
        <v>30.65</v>
      </c>
      <c r="E696" s="126">
        <v>-3.2520325203252497E-3</v>
      </c>
      <c r="F696">
        <v>55.87</v>
      </c>
    </row>
    <row r="697" spans="1:6">
      <c r="A697">
        <v>1802</v>
      </c>
      <c r="B697" t="s">
        <v>714</v>
      </c>
      <c r="C697">
        <v>14.65</v>
      </c>
      <c r="D697">
        <f>VLOOKUP(A697,收盤價!A:C,3,0)</f>
        <v>14.6</v>
      </c>
      <c r="E697" s="126">
        <v>-3.4129692832764991E-3</v>
      </c>
      <c r="F697">
        <v>55.8</v>
      </c>
    </row>
    <row r="698" spans="1:6">
      <c r="A698">
        <v>4106</v>
      </c>
      <c r="B698" t="s">
        <v>1159</v>
      </c>
      <c r="C698">
        <v>43</v>
      </c>
      <c r="D698">
        <f>VLOOKUP(A698,收盤價!A:C,3,0)</f>
        <v>42.85</v>
      </c>
      <c r="E698" s="126">
        <v>-3.4883720930232228E-3</v>
      </c>
      <c r="F698">
        <v>55.74</v>
      </c>
    </row>
    <row r="699" spans="1:6">
      <c r="A699">
        <v>2382</v>
      </c>
      <c r="B699" t="s">
        <v>832</v>
      </c>
      <c r="C699">
        <v>57.1</v>
      </c>
      <c r="D699">
        <f>VLOOKUP(A699,收盤價!A:C,3,0)</f>
        <v>56.9</v>
      </c>
      <c r="E699" s="126">
        <v>-3.5026269702277207E-3</v>
      </c>
      <c r="F699">
        <v>55.68</v>
      </c>
    </row>
    <row r="700" spans="1:6">
      <c r="A700">
        <v>3540</v>
      </c>
      <c r="B700" t="s">
        <v>1510</v>
      </c>
      <c r="C700">
        <v>13.6</v>
      </c>
      <c r="D700">
        <f>VLOOKUP(A700,收盤價!A:C,3,0)</f>
        <v>13.55</v>
      </c>
      <c r="E700" s="126">
        <v>-3.676470588235216E-3</v>
      </c>
      <c r="F700">
        <v>55.61</v>
      </c>
    </row>
    <row r="701" spans="1:6">
      <c r="A701">
        <v>1714</v>
      </c>
      <c r="B701" t="s">
        <v>688</v>
      </c>
      <c r="C701">
        <v>7.9</v>
      </c>
      <c r="D701">
        <f>VLOOKUP(A701,收盤價!A:C,3,0)</f>
        <v>7.87</v>
      </c>
      <c r="E701" s="126">
        <v>-3.7974683544304113E-3</v>
      </c>
      <c r="F701">
        <v>55.55</v>
      </c>
    </row>
    <row r="702" spans="1:6">
      <c r="A702">
        <v>5016</v>
      </c>
      <c r="B702" t="s">
        <v>1615</v>
      </c>
      <c r="C702">
        <v>24.1</v>
      </c>
      <c r="D702">
        <f>VLOOKUP(A702,收盤價!A:C,3,0)</f>
        <v>24</v>
      </c>
      <c r="E702" s="126">
        <v>-4.1493775933610548E-3</v>
      </c>
      <c r="F702">
        <v>55.49</v>
      </c>
    </row>
    <row r="703" spans="1:6">
      <c r="A703">
        <v>5521</v>
      </c>
      <c r="B703" t="s">
        <v>1223</v>
      </c>
      <c r="C703">
        <v>11.65</v>
      </c>
      <c r="D703">
        <f>VLOOKUP(A703,收盤價!A:C,3,0)</f>
        <v>11.6</v>
      </c>
      <c r="E703" s="126">
        <v>-4.2918454935622925E-3</v>
      </c>
      <c r="F703">
        <v>55.42</v>
      </c>
    </row>
    <row r="704" spans="1:6">
      <c r="A704">
        <v>3533</v>
      </c>
      <c r="B704" t="s">
        <v>1119</v>
      </c>
      <c r="C704">
        <v>110</v>
      </c>
      <c r="D704">
        <f>VLOOKUP(A704,收盤價!A:C,3,0)</f>
        <v>109.5</v>
      </c>
      <c r="E704" s="126">
        <v>-4.5454545454545452E-3</v>
      </c>
      <c r="F704">
        <v>55.36</v>
      </c>
    </row>
    <row r="705" spans="1:6">
      <c r="A705">
        <v>6118</v>
      </c>
      <c r="B705" t="s">
        <v>1692</v>
      </c>
      <c r="C705">
        <v>8.2799999999999994</v>
      </c>
      <c r="D705">
        <f>VLOOKUP(A705,收盤價!A:C,3,0)</f>
        <v>8.24</v>
      </c>
      <c r="E705" s="126">
        <v>-4.8309178743960327E-3</v>
      </c>
      <c r="F705">
        <v>55.29</v>
      </c>
    </row>
    <row r="706" spans="1:6">
      <c r="A706">
        <v>6442</v>
      </c>
      <c r="B706" t="s">
        <v>1304</v>
      </c>
      <c r="C706">
        <v>60.4</v>
      </c>
      <c r="D706">
        <f>VLOOKUP(A706,收盤價!A:C,3,0)</f>
        <v>60.1</v>
      </c>
      <c r="E706" s="126">
        <v>-4.9668874172184964E-3</v>
      </c>
      <c r="F706">
        <v>55.23</v>
      </c>
    </row>
    <row r="707" spans="1:6">
      <c r="A707">
        <v>9925</v>
      </c>
      <c r="B707" t="s">
        <v>1390</v>
      </c>
      <c r="C707">
        <v>39.4</v>
      </c>
      <c r="D707">
        <f>VLOOKUP(A707,收盤價!A:C,3,0)</f>
        <v>39.200000000000003</v>
      </c>
      <c r="E707" s="126">
        <v>-5.0761421319795875E-3</v>
      </c>
      <c r="F707">
        <v>55.17</v>
      </c>
    </row>
    <row r="708" spans="1:6">
      <c r="A708">
        <v>1313</v>
      </c>
      <c r="B708" t="s">
        <v>562</v>
      </c>
      <c r="C708">
        <v>9.58</v>
      </c>
      <c r="D708">
        <f>VLOOKUP(A708,收盤價!A:C,3,0)</f>
        <v>9.5299999999999994</v>
      </c>
      <c r="E708" s="126">
        <v>-5.2192066805846257E-3</v>
      </c>
      <c r="F708">
        <v>55.1</v>
      </c>
    </row>
    <row r="709" spans="1:6">
      <c r="A709">
        <v>2433</v>
      </c>
      <c r="B709" t="s">
        <v>867</v>
      </c>
      <c r="C709">
        <v>45.8</v>
      </c>
      <c r="D709">
        <f>VLOOKUP(A709,收盤價!A:C,3,0)</f>
        <v>45.55</v>
      </c>
      <c r="E709" s="126">
        <v>-5.4585152838427953E-3</v>
      </c>
      <c r="F709">
        <v>55.04</v>
      </c>
    </row>
    <row r="710" spans="1:6">
      <c r="A710">
        <v>1323</v>
      </c>
      <c r="B710" t="s">
        <v>568</v>
      </c>
      <c r="C710">
        <v>27.35</v>
      </c>
      <c r="D710">
        <f>VLOOKUP(A710,收盤價!A:C,3,0)</f>
        <v>27.2</v>
      </c>
      <c r="E710" s="126">
        <v>-5.4844606946984325E-3</v>
      </c>
      <c r="F710">
        <v>54.98</v>
      </c>
    </row>
    <row r="711" spans="1:6">
      <c r="A711">
        <v>5269</v>
      </c>
      <c r="B711" t="s">
        <v>1212</v>
      </c>
      <c r="C711">
        <v>180</v>
      </c>
      <c r="D711">
        <f>VLOOKUP(A711,收盤價!A:C,3,0)</f>
        <v>179</v>
      </c>
      <c r="E711" s="126">
        <v>-5.5555555555555558E-3</v>
      </c>
      <c r="F711">
        <v>54.91</v>
      </c>
    </row>
    <row r="712" spans="1:6">
      <c r="A712">
        <v>6141</v>
      </c>
      <c r="B712" t="s">
        <v>1249</v>
      </c>
      <c r="C712">
        <v>8.9</v>
      </c>
      <c r="D712">
        <f>VLOOKUP(A712,收盤價!A:C,3,0)</f>
        <v>8.85</v>
      </c>
      <c r="E712" s="126">
        <v>-5.6179775280899673E-3</v>
      </c>
      <c r="F712">
        <v>54.85</v>
      </c>
    </row>
    <row r="713" spans="1:6">
      <c r="A713">
        <v>2466</v>
      </c>
      <c r="B713" t="s">
        <v>894</v>
      </c>
      <c r="C713">
        <v>34.549999999999997</v>
      </c>
      <c r="D713">
        <f>VLOOKUP(A713,收盤價!A:C,3,0)</f>
        <v>34.35</v>
      </c>
      <c r="E713" s="126">
        <v>-5.7887120115773013E-3</v>
      </c>
      <c r="F713">
        <v>54.79</v>
      </c>
    </row>
    <row r="714" spans="1:6">
      <c r="A714">
        <v>1810</v>
      </c>
      <c r="B714" t="s">
        <v>719</v>
      </c>
      <c r="C714">
        <v>8.5299999999999994</v>
      </c>
      <c r="D714">
        <f>VLOOKUP(A714,收盤價!A:C,3,0)</f>
        <v>8.48</v>
      </c>
      <c r="E714" s="126">
        <v>-5.8616647127783042E-3</v>
      </c>
      <c r="F714">
        <v>54.72</v>
      </c>
    </row>
    <row r="715" spans="1:6">
      <c r="A715">
        <v>3315</v>
      </c>
      <c r="B715" t="s">
        <v>1094</v>
      </c>
      <c r="C715">
        <v>16.75</v>
      </c>
      <c r="D715">
        <f>VLOOKUP(A715,收盤價!A:C,3,0)</f>
        <v>16.649999999999999</v>
      </c>
      <c r="E715" s="126">
        <v>-5.9701492537314283E-3</v>
      </c>
      <c r="F715">
        <v>54.66</v>
      </c>
    </row>
    <row r="716" spans="1:6">
      <c r="A716">
        <v>9934</v>
      </c>
      <c r="B716" t="s">
        <v>1398</v>
      </c>
      <c r="C716">
        <v>15.75</v>
      </c>
      <c r="D716">
        <f>VLOOKUP(A716,收盤價!A:C,3,0)</f>
        <v>15.65</v>
      </c>
      <c r="E716" s="126">
        <v>-6.3492063492063266E-3</v>
      </c>
      <c r="F716">
        <v>54.6</v>
      </c>
    </row>
    <row r="717" spans="1:6">
      <c r="A717">
        <v>3665</v>
      </c>
      <c r="B717" t="s">
        <v>1144</v>
      </c>
      <c r="C717">
        <v>154</v>
      </c>
      <c r="D717">
        <f>VLOOKUP(A717,收盤價!A:C,3,0)</f>
        <v>153</v>
      </c>
      <c r="E717" s="126">
        <v>-6.4935064935064939E-3</v>
      </c>
      <c r="F717">
        <v>54.53</v>
      </c>
    </row>
    <row r="718" spans="1:6">
      <c r="A718">
        <v>2851</v>
      </c>
      <c r="B718" t="s">
        <v>993</v>
      </c>
      <c r="C718">
        <v>15.35</v>
      </c>
      <c r="D718">
        <f>VLOOKUP(A718,收盤價!A:C,3,0)</f>
        <v>15.25</v>
      </c>
      <c r="E718" s="126">
        <v>-6.5146579804560029E-3</v>
      </c>
      <c r="F718">
        <v>54.47</v>
      </c>
    </row>
    <row r="719" spans="1:6">
      <c r="A719">
        <v>1558</v>
      </c>
      <c r="B719" t="s">
        <v>656</v>
      </c>
      <c r="C719">
        <v>151.5</v>
      </c>
      <c r="D719">
        <f>VLOOKUP(A719,收盤價!A:C,3,0)</f>
        <v>150.5</v>
      </c>
      <c r="E719" s="126">
        <v>-6.6006600660066007E-3</v>
      </c>
      <c r="F719">
        <v>54.41</v>
      </c>
    </row>
    <row r="720" spans="1:6">
      <c r="A720">
        <v>8083</v>
      </c>
      <c r="B720" t="s">
        <v>488</v>
      </c>
      <c r="C720">
        <v>141</v>
      </c>
      <c r="D720">
        <f>VLOOKUP(A720,收盤價!A:C,3,0)</f>
        <v>140</v>
      </c>
      <c r="E720" s="126">
        <v>-7.0921985815602835E-3</v>
      </c>
      <c r="F720">
        <v>54.34</v>
      </c>
    </row>
    <row r="721" spans="1:6">
      <c r="A721">
        <v>2607</v>
      </c>
      <c r="B721" t="s">
        <v>952</v>
      </c>
      <c r="C721">
        <v>13.8</v>
      </c>
      <c r="D721">
        <f>VLOOKUP(A721,收盤價!A:C,3,0)</f>
        <v>13.7</v>
      </c>
      <c r="E721" s="126">
        <v>-7.2463768115943053E-3</v>
      </c>
      <c r="F721">
        <v>54.28</v>
      </c>
    </row>
    <row r="722" spans="1:6">
      <c r="A722">
        <v>5520</v>
      </c>
      <c r="B722" t="s">
        <v>1668</v>
      </c>
      <c r="C722">
        <v>27.5</v>
      </c>
      <c r="D722">
        <f>VLOOKUP(A722,收盤價!A:C,3,0)</f>
        <v>27.3</v>
      </c>
      <c r="E722" s="126">
        <v>-7.2727272727272467E-3</v>
      </c>
      <c r="F722">
        <v>54.22</v>
      </c>
    </row>
    <row r="723" spans="1:6">
      <c r="A723">
        <v>2901</v>
      </c>
      <c r="B723" t="s">
        <v>1011</v>
      </c>
      <c r="C723">
        <v>27.2</v>
      </c>
      <c r="D723">
        <f>VLOOKUP(A723,收盤價!A:C,3,0)</f>
        <v>27</v>
      </c>
      <c r="E723" s="126">
        <v>-7.3529411764705621E-3</v>
      </c>
      <c r="F723">
        <v>54.15</v>
      </c>
    </row>
    <row r="724" spans="1:6">
      <c r="A724">
        <v>1229</v>
      </c>
      <c r="B724" t="s">
        <v>544</v>
      </c>
      <c r="C724">
        <v>19.95</v>
      </c>
      <c r="D724">
        <f>VLOOKUP(A724,收盤價!A:C,3,0)</f>
        <v>19.8</v>
      </c>
      <c r="E724" s="126">
        <v>-7.5187969924811323E-3</v>
      </c>
      <c r="F724">
        <v>54.09</v>
      </c>
    </row>
    <row r="725" spans="1:6">
      <c r="A725">
        <v>2608</v>
      </c>
      <c r="B725" t="s">
        <v>953</v>
      </c>
      <c r="C725">
        <v>39</v>
      </c>
      <c r="D725">
        <f>VLOOKUP(A725,收盤價!A:C,3,0)</f>
        <v>38.700000000000003</v>
      </c>
      <c r="E725" s="126">
        <v>-7.692307692307619E-3</v>
      </c>
      <c r="F725">
        <v>54.03</v>
      </c>
    </row>
    <row r="726" spans="1:6">
      <c r="A726">
        <v>3332</v>
      </c>
      <c r="B726" t="s">
        <v>302</v>
      </c>
      <c r="C726">
        <v>38</v>
      </c>
      <c r="D726">
        <f>VLOOKUP(A726,收盤價!A:C,3,0)</f>
        <v>37.700000000000003</v>
      </c>
      <c r="E726" s="126">
        <v>-7.8947368421051888E-3</v>
      </c>
      <c r="F726">
        <v>53.96</v>
      </c>
    </row>
    <row r="727" spans="1:6">
      <c r="A727">
        <v>9937</v>
      </c>
      <c r="B727" t="s">
        <v>1400</v>
      </c>
      <c r="C727">
        <v>36.450000000000003</v>
      </c>
      <c r="D727">
        <f>VLOOKUP(A727,收盤價!A:C,3,0)</f>
        <v>36.15</v>
      </c>
      <c r="E727" s="126">
        <v>-8.2304526748972363E-3</v>
      </c>
      <c r="F727">
        <v>53.9</v>
      </c>
    </row>
    <row r="728" spans="1:6">
      <c r="A728">
        <v>8046</v>
      </c>
      <c r="B728" t="s">
        <v>1319</v>
      </c>
      <c r="C728">
        <v>35.549999999999997</v>
      </c>
      <c r="D728">
        <f>VLOOKUP(A728,收盤價!A:C,3,0)</f>
        <v>35.25</v>
      </c>
      <c r="E728" s="126">
        <v>-8.4388185654007651E-3</v>
      </c>
      <c r="F728">
        <v>53.84</v>
      </c>
    </row>
    <row r="729" spans="1:6">
      <c r="A729">
        <v>3682</v>
      </c>
      <c r="B729" t="s">
        <v>1148</v>
      </c>
      <c r="C729">
        <v>11.75</v>
      </c>
      <c r="D729">
        <f>VLOOKUP(A729,收盤價!A:C,3,0)</f>
        <v>11.65</v>
      </c>
      <c r="E729" s="126">
        <v>-8.5106382978723093E-3</v>
      </c>
      <c r="F729">
        <v>53.77</v>
      </c>
    </row>
    <row r="730" spans="1:6">
      <c r="A730">
        <v>3702</v>
      </c>
      <c r="B730" t="s">
        <v>1153</v>
      </c>
      <c r="C730">
        <v>34.6</v>
      </c>
      <c r="D730">
        <f>VLOOKUP(A730,收盤價!A:C,3,0)</f>
        <v>34.299999999999997</v>
      </c>
      <c r="E730" s="126">
        <v>-8.6705202312139951E-3</v>
      </c>
      <c r="F730">
        <v>53.71</v>
      </c>
    </row>
    <row r="731" spans="1:6">
      <c r="A731">
        <v>3576</v>
      </c>
      <c r="B731" t="s">
        <v>1128</v>
      </c>
      <c r="C731">
        <v>22.55</v>
      </c>
      <c r="D731">
        <f>VLOOKUP(A731,收盤價!A:C,3,0)</f>
        <v>22.35</v>
      </c>
      <c r="E731" s="126">
        <v>-8.8691796008868867E-3</v>
      </c>
      <c r="F731">
        <v>53.65</v>
      </c>
    </row>
    <row r="732" spans="1:6">
      <c r="A732">
        <v>5426</v>
      </c>
      <c r="B732" t="s">
        <v>413</v>
      </c>
      <c r="C732">
        <v>11.1</v>
      </c>
      <c r="D732">
        <f>VLOOKUP(A732,收盤價!A:C,3,0)</f>
        <v>11</v>
      </c>
      <c r="E732" s="126">
        <v>-9.0090090090089777E-3</v>
      </c>
      <c r="F732">
        <v>53.58</v>
      </c>
    </row>
    <row r="733" spans="1:6">
      <c r="A733">
        <v>8069</v>
      </c>
      <c r="B733" t="s">
        <v>1768</v>
      </c>
      <c r="C733">
        <v>16.5</v>
      </c>
      <c r="D733">
        <f>VLOOKUP(A733,收盤價!A:C,3,0)</f>
        <v>16.350000000000001</v>
      </c>
      <c r="E733" s="126">
        <v>-9.0909090909090055E-3</v>
      </c>
      <c r="F733">
        <v>53.52</v>
      </c>
    </row>
    <row r="734" spans="1:6">
      <c r="A734">
        <v>6803</v>
      </c>
      <c r="B734" t="s">
        <v>1752</v>
      </c>
      <c r="C734">
        <v>165</v>
      </c>
      <c r="D734">
        <f>VLOOKUP(A734,收盤價!A:C,3,0)</f>
        <v>163.5</v>
      </c>
      <c r="E734" s="126">
        <v>-9.0909090909090905E-3</v>
      </c>
      <c r="F734">
        <v>53.46</v>
      </c>
    </row>
    <row r="735" spans="1:6">
      <c r="A735">
        <v>5703</v>
      </c>
      <c r="B735" t="s">
        <v>1674</v>
      </c>
      <c r="C735">
        <v>21.9</v>
      </c>
      <c r="D735">
        <f>VLOOKUP(A735,收盤價!A:C,3,0)</f>
        <v>21.7</v>
      </c>
      <c r="E735" s="126">
        <v>-9.1324200913241692E-3</v>
      </c>
      <c r="F735">
        <v>53.39</v>
      </c>
    </row>
    <row r="736" spans="1:6">
      <c r="A736">
        <v>2892</v>
      </c>
      <c r="B736" t="s">
        <v>1010</v>
      </c>
      <c r="C736">
        <v>16.100000000000001</v>
      </c>
      <c r="D736">
        <f>VLOOKUP(A736,收盤價!A:C,3,0)</f>
        <v>15.95</v>
      </c>
      <c r="E736" s="126">
        <v>-9.3167701863355358E-3</v>
      </c>
      <c r="F736">
        <v>53.33</v>
      </c>
    </row>
    <row r="737" spans="1:6">
      <c r="A737">
        <v>6205</v>
      </c>
      <c r="B737" t="s">
        <v>1271</v>
      </c>
      <c r="C737">
        <v>31.1</v>
      </c>
      <c r="D737">
        <f>VLOOKUP(A737,收盤價!A:C,3,0)</f>
        <v>30.8</v>
      </c>
      <c r="E737" s="126">
        <v>-9.6463022508038801E-3</v>
      </c>
      <c r="F737">
        <v>53.27</v>
      </c>
    </row>
    <row r="738" spans="1:6">
      <c r="A738">
        <v>3628</v>
      </c>
      <c r="B738" t="s">
        <v>1523</v>
      </c>
      <c r="C738">
        <v>51.4</v>
      </c>
      <c r="D738">
        <f>VLOOKUP(A738,收盤價!A:C,3,0)</f>
        <v>50.9</v>
      </c>
      <c r="E738" s="126">
        <v>-9.727626459143969E-3</v>
      </c>
      <c r="F738">
        <v>53.2</v>
      </c>
    </row>
    <row r="739" spans="1:6">
      <c r="A739">
        <v>3092</v>
      </c>
      <c r="B739" t="s">
        <v>271</v>
      </c>
      <c r="C739">
        <v>15.1</v>
      </c>
      <c r="D739">
        <f>VLOOKUP(A739,收盤價!A:C,3,0)</f>
        <v>14.95</v>
      </c>
      <c r="E739" s="126">
        <v>-9.9337748344371091E-3</v>
      </c>
      <c r="F739">
        <v>53.14</v>
      </c>
    </row>
    <row r="740" spans="1:6">
      <c r="A740">
        <v>5488</v>
      </c>
      <c r="B740" t="s">
        <v>1659</v>
      </c>
      <c r="C740">
        <v>5.91</v>
      </c>
      <c r="D740">
        <f>VLOOKUP(A740,收盤價!A:C,3,0)</f>
        <v>5.85</v>
      </c>
      <c r="E740" s="126">
        <v>-1.0152284263959475E-2</v>
      </c>
      <c r="F740">
        <v>53.08</v>
      </c>
    </row>
    <row r="741" spans="1:6">
      <c r="A741">
        <v>9960</v>
      </c>
      <c r="B741" t="s">
        <v>517</v>
      </c>
      <c r="C741">
        <v>19</v>
      </c>
      <c r="D741">
        <f>VLOOKUP(A741,收盤價!A:C,3,0)</f>
        <v>18.8</v>
      </c>
      <c r="E741" s="126">
        <v>-1.0526315789473648E-2</v>
      </c>
      <c r="F741">
        <v>53.01</v>
      </c>
    </row>
    <row r="742" spans="1:6">
      <c r="A742">
        <v>3297</v>
      </c>
      <c r="B742" t="s">
        <v>297</v>
      </c>
      <c r="C742">
        <v>19</v>
      </c>
      <c r="D742">
        <f>VLOOKUP(A742,收盤價!A:C,3,0)</f>
        <v>18.8</v>
      </c>
      <c r="E742" s="126">
        <v>-1.0526315789473648E-2</v>
      </c>
      <c r="F742">
        <v>52.95</v>
      </c>
    </row>
    <row r="743" spans="1:6">
      <c r="A743">
        <v>4977</v>
      </c>
      <c r="B743" t="s">
        <v>1200</v>
      </c>
      <c r="C743">
        <v>66.2</v>
      </c>
      <c r="D743">
        <f>VLOOKUP(A743,收盤價!A:C,3,0)</f>
        <v>65.5</v>
      </c>
      <c r="E743" s="126">
        <v>-1.057401812688826E-2</v>
      </c>
      <c r="F743">
        <v>52.89</v>
      </c>
    </row>
    <row r="744" spans="1:6">
      <c r="A744">
        <v>1442</v>
      </c>
      <c r="B744" t="s">
        <v>595</v>
      </c>
      <c r="C744">
        <v>18.899999999999999</v>
      </c>
      <c r="D744">
        <f>VLOOKUP(A744,收盤價!A:C,3,0)</f>
        <v>18.7</v>
      </c>
      <c r="E744" s="126">
        <v>-1.0582010582010545E-2</v>
      </c>
      <c r="F744">
        <v>52.82</v>
      </c>
    </row>
    <row r="745" spans="1:6">
      <c r="A745">
        <v>9926</v>
      </c>
      <c r="B745" t="s">
        <v>1391</v>
      </c>
      <c r="C745">
        <v>41</v>
      </c>
      <c r="D745">
        <f>VLOOKUP(A745,收盤價!A:C,3,0)</f>
        <v>40.549999999999997</v>
      </c>
      <c r="E745" s="126">
        <v>-1.097560975609763E-2</v>
      </c>
      <c r="F745">
        <v>52.76</v>
      </c>
    </row>
    <row r="746" spans="1:6">
      <c r="A746">
        <v>3217</v>
      </c>
      <c r="B746" t="s">
        <v>1466</v>
      </c>
      <c r="C746">
        <v>13.4</v>
      </c>
      <c r="D746">
        <f>VLOOKUP(A746,收盤價!A:C,3,0)</f>
        <v>13.25</v>
      </c>
      <c r="E746" s="126">
        <v>-1.1194029850746294E-2</v>
      </c>
      <c r="F746">
        <v>52.69</v>
      </c>
    </row>
    <row r="747" spans="1:6">
      <c r="A747">
        <v>6134</v>
      </c>
      <c r="B747" t="s">
        <v>1699</v>
      </c>
      <c r="C747">
        <v>6.98</v>
      </c>
      <c r="D747">
        <f>VLOOKUP(A747,收盤價!A:C,3,0)</f>
        <v>6.9</v>
      </c>
      <c r="E747" s="126">
        <v>-1.1461318051575941E-2</v>
      </c>
      <c r="F747">
        <v>52.63</v>
      </c>
    </row>
    <row r="748" spans="1:6">
      <c r="A748">
        <v>2477</v>
      </c>
      <c r="B748" t="s">
        <v>901</v>
      </c>
      <c r="C748">
        <v>12.85</v>
      </c>
      <c r="D748">
        <f>VLOOKUP(A748,收盤價!A:C,3,0)</f>
        <v>12.7</v>
      </c>
      <c r="E748" s="126">
        <v>-1.1673151750972791E-2</v>
      </c>
      <c r="F748">
        <v>52.57</v>
      </c>
    </row>
    <row r="749" spans="1:6">
      <c r="A749">
        <v>9905</v>
      </c>
      <c r="B749" t="s">
        <v>1377</v>
      </c>
      <c r="C749">
        <v>29.7</v>
      </c>
      <c r="D749">
        <f>VLOOKUP(A749,收盤價!A:C,3,0)</f>
        <v>29.35</v>
      </c>
      <c r="E749" s="126">
        <v>-1.1784511784511714E-2</v>
      </c>
      <c r="F749">
        <v>52.5</v>
      </c>
    </row>
    <row r="750" spans="1:6">
      <c r="A750">
        <v>5878</v>
      </c>
      <c r="B750" t="s">
        <v>429</v>
      </c>
      <c r="C750">
        <v>45.5</v>
      </c>
      <c r="D750">
        <f>VLOOKUP(A750,收盤價!A:C,3,0)</f>
        <v>44.95</v>
      </c>
      <c r="E750" s="126">
        <v>-1.2087912087912026E-2</v>
      </c>
      <c r="F750">
        <v>52.44</v>
      </c>
    </row>
    <row r="751" spans="1:6">
      <c r="A751">
        <v>2908</v>
      </c>
      <c r="B751" t="s">
        <v>1016</v>
      </c>
      <c r="C751">
        <v>20.5</v>
      </c>
      <c r="D751">
        <f>VLOOKUP(A751,收盤價!A:C,3,0)</f>
        <v>20.25</v>
      </c>
      <c r="E751" s="126">
        <v>-1.2195121951219513E-2</v>
      </c>
      <c r="F751">
        <v>52.38</v>
      </c>
    </row>
    <row r="752" spans="1:6">
      <c r="A752">
        <v>1455</v>
      </c>
      <c r="B752" t="s">
        <v>606</v>
      </c>
      <c r="C752">
        <v>9.58</v>
      </c>
      <c r="D752">
        <f>VLOOKUP(A752,收盤價!A:C,3,0)</f>
        <v>9.4600000000000009</v>
      </c>
      <c r="E752" s="126">
        <v>-1.2526096033402842E-2</v>
      </c>
      <c r="F752">
        <v>52.31</v>
      </c>
    </row>
    <row r="753" spans="1:6">
      <c r="A753">
        <v>1904</v>
      </c>
      <c r="B753" t="s">
        <v>723</v>
      </c>
      <c r="C753">
        <v>11.75</v>
      </c>
      <c r="D753">
        <f>VLOOKUP(A753,收盤價!A:C,3,0)</f>
        <v>11.6</v>
      </c>
      <c r="E753" s="126">
        <v>-1.2765957446808541E-2</v>
      </c>
      <c r="F753">
        <v>52.25</v>
      </c>
    </row>
    <row r="754" spans="1:6">
      <c r="A754">
        <v>4739</v>
      </c>
      <c r="B754" t="s">
        <v>1593</v>
      </c>
      <c r="C754">
        <v>42.65</v>
      </c>
      <c r="D754">
        <f>VLOOKUP(A754,收盤價!A:C,3,0)</f>
        <v>42.1</v>
      </c>
      <c r="E754" s="126">
        <v>-1.2895662368112478E-2</v>
      </c>
      <c r="F754">
        <v>52.19</v>
      </c>
    </row>
    <row r="755" spans="1:6">
      <c r="A755">
        <v>1809</v>
      </c>
      <c r="B755" t="s">
        <v>718</v>
      </c>
      <c r="C755">
        <v>10.95</v>
      </c>
      <c r="D755">
        <f>VLOOKUP(A755,收盤價!A:C,3,0)</f>
        <v>10.8</v>
      </c>
      <c r="E755" s="126">
        <v>-1.3698630136986172E-2</v>
      </c>
      <c r="F755">
        <v>52.12</v>
      </c>
    </row>
    <row r="756" spans="1:6">
      <c r="A756">
        <v>4164</v>
      </c>
      <c r="B756" t="s">
        <v>1167</v>
      </c>
      <c r="C756">
        <v>58.4</v>
      </c>
      <c r="D756">
        <f>VLOOKUP(A756,收盤價!A:C,3,0)</f>
        <v>57.6</v>
      </c>
      <c r="E756" s="126">
        <v>-1.3698630136986254E-2</v>
      </c>
      <c r="F756">
        <v>52.06</v>
      </c>
    </row>
    <row r="757" spans="1:6">
      <c r="A757">
        <v>8420</v>
      </c>
      <c r="B757" t="s">
        <v>497</v>
      </c>
      <c r="C757">
        <v>21.6</v>
      </c>
      <c r="D757">
        <f>VLOOKUP(A757,收盤價!A:C,3,0)</f>
        <v>21.3</v>
      </c>
      <c r="E757" s="126">
        <v>-1.3888888888888921E-2</v>
      </c>
      <c r="F757">
        <v>52</v>
      </c>
    </row>
    <row r="758" spans="1:6">
      <c r="A758">
        <v>2705</v>
      </c>
      <c r="B758" t="s">
        <v>970</v>
      </c>
      <c r="C758">
        <v>10.65</v>
      </c>
      <c r="D758">
        <f>VLOOKUP(A758,收盤價!A:C,3,0)</f>
        <v>10.5</v>
      </c>
      <c r="E758" s="126">
        <v>-1.4084507042253554E-2</v>
      </c>
      <c r="F758">
        <v>51.93</v>
      </c>
    </row>
    <row r="759" spans="1:6">
      <c r="A759">
        <v>1304</v>
      </c>
      <c r="B759" t="s">
        <v>554</v>
      </c>
      <c r="C759">
        <v>14.05</v>
      </c>
      <c r="D759">
        <f>VLOOKUP(A759,收盤價!A:C,3,0)</f>
        <v>13.85</v>
      </c>
      <c r="E759" s="126">
        <v>-1.4234875444839933E-2</v>
      </c>
      <c r="F759">
        <v>51.87</v>
      </c>
    </row>
    <row r="760" spans="1:6">
      <c r="A760">
        <v>2327</v>
      </c>
      <c r="B760" t="s">
        <v>791</v>
      </c>
      <c r="C760">
        <v>56</v>
      </c>
      <c r="D760">
        <f>VLOOKUP(A760,收盤價!A:C,3,0)</f>
        <v>55.2</v>
      </c>
      <c r="E760" s="126">
        <v>-1.4285714285714235E-2</v>
      </c>
      <c r="F760">
        <v>51.81</v>
      </c>
    </row>
    <row r="761" spans="1:6">
      <c r="A761">
        <v>6251</v>
      </c>
      <c r="B761" t="s">
        <v>1285</v>
      </c>
      <c r="C761">
        <v>9.77</v>
      </c>
      <c r="D761">
        <f>VLOOKUP(A761,收盤價!A:C,3,0)</f>
        <v>9.6300000000000008</v>
      </c>
      <c r="E761" s="126">
        <v>-1.4329580348003971E-2</v>
      </c>
      <c r="F761">
        <v>51.74</v>
      </c>
    </row>
    <row r="762" spans="1:6">
      <c r="A762">
        <v>2417</v>
      </c>
      <c r="B762" t="s">
        <v>854</v>
      </c>
      <c r="C762">
        <v>10.4</v>
      </c>
      <c r="D762">
        <f>VLOOKUP(A762,收盤價!A:C,3,0)</f>
        <v>10.25</v>
      </c>
      <c r="E762" s="126">
        <v>-1.4423076923076957E-2</v>
      </c>
      <c r="F762">
        <v>51.68</v>
      </c>
    </row>
    <row r="763" spans="1:6">
      <c r="A763">
        <v>1615</v>
      </c>
      <c r="B763" t="s">
        <v>673</v>
      </c>
      <c r="C763">
        <v>10.15</v>
      </c>
      <c r="D763">
        <f>VLOOKUP(A763,收盤價!A:C,3,0)</f>
        <v>10</v>
      </c>
      <c r="E763" s="126">
        <v>-1.4778325123152743E-2</v>
      </c>
      <c r="F763">
        <v>51.62</v>
      </c>
    </row>
    <row r="764" spans="1:6">
      <c r="A764">
        <v>1453</v>
      </c>
      <c r="B764" t="s">
        <v>604</v>
      </c>
      <c r="C764">
        <v>8.73</v>
      </c>
      <c r="D764">
        <f>VLOOKUP(A764,收盤價!A:C,3,0)</f>
        <v>8.6</v>
      </c>
      <c r="E764" s="126">
        <v>-1.4891179839633537E-2</v>
      </c>
      <c r="F764">
        <v>51.55</v>
      </c>
    </row>
    <row r="765" spans="1:6">
      <c r="A765">
        <v>2886</v>
      </c>
      <c r="B765" t="s">
        <v>1004</v>
      </c>
      <c r="C765">
        <v>23.35</v>
      </c>
      <c r="D765">
        <f>VLOOKUP(A765,收盤價!A:C,3,0)</f>
        <v>23</v>
      </c>
      <c r="E765" s="126">
        <v>-1.4989293361884428E-2</v>
      </c>
      <c r="F765">
        <v>51.49</v>
      </c>
    </row>
    <row r="766" spans="1:6">
      <c r="A766">
        <v>5525</v>
      </c>
      <c r="B766" t="s">
        <v>1225</v>
      </c>
      <c r="C766">
        <v>16.25</v>
      </c>
      <c r="D766">
        <f>VLOOKUP(A766,收盤價!A:C,3,0)</f>
        <v>16</v>
      </c>
      <c r="E766" s="126">
        <v>-1.5384615384615385E-2</v>
      </c>
      <c r="F766">
        <v>51.43</v>
      </c>
    </row>
    <row r="767" spans="1:6">
      <c r="A767">
        <v>8271</v>
      </c>
      <c r="B767" t="s">
        <v>1339</v>
      </c>
      <c r="C767">
        <v>19.5</v>
      </c>
      <c r="D767">
        <f>VLOOKUP(A767,收盤價!A:C,3,0)</f>
        <v>19.2</v>
      </c>
      <c r="E767" s="126">
        <v>-1.5384615384615422E-2</v>
      </c>
      <c r="F767">
        <v>51.36</v>
      </c>
    </row>
    <row r="768" spans="1:6">
      <c r="A768">
        <v>4510</v>
      </c>
      <c r="B768" t="s">
        <v>1576</v>
      </c>
      <c r="C768">
        <v>16.2</v>
      </c>
      <c r="D768">
        <f>VLOOKUP(A768,收盤價!A:C,3,0)</f>
        <v>15.95</v>
      </c>
      <c r="E768" s="126">
        <v>-1.54320987654321E-2</v>
      </c>
      <c r="F768">
        <v>51.3</v>
      </c>
    </row>
    <row r="769" spans="1:6">
      <c r="A769">
        <v>6239</v>
      </c>
      <c r="B769" t="s">
        <v>1283</v>
      </c>
      <c r="C769">
        <v>71.2</v>
      </c>
      <c r="D769">
        <f>VLOOKUP(A769,收盤價!A:C,3,0)</f>
        <v>70.099999999999994</v>
      </c>
      <c r="E769" s="126">
        <v>-1.544943820224731E-2</v>
      </c>
      <c r="F769">
        <v>51.24</v>
      </c>
    </row>
    <row r="770" spans="1:6">
      <c r="A770">
        <v>2450</v>
      </c>
      <c r="B770" t="s">
        <v>880</v>
      </c>
      <c r="C770">
        <v>45.2</v>
      </c>
      <c r="D770">
        <f>VLOOKUP(A770,收盤價!A:C,3,0)</f>
        <v>44.5</v>
      </c>
      <c r="E770" s="126">
        <v>-1.5486725663716876E-2</v>
      </c>
      <c r="F770">
        <v>51.17</v>
      </c>
    </row>
    <row r="771" spans="1:6">
      <c r="A771">
        <v>5285</v>
      </c>
      <c r="B771" t="s">
        <v>1213</v>
      </c>
      <c r="C771">
        <v>32</v>
      </c>
      <c r="D771">
        <f>VLOOKUP(A771,收盤價!A:C,3,0)</f>
        <v>31.5</v>
      </c>
      <c r="E771" s="126">
        <v>-1.5625E-2</v>
      </c>
      <c r="F771">
        <v>51.11</v>
      </c>
    </row>
    <row r="772" spans="1:6">
      <c r="A772">
        <v>2311</v>
      </c>
      <c r="B772" t="s">
        <v>781</v>
      </c>
      <c r="C772">
        <v>38.4</v>
      </c>
      <c r="D772">
        <f>VLOOKUP(A772,收盤價!A:C,3,0)</f>
        <v>37.799999999999997</v>
      </c>
      <c r="E772" s="126">
        <v>-1.5625000000000038E-2</v>
      </c>
      <c r="F772">
        <v>51.05</v>
      </c>
    </row>
    <row r="773" spans="1:6">
      <c r="A773">
        <v>3022</v>
      </c>
      <c r="B773" t="s">
        <v>1039</v>
      </c>
      <c r="C773">
        <v>41.15</v>
      </c>
      <c r="D773">
        <f>VLOOKUP(A773,收盤價!A:C,3,0)</f>
        <v>40.5</v>
      </c>
      <c r="E773" s="126">
        <v>-1.5795868772782468E-2</v>
      </c>
      <c r="F773">
        <v>50.98</v>
      </c>
    </row>
    <row r="774" spans="1:6">
      <c r="A774">
        <v>2834</v>
      </c>
      <c r="B774" t="s">
        <v>985</v>
      </c>
      <c r="C774">
        <v>8.6</v>
      </c>
      <c r="D774">
        <f>VLOOKUP(A774,收盤價!A:C,3,0)</f>
        <v>8.4600000000000009</v>
      </c>
      <c r="E774" s="126">
        <v>-1.6279069767441721E-2</v>
      </c>
      <c r="F774">
        <v>50.92</v>
      </c>
    </row>
    <row r="775" spans="1:6">
      <c r="A775">
        <v>8277</v>
      </c>
      <c r="B775" t="s">
        <v>1793</v>
      </c>
      <c r="C775">
        <v>7.9</v>
      </c>
      <c r="D775">
        <f>VLOOKUP(A775,收盤價!A:C,3,0)</f>
        <v>7.77</v>
      </c>
      <c r="E775" s="126">
        <v>-1.6455696202531744E-2</v>
      </c>
      <c r="F775">
        <v>50.86</v>
      </c>
    </row>
    <row r="776" spans="1:6">
      <c r="A776">
        <v>1521</v>
      </c>
      <c r="B776" t="s">
        <v>637</v>
      </c>
      <c r="C776">
        <v>84.9</v>
      </c>
      <c r="D776">
        <f>VLOOKUP(A776,收盤價!A:C,3,0)</f>
        <v>83.5</v>
      </c>
      <c r="E776" s="126">
        <v>-1.648998822143705E-2</v>
      </c>
      <c r="F776">
        <v>50.79</v>
      </c>
    </row>
    <row r="777" spans="1:6">
      <c r="A777">
        <v>2230</v>
      </c>
      <c r="B777" t="s">
        <v>261</v>
      </c>
      <c r="C777">
        <v>14.85</v>
      </c>
      <c r="D777">
        <f>VLOOKUP(A777,收盤價!A:C,3,0)</f>
        <v>14.6</v>
      </c>
      <c r="E777" s="126">
        <v>-1.6835016835016835E-2</v>
      </c>
      <c r="F777">
        <v>50.73</v>
      </c>
    </row>
    <row r="778" spans="1:6">
      <c r="A778">
        <v>5489</v>
      </c>
      <c r="B778" t="s">
        <v>1660</v>
      </c>
      <c r="C778">
        <v>52.5</v>
      </c>
      <c r="D778">
        <f>VLOOKUP(A778,收盤價!A:C,3,0)</f>
        <v>51.6</v>
      </c>
      <c r="E778" s="126">
        <v>-1.7142857142857116E-2</v>
      </c>
      <c r="F778">
        <v>50.67</v>
      </c>
    </row>
    <row r="779" spans="1:6">
      <c r="A779">
        <v>1324</v>
      </c>
      <c r="B779" t="s">
        <v>569</v>
      </c>
      <c r="C779">
        <v>11.65</v>
      </c>
      <c r="D779">
        <f>VLOOKUP(A779,收盤價!A:C,3,0)</f>
        <v>11.45</v>
      </c>
      <c r="E779" s="126">
        <v>-1.7167381974249017E-2</v>
      </c>
      <c r="F779">
        <v>50.6</v>
      </c>
    </row>
    <row r="780" spans="1:6">
      <c r="A780">
        <v>1582</v>
      </c>
      <c r="B780" t="s">
        <v>659</v>
      </c>
      <c r="C780">
        <v>52.4</v>
      </c>
      <c r="D780">
        <f>VLOOKUP(A780,收盤價!A:C,3,0)</f>
        <v>51.5</v>
      </c>
      <c r="E780" s="126">
        <v>-1.7175572519083943E-2</v>
      </c>
      <c r="F780">
        <v>50.54</v>
      </c>
    </row>
    <row r="781" spans="1:6">
      <c r="A781">
        <v>5317</v>
      </c>
      <c r="B781" t="s">
        <v>403</v>
      </c>
      <c r="C781">
        <v>14.5</v>
      </c>
      <c r="D781">
        <f>VLOOKUP(A781,收盤價!A:C,3,0)</f>
        <v>14.25</v>
      </c>
      <c r="E781" s="126">
        <v>-1.7241379310344827E-2</v>
      </c>
      <c r="F781">
        <v>50.48</v>
      </c>
    </row>
    <row r="782" spans="1:6">
      <c r="A782">
        <v>1503</v>
      </c>
      <c r="B782" t="s">
        <v>626</v>
      </c>
      <c r="C782">
        <v>40.299999999999997</v>
      </c>
      <c r="D782">
        <f>VLOOKUP(A782,收盤價!A:C,3,0)</f>
        <v>39.6</v>
      </c>
      <c r="E782" s="126">
        <v>-1.7369727047146299E-2</v>
      </c>
      <c r="F782">
        <v>50.41</v>
      </c>
    </row>
    <row r="783" spans="1:6">
      <c r="A783">
        <v>5340</v>
      </c>
      <c r="B783" t="s">
        <v>1636</v>
      </c>
      <c r="C783">
        <v>4</v>
      </c>
      <c r="D783">
        <f>VLOOKUP(A783,收盤價!A:C,3,0)</f>
        <v>3.93</v>
      </c>
      <c r="E783" s="126">
        <v>-1.749999999999996E-2</v>
      </c>
      <c r="F783">
        <v>50.35</v>
      </c>
    </row>
    <row r="784" spans="1:6">
      <c r="A784">
        <v>1435</v>
      </c>
      <c r="B784" t="s">
        <v>588</v>
      </c>
      <c r="C784">
        <v>5.09</v>
      </c>
      <c r="D784">
        <f>VLOOKUP(A784,收盤價!A:C,3,0)</f>
        <v>5</v>
      </c>
      <c r="E784" s="126">
        <v>-1.7681728880157142E-2</v>
      </c>
      <c r="F784">
        <v>50.29</v>
      </c>
    </row>
    <row r="785" spans="1:6">
      <c r="A785">
        <v>1504</v>
      </c>
      <c r="B785" t="s">
        <v>627</v>
      </c>
      <c r="C785">
        <v>28.1</v>
      </c>
      <c r="D785">
        <f>VLOOKUP(A785,收盤價!A:C,3,0)</f>
        <v>27.6</v>
      </c>
      <c r="E785" s="126">
        <v>-1.779359430604982E-2</v>
      </c>
      <c r="F785">
        <v>50.22</v>
      </c>
    </row>
    <row r="786" spans="1:6">
      <c r="A786">
        <v>2489</v>
      </c>
      <c r="B786" t="s">
        <v>911</v>
      </c>
      <c r="C786">
        <v>16.7</v>
      </c>
      <c r="D786">
        <f>VLOOKUP(A786,收盤價!A:C,3,0)</f>
        <v>16.399999999999999</v>
      </c>
      <c r="E786" s="126">
        <v>-1.796407185628747E-2</v>
      </c>
      <c r="F786">
        <v>50.16</v>
      </c>
    </row>
    <row r="787" spans="1:6">
      <c r="A787">
        <v>9962</v>
      </c>
      <c r="B787" t="s">
        <v>1827</v>
      </c>
      <c r="C787">
        <v>8.3000000000000007</v>
      </c>
      <c r="D787">
        <f>VLOOKUP(A787,收盤價!A:C,3,0)</f>
        <v>8.15</v>
      </c>
      <c r="E787" s="126">
        <v>-1.8072289156626547E-2</v>
      </c>
      <c r="F787">
        <v>50.1</v>
      </c>
    </row>
    <row r="788" spans="1:6">
      <c r="A788">
        <v>3010</v>
      </c>
      <c r="B788" t="s">
        <v>1030</v>
      </c>
      <c r="C788">
        <v>46.7</v>
      </c>
      <c r="D788">
        <f>VLOOKUP(A788,收盤價!A:C,3,0)</f>
        <v>45.85</v>
      </c>
      <c r="E788" s="126">
        <v>-1.8201284796573906E-2</v>
      </c>
      <c r="F788">
        <v>50.03</v>
      </c>
    </row>
    <row r="789" spans="1:6">
      <c r="A789">
        <v>1340</v>
      </c>
      <c r="B789" t="s">
        <v>575</v>
      </c>
      <c r="C789">
        <v>76.5</v>
      </c>
      <c r="D789">
        <f>VLOOKUP(A789,收盤價!A:C,3,0)</f>
        <v>75.099999999999994</v>
      </c>
      <c r="E789" s="126">
        <v>-1.8300653594771316E-2</v>
      </c>
      <c r="F789">
        <v>49.97</v>
      </c>
    </row>
    <row r="790" spans="1:6">
      <c r="A790">
        <v>1474</v>
      </c>
      <c r="B790" t="s">
        <v>622</v>
      </c>
      <c r="C790">
        <v>10.9</v>
      </c>
      <c r="D790">
        <f>VLOOKUP(A790,收盤價!A:C,3,0)</f>
        <v>10.7</v>
      </c>
      <c r="E790" s="126">
        <v>-1.8348623853211107E-2</v>
      </c>
      <c r="F790">
        <v>49.9</v>
      </c>
    </row>
    <row r="791" spans="1:6">
      <c r="A791">
        <v>3372</v>
      </c>
      <c r="B791" t="s">
        <v>305</v>
      </c>
      <c r="C791">
        <v>7.62</v>
      </c>
      <c r="D791">
        <f>VLOOKUP(A791,收盤價!A:C,3,0)</f>
        <v>7.48</v>
      </c>
      <c r="E791" s="126">
        <v>-1.8372703412073449E-2</v>
      </c>
      <c r="F791">
        <v>49.84</v>
      </c>
    </row>
    <row r="792" spans="1:6">
      <c r="A792">
        <v>2524</v>
      </c>
      <c r="B792" t="s">
        <v>930</v>
      </c>
      <c r="C792">
        <v>18.899999999999999</v>
      </c>
      <c r="D792">
        <f>VLOOKUP(A792,收盤價!A:C,3,0)</f>
        <v>18.55</v>
      </c>
      <c r="E792" s="126">
        <v>-1.8518518518518406E-2</v>
      </c>
      <c r="F792">
        <v>49.78</v>
      </c>
    </row>
    <row r="793" spans="1:6">
      <c r="A793">
        <v>2880</v>
      </c>
      <c r="B793" t="s">
        <v>998</v>
      </c>
      <c r="C793">
        <v>16.2</v>
      </c>
      <c r="D793">
        <f>VLOOKUP(A793,收盤價!A:C,3,0)</f>
        <v>15.9</v>
      </c>
      <c r="E793" s="126">
        <v>-1.8518518518518455E-2</v>
      </c>
      <c r="F793">
        <v>49.71</v>
      </c>
    </row>
    <row r="794" spans="1:6">
      <c r="A794">
        <v>2340</v>
      </c>
      <c r="B794" t="s">
        <v>799</v>
      </c>
      <c r="C794">
        <v>10.8</v>
      </c>
      <c r="D794">
        <f>VLOOKUP(A794,收盤價!A:C,3,0)</f>
        <v>10.6</v>
      </c>
      <c r="E794" s="126">
        <v>-1.8518518518518615E-2</v>
      </c>
      <c r="F794">
        <v>49.65</v>
      </c>
    </row>
    <row r="795" spans="1:6">
      <c r="A795">
        <v>6191</v>
      </c>
      <c r="B795" t="s">
        <v>1265</v>
      </c>
      <c r="C795">
        <v>7.41</v>
      </c>
      <c r="D795">
        <f>VLOOKUP(A795,收盤價!A:C,3,0)</f>
        <v>7.27</v>
      </c>
      <c r="E795" s="126">
        <v>-1.8893387314440024E-2</v>
      </c>
      <c r="F795">
        <v>49.59</v>
      </c>
    </row>
    <row r="796" spans="1:6">
      <c r="A796">
        <v>4911</v>
      </c>
      <c r="B796" t="s">
        <v>377</v>
      </c>
      <c r="C796">
        <v>84.4</v>
      </c>
      <c r="D796">
        <f>VLOOKUP(A796,收盤價!A:C,3,0)</f>
        <v>82.8</v>
      </c>
      <c r="E796" s="126">
        <v>-1.895734597156408E-2</v>
      </c>
      <c r="F796">
        <v>49.52</v>
      </c>
    </row>
    <row r="797" spans="1:6">
      <c r="A797">
        <v>8416</v>
      </c>
      <c r="B797" t="s">
        <v>496</v>
      </c>
      <c r="C797">
        <v>104</v>
      </c>
      <c r="D797">
        <f>VLOOKUP(A797,收盤價!A:C,3,0)</f>
        <v>102</v>
      </c>
      <c r="E797" s="126">
        <v>-1.9230769230769232E-2</v>
      </c>
      <c r="F797">
        <v>49.46</v>
      </c>
    </row>
    <row r="798" spans="1:6">
      <c r="A798">
        <v>2109</v>
      </c>
      <c r="B798" t="s">
        <v>764</v>
      </c>
      <c r="C798">
        <v>13</v>
      </c>
      <c r="D798">
        <f>VLOOKUP(A798,收盤價!A:C,3,0)</f>
        <v>12.75</v>
      </c>
      <c r="E798" s="126">
        <v>-1.9230769230769232E-2</v>
      </c>
      <c r="F798">
        <v>49.4</v>
      </c>
    </row>
    <row r="799" spans="1:6">
      <c r="A799">
        <v>6609</v>
      </c>
      <c r="B799" t="s">
        <v>479</v>
      </c>
      <c r="C799">
        <v>28.55</v>
      </c>
      <c r="D799">
        <f>VLOOKUP(A799,收盤價!A:C,3,0)</f>
        <v>28</v>
      </c>
      <c r="E799" s="126">
        <v>-1.9264448336252214E-2</v>
      </c>
      <c r="F799">
        <v>49.33</v>
      </c>
    </row>
    <row r="800" spans="1:6">
      <c r="A800">
        <v>8349</v>
      </c>
      <c r="B800" t="s">
        <v>1798</v>
      </c>
      <c r="C800">
        <v>81.7</v>
      </c>
      <c r="D800">
        <f>VLOOKUP(A800,收盤價!A:C,3,0)</f>
        <v>80.099999999999994</v>
      </c>
      <c r="E800" s="126">
        <v>-1.9583843329253468E-2</v>
      </c>
      <c r="F800">
        <v>49.27</v>
      </c>
    </row>
    <row r="801" spans="1:6">
      <c r="A801">
        <v>1787</v>
      </c>
      <c r="B801" t="s">
        <v>254</v>
      </c>
      <c r="C801">
        <v>22.5</v>
      </c>
      <c r="D801">
        <f>VLOOKUP(A801,收盤價!A:C,3,0)</f>
        <v>22.05</v>
      </c>
      <c r="E801" s="126">
        <v>-1.9999999999999969E-2</v>
      </c>
      <c r="F801">
        <v>49.21</v>
      </c>
    </row>
    <row r="802" spans="1:6">
      <c r="A802">
        <v>8072</v>
      </c>
      <c r="B802" t="s">
        <v>1321</v>
      </c>
      <c r="C802">
        <v>27.1</v>
      </c>
      <c r="D802">
        <f>VLOOKUP(A802,收盤價!A:C,3,0)</f>
        <v>26.55</v>
      </c>
      <c r="E802" s="126">
        <v>-2.0295202952029544E-2</v>
      </c>
      <c r="F802">
        <v>49.14</v>
      </c>
    </row>
    <row r="803" spans="1:6">
      <c r="A803">
        <v>1710</v>
      </c>
      <c r="B803" t="s">
        <v>684</v>
      </c>
      <c r="C803">
        <v>24.6</v>
      </c>
      <c r="D803">
        <f>VLOOKUP(A803,收盤價!A:C,3,0)</f>
        <v>24.1</v>
      </c>
      <c r="E803" s="126">
        <v>-2.032520325203252E-2</v>
      </c>
      <c r="F803">
        <v>49.08</v>
      </c>
    </row>
    <row r="804" spans="1:6">
      <c r="A804">
        <v>1712</v>
      </c>
      <c r="B804" t="s">
        <v>686</v>
      </c>
      <c r="C804">
        <v>14.45</v>
      </c>
      <c r="D804">
        <f>VLOOKUP(A804,收盤價!A:C,3,0)</f>
        <v>14.15</v>
      </c>
      <c r="E804" s="126">
        <v>-2.076124567474041E-2</v>
      </c>
      <c r="F804">
        <v>49.02</v>
      </c>
    </row>
    <row r="805" spans="1:6">
      <c r="A805">
        <v>2729</v>
      </c>
      <c r="B805" t="s">
        <v>1438</v>
      </c>
      <c r="C805">
        <v>239</v>
      </c>
      <c r="D805">
        <f>VLOOKUP(A805,收盤價!A:C,3,0)</f>
        <v>234</v>
      </c>
      <c r="E805" s="126">
        <v>-2.0920502092050208E-2</v>
      </c>
      <c r="F805">
        <v>48.95</v>
      </c>
    </row>
    <row r="806" spans="1:6">
      <c r="A806">
        <v>2610</v>
      </c>
      <c r="B806" t="s">
        <v>955</v>
      </c>
      <c r="C806">
        <v>11.9</v>
      </c>
      <c r="D806">
        <f>VLOOKUP(A806,收盤價!A:C,3,0)</f>
        <v>11.65</v>
      </c>
      <c r="E806" s="126">
        <v>-2.1008403361344536E-2</v>
      </c>
      <c r="F806">
        <v>48.89</v>
      </c>
    </row>
    <row r="807" spans="1:6">
      <c r="A807">
        <v>3122</v>
      </c>
      <c r="B807" t="s">
        <v>1454</v>
      </c>
      <c r="C807">
        <v>16.600000000000001</v>
      </c>
      <c r="D807">
        <f>VLOOKUP(A807,收盤價!A:C,3,0)</f>
        <v>16.25</v>
      </c>
      <c r="E807" s="126">
        <v>-2.1084337349397676E-2</v>
      </c>
      <c r="F807">
        <v>48.83</v>
      </c>
    </row>
    <row r="808" spans="1:6">
      <c r="A808">
        <v>2836</v>
      </c>
      <c r="B808" t="s">
        <v>986</v>
      </c>
      <c r="C808">
        <v>9.01</v>
      </c>
      <c r="D808">
        <f>VLOOKUP(A808,收盤價!A:C,3,0)</f>
        <v>8.82</v>
      </c>
      <c r="E808" s="126">
        <v>-2.1087680355160877E-2</v>
      </c>
      <c r="F808">
        <v>48.76</v>
      </c>
    </row>
    <row r="809" spans="1:6">
      <c r="A809">
        <v>5903</v>
      </c>
      <c r="B809" t="s">
        <v>1677</v>
      </c>
      <c r="C809">
        <v>212.5</v>
      </c>
      <c r="D809">
        <f>VLOOKUP(A809,收盤價!A:C,3,0)</f>
        <v>208</v>
      </c>
      <c r="E809" s="126">
        <v>-2.1176470588235293E-2</v>
      </c>
      <c r="F809">
        <v>48.7</v>
      </c>
    </row>
    <row r="810" spans="1:6">
      <c r="A810">
        <v>6285</v>
      </c>
      <c r="B810" t="s">
        <v>1294</v>
      </c>
      <c r="C810">
        <v>84.9</v>
      </c>
      <c r="D810">
        <f>VLOOKUP(A810,收盤價!A:C,3,0)</f>
        <v>83.1</v>
      </c>
      <c r="E810" s="126">
        <v>-2.1201413427561971E-2</v>
      </c>
      <c r="F810">
        <v>48.64</v>
      </c>
    </row>
    <row r="811" spans="1:6">
      <c r="A811">
        <v>2516</v>
      </c>
      <c r="B811" t="s">
        <v>928</v>
      </c>
      <c r="C811">
        <v>6.79</v>
      </c>
      <c r="D811">
        <f>VLOOKUP(A811,收盤價!A:C,3,0)</f>
        <v>6.64</v>
      </c>
      <c r="E811" s="126">
        <v>-2.2091310751104619E-2</v>
      </c>
      <c r="F811">
        <v>48.57</v>
      </c>
    </row>
    <row r="812" spans="1:6">
      <c r="A812">
        <v>6452</v>
      </c>
      <c r="B812" t="s">
        <v>1308</v>
      </c>
      <c r="C812">
        <v>360</v>
      </c>
      <c r="D812">
        <f>VLOOKUP(A812,收盤價!A:C,3,0)</f>
        <v>352</v>
      </c>
      <c r="E812" s="126">
        <v>-2.2222222222222223E-2</v>
      </c>
      <c r="F812">
        <v>48.51</v>
      </c>
    </row>
    <row r="813" spans="1:6">
      <c r="A813">
        <v>1616</v>
      </c>
      <c r="B813" t="s">
        <v>674</v>
      </c>
      <c r="C813">
        <v>4.92</v>
      </c>
      <c r="D813">
        <f>VLOOKUP(A813,收盤價!A:C,3,0)</f>
        <v>4.8099999999999996</v>
      </c>
      <c r="E813" s="126">
        <v>-2.2357723577235838E-2</v>
      </c>
      <c r="F813">
        <v>48.45</v>
      </c>
    </row>
    <row r="814" spans="1:6">
      <c r="A814">
        <v>3227</v>
      </c>
      <c r="B814" t="s">
        <v>284</v>
      </c>
      <c r="C814">
        <v>76</v>
      </c>
      <c r="D814">
        <f>VLOOKUP(A814,收盤價!A:C,3,0)</f>
        <v>74.3</v>
      </c>
      <c r="E814" s="126">
        <v>-2.2368421052631617E-2</v>
      </c>
      <c r="F814">
        <v>48.38</v>
      </c>
    </row>
    <row r="815" spans="1:6">
      <c r="A815">
        <v>2520</v>
      </c>
      <c r="B815" t="s">
        <v>929</v>
      </c>
      <c r="C815">
        <v>17.8</v>
      </c>
      <c r="D815">
        <f>VLOOKUP(A815,收盤價!A:C,3,0)</f>
        <v>17.399999999999999</v>
      </c>
      <c r="E815" s="126">
        <v>-2.2471910112359668E-2</v>
      </c>
      <c r="F815">
        <v>48.32</v>
      </c>
    </row>
    <row r="816" spans="1:6">
      <c r="A816">
        <v>2915</v>
      </c>
      <c r="B816" t="s">
        <v>1021</v>
      </c>
      <c r="C816">
        <v>61.9</v>
      </c>
      <c r="D816">
        <f>VLOOKUP(A816,收盤價!A:C,3,0)</f>
        <v>60.5</v>
      </c>
      <c r="E816" s="126">
        <v>-2.2617124394184146E-2</v>
      </c>
      <c r="F816">
        <v>48.26</v>
      </c>
    </row>
    <row r="817" spans="1:6">
      <c r="A817">
        <v>3557</v>
      </c>
      <c r="B817" t="s">
        <v>1124</v>
      </c>
      <c r="C817">
        <v>4.4000000000000004</v>
      </c>
      <c r="D817">
        <f>VLOOKUP(A817,收盤價!A:C,3,0)</f>
        <v>4.3</v>
      </c>
      <c r="E817" s="126">
        <v>-2.2727272727272846E-2</v>
      </c>
      <c r="F817">
        <v>48.19</v>
      </c>
    </row>
    <row r="818" spans="1:6">
      <c r="A818">
        <v>5213</v>
      </c>
      <c r="B818" t="s">
        <v>1621</v>
      </c>
      <c r="C818">
        <v>15.2</v>
      </c>
      <c r="D818">
        <f>VLOOKUP(A818,收盤價!A:C,3,0)</f>
        <v>14.85</v>
      </c>
      <c r="E818" s="126">
        <v>-2.3026315789473662E-2</v>
      </c>
      <c r="F818">
        <v>48.13</v>
      </c>
    </row>
    <row r="819" spans="1:6">
      <c r="A819">
        <v>2440</v>
      </c>
      <c r="B819" t="s">
        <v>873</v>
      </c>
      <c r="C819">
        <v>8.18</v>
      </c>
      <c r="D819">
        <f>VLOOKUP(A819,收盤價!A:C,3,0)</f>
        <v>7.99</v>
      </c>
      <c r="E819" s="126">
        <v>-2.3227383863080625E-2</v>
      </c>
      <c r="F819">
        <v>48.07</v>
      </c>
    </row>
    <row r="820" spans="1:6">
      <c r="A820">
        <v>1723</v>
      </c>
      <c r="B820" t="s">
        <v>695</v>
      </c>
      <c r="C820">
        <v>125</v>
      </c>
      <c r="D820">
        <f>VLOOKUP(A820,收盤價!A:C,3,0)</f>
        <v>122</v>
      </c>
      <c r="E820" s="126">
        <v>-2.4E-2</v>
      </c>
      <c r="F820">
        <v>48</v>
      </c>
    </row>
    <row r="821" spans="1:6">
      <c r="A821">
        <v>2906</v>
      </c>
      <c r="B821" t="s">
        <v>1015</v>
      </c>
      <c r="C821">
        <v>12.5</v>
      </c>
      <c r="D821">
        <f>VLOOKUP(A821,收盤價!A:C,3,0)</f>
        <v>12.2</v>
      </c>
      <c r="E821" s="126">
        <v>-2.4000000000000056E-2</v>
      </c>
      <c r="F821">
        <v>47.94</v>
      </c>
    </row>
    <row r="822" spans="1:6">
      <c r="A822">
        <v>1108</v>
      </c>
      <c r="B822" t="s">
        <v>530</v>
      </c>
      <c r="C822">
        <v>10.3</v>
      </c>
      <c r="D822">
        <f>VLOOKUP(A822,收盤價!A:C,3,0)</f>
        <v>10.050000000000001</v>
      </c>
      <c r="E822" s="126">
        <v>-2.4271844660194174E-2</v>
      </c>
      <c r="F822">
        <v>47.88</v>
      </c>
    </row>
    <row r="823" spans="1:6">
      <c r="A823">
        <v>9919</v>
      </c>
      <c r="B823" t="s">
        <v>1387</v>
      </c>
      <c r="C823">
        <v>12.35</v>
      </c>
      <c r="D823">
        <f>VLOOKUP(A823,收盤價!A:C,3,0)</f>
        <v>12.05</v>
      </c>
      <c r="E823" s="126">
        <v>-2.4291497975708416E-2</v>
      </c>
      <c r="F823">
        <v>47.81</v>
      </c>
    </row>
    <row r="824" spans="1:6">
      <c r="A824">
        <v>1109</v>
      </c>
      <c r="B824" t="s">
        <v>1828</v>
      </c>
      <c r="C824">
        <v>10.25</v>
      </c>
      <c r="D824">
        <f>VLOOKUP(A824,收盤價!A:C,3,0)</f>
        <v>10</v>
      </c>
      <c r="E824" s="126">
        <v>-2.4390243902439025E-2</v>
      </c>
      <c r="F824">
        <v>47.75</v>
      </c>
    </row>
    <row r="825" spans="1:6">
      <c r="A825">
        <v>9950</v>
      </c>
      <c r="B825" t="s">
        <v>1825</v>
      </c>
      <c r="C825">
        <v>20.45</v>
      </c>
      <c r="D825">
        <f>VLOOKUP(A825,收盤價!A:C,3,0)</f>
        <v>19.95</v>
      </c>
      <c r="E825" s="126">
        <v>-2.4449877750611249E-2</v>
      </c>
      <c r="F825">
        <v>47.69</v>
      </c>
    </row>
    <row r="826" spans="1:6">
      <c r="A826">
        <v>1806</v>
      </c>
      <c r="B826" t="s">
        <v>716</v>
      </c>
      <c r="C826">
        <v>7.22</v>
      </c>
      <c r="D826">
        <f>VLOOKUP(A826,收盤價!A:C,3,0)</f>
        <v>7.04</v>
      </c>
      <c r="E826" s="126">
        <v>-2.4930747922437636E-2</v>
      </c>
      <c r="F826">
        <v>47.62</v>
      </c>
    </row>
    <row r="827" spans="1:6">
      <c r="A827">
        <v>4995</v>
      </c>
      <c r="B827" t="s">
        <v>1612</v>
      </c>
      <c r="C827">
        <v>40</v>
      </c>
      <c r="D827">
        <f>VLOOKUP(A827,收盤價!A:C,3,0)</f>
        <v>39</v>
      </c>
      <c r="E827" s="126">
        <v>-2.5000000000000001E-2</v>
      </c>
      <c r="F827">
        <v>47.56</v>
      </c>
    </row>
    <row r="828" spans="1:6">
      <c r="A828">
        <v>3021</v>
      </c>
      <c r="B828" t="s">
        <v>1038</v>
      </c>
      <c r="C828">
        <v>12</v>
      </c>
      <c r="D828">
        <f>VLOOKUP(A828,收盤價!A:C,3,0)</f>
        <v>11.7</v>
      </c>
      <c r="E828" s="126">
        <v>-2.500000000000006E-2</v>
      </c>
      <c r="F828">
        <v>47.5</v>
      </c>
    </row>
    <row r="829" spans="1:6">
      <c r="A829">
        <v>6278</v>
      </c>
      <c r="B829" t="s">
        <v>1290</v>
      </c>
      <c r="C829">
        <v>31.95</v>
      </c>
      <c r="D829">
        <f>VLOOKUP(A829,收盤價!A:C,3,0)</f>
        <v>31.15</v>
      </c>
      <c r="E829" s="126">
        <v>-2.5039123630672948E-2</v>
      </c>
      <c r="F829">
        <v>47.43</v>
      </c>
    </row>
    <row r="830" spans="1:6">
      <c r="A830">
        <v>6015</v>
      </c>
      <c r="B830" t="s">
        <v>1679</v>
      </c>
      <c r="C830">
        <v>7.15</v>
      </c>
      <c r="D830">
        <f>VLOOKUP(A830,收盤價!A:C,3,0)</f>
        <v>6.97</v>
      </c>
      <c r="E830" s="126">
        <v>-2.5174825174825256E-2</v>
      </c>
      <c r="F830">
        <v>47.37</v>
      </c>
    </row>
    <row r="831" spans="1:6">
      <c r="A831">
        <v>6016</v>
      </c>
      <c r="B831" t="s">
        <v>1680</v>
      </c>
      <c r="C831">
        <v>7.07</v>
      </c>
      <c r="D831">
        <f>VLOOKUP(A831,收盤價!A:C,3,0)</f>
        <v>6.89</v>
      </c>
      <c r="E831" s="126">
        <v>-2.5459688826025544E-2</v>
      </c>
      <c r="F831">
        <v>47.31</v>
      </c>
    </row>
    <row r="832" spans="1:6">
      <c r="A832">
        <v>5607</v>
      </c>
      <c r="B832" t="s">
        <v>1230</v>
      </c>
      <c r="C832">
        <v>15.7</v>
      </c>
      <c r="D832">
        <f>VLOOKUP(A832,收盤價!A:C,3,0)</f>
        <v>15.3</v>
      </c>
      <c r="E832" s="126">
        <v>-2.5477707006369338E-2</v>
      </c>
      <c r="F832">
        <v>47.24</v>
      </c>
    </row>
    <row r="833" spans="1:6">
      <c r="A833">
        <v>8111</v>
      </c>
      <c r="B833" t="s">
        <v>1782</v>
      </c>
      <c r="C833">
        <v>4.6399999999999997</v>
      </c>
      <c r="D833">
        <f>VLOOKUP(A833,收盤價!A:C,3,0)</f>
        <v>4.5199999999999996</v>
      </c>
      <c r="E833" s="126">
        <v>-2.5862068965517265E-2</v>
      </c>
      <c r="F833">
        <v>47.18</v>
      </c>
    </row>
    <row r="834" spans="1:6">
      <c r="A834">
        <v>1609</v>
      </c>
      <c r="B834" t="s">
        <v>668</v>
      </c>
      <c r="C834">
        <v>5.01</v>
      </c>
      <c r="D834">
        <f>VLOOKUP(A834,收盤價!A:C,3,0)</f>
        <v>4.88</v>
      </c>
      <c r="E834" s="126">
        <v>-2.5948103792415151E-2</v>
      </c>
      <c r="F834">
        <v>47.11</v>
      </c>
    </row>
    <row r="835" spans="1:6">
      <c r="A835">
        <v>6179</v>
      </c>
      <c r="B835" t="s">
        <v>446</v>
      </c>
      <c r="C835">
        <v>38.5</v>
      </c>
      <c r="D835">
        <f>VLOOKUP(A835,收盤價!A:C,3,0)</f>
        <v>37.5</v>
      </c>
      <c r="E835" s="126">
        <v>-2.5974025974025976E-2</v>
      </c>
      <c r="F835">
        <v>47.05</v>
      </c>
    </row>
    <row r="836" spans="1:6">
      <c r="A836">
        <v>2380</v>
      </c>
      <c r="B836" t="s">
        <v>831</v>
      </c>
      <c r="C836">
        <v>7.67</v>
      </c>
      <c r="D836">
        <f>VLOOKUP(A836,收盤價!A:C,3,0)</f>
        <v>7.47</v>
      </c>
      <c r="E836" s="126">
        <v>-2.6075619295958301E-2</v>
      </c>
      <c r="F836">
        <v>46.99</v>
      </c>
    </row>
    <row r="837" spans="1:6">
      <c r="A837">
        <v>6154</v>
      </c>
      <c r="B837" t="s">
        <v>439</v>
      </c>
      <c r="C837">
        <v>17.25</v>
      </c>
      <c r="D837">
        <f>VLOOKUP(A837,收盤價!A:C,3,0)</f>
        <v>16.8</v>
      </c>
      <c r="E837" s="126">
        <v>-2.6086956521739091E-2</v>
      </c>
      <c r="F837">
        <v>46.92</v>
      </c>
    </row>
    <row r="838" spans="1:6">
      <c r="A838">
        <v>6136</v>
      </c>
      <c r="B838" t="s">
        <v>1247</v>
      </c>
      <c r="C838">
        <v>24.7</v>
      </c>
      <c r="D838">
        <f>VLOOKUP(A838,收盤價!A:C,3,0)</f>
        <v>24.05</v>
      </c>
      <c r="E838" s="126">
        <v>-2.6315789473684154E-2</v>
      </c>
      <c r="F838">
        <v>46.86</v>
      </c>
    </row>
    <row r="839" spans="1:6">
      <c r="A839">
        <v>4950</v>
      </c>
      <c r="B839" t="s">
        <v>380</v>
      </c>
      <c r="C839">
        <v>19</v>
      </c>
      <c r="D839">
        <f>VLOOKUP(A839,收盤價!A:C,3,0)</f>
        <v>18.5</v>
      </c>
      <c r="E839" s="126">
        <v>-2.6315789473684209E-2</v>
      </c>
      <c r="F839">
        <v>46.8</v>
      </c>
    </row>
    <row r="840" spans="1:6">
      <c r="A840">
        <v>1570</v>
      </c>
      <c r="B840" t="s">
        <v>1416</v>
      </c>
      <c r="C840">
        <v>17.05</v>
      </c>
      <c r="D840">
        <f>VLOOKUP(A840,收盤價!A:C,3,0)</f>
        <v>16.600000000000001</v>
      </c>
      <c r="E840" s="126">
        <v>-2.63929618768328E-2</v>
      </c>
      <c r="F840">
        <v>46.73</v>
      </c>
    </row>
    <row r="841" spans="1:6">
      <c r="A841">
        <v>1604</v>
      </c>
      <c r="B841" t="s">
        <v>665</v>
      </c>
      <c r="C841">
        <v>12.95</v>
      </c>
      <c r="D841">
        <f>VLOOKUP(A841,收盤價!A:C,3,0)</f>
        <v>12.6</v>
      </c>
      <c r="E841" s="126">
        <v>-2.7027027027027001E-2</v>
      </c>
      <c r="F841">
        <v>46.67</v>
      </c>
    </row>
    <row r="842" spans="1:6">
      <c r="A842">
        <v>2067</v>
      </c>
      <c r="B842" t="s">
        <v>1430</v>
      </c>
      <c r="C842">
        <v>14.5</v>
      </c>
      <c r="D842">
        <f>VLOOKUP(A842,收盤價!A:C,3,0)</f>
        <v>14.1</v>
      </c>
      <c r="E842" s="126">
        <v>-2.7586206896551748E-2</v>
      </c>
      <c r="F842">
        <v>46.61</v>
      </c>
    </row>
    <row r="843" spans="1:6">
      <c r="A843">
        <v>8071</v>
      </c>
      <c r="B843" t="s">
        <v>485</v>
      </c>
      <c r="C843">
        <v>14.5</v>
      </c>
      <c r="D843">
        <f>VLOOKUP(A843,收盤價!A:C,3,0)</f>
        <v>14.1</v>
      </c>
      <c r="E843" s="126">
        <v>-2.7586206896551748E-2</v>
      </c>
      <c r="F843">
        <v>46.54</v>
      </c>
    </row>
    <row r="844" spans="1:6">
      <c r="A844">
        <v>1236</v>
      </c>
      <c r="B844" t="s">
        <v>550</v>
      </c>
      <c r="C844">
        <v>21.75</v>
      </c>
      <c r="D844">
        <f>VLOOKUP(A844,收盤價!A:C,3,0)</f>
        <v>21.15</v>
      </c>
      <c r="E844" s="126">
        <v>-2.758620689655179E-2</v>
      </c>
      <c r="F844">
        <v>46.48</v>
      </c>
    </row>
    <row r="845" spans="1:6">
      <c r="A845">
        <v>4432</v>
      </c>
      <c r="B845" t="s">
        <v>1573</v>
      </c>
      <c r="C845">
        <v>81.8</v>
      </c>
      <c r="D845">
        <f>VLOOKUP(A845,收盤價!A:C,3,0)</f>
        <v>79.5</v>
      </c>
      <c r="E845" s="126">
        <v>-2.81173594132029E-2</v>
      </c>
      <c r="F845">
        <v>46.42</v>
      </c>
    </row>
    <row r="846" spans="1:6">
      <c r="A846">
        <v>5603</v>
      </c>
      <c r="B846" t="s">
        <v>427</v>
      </c>
      <c r="C846">
        <v>15.85</v>
      </c>
      <c r="D846">
        <f>VLOOKUP(A846,收盤價!A:C,3,0)</f>
        <v>15.4</v>
      </c>
      <c r="E846" s="126">
        <v>-2.8391167192428977E-2</v>
      </c>
      <c r="F846">
        <v>46.35</v>
      </c>
    </row>
    <row r="847" spans="1:6">
      <c r="A847">
        <v>4755</v>
      </c>
      <c r="B847" t="s">
        <v>1182</v>
      </c>
      <c r="C847">
        <v>24.6</v>
      </c>
      <c r="D847">
        <f>VLOOKUP(A847,收盤價!A:C,3,0)</f>
        <v>23.9</v>
      </c>
      <c r="E847" s="126">
        <v>-2.8455284552845642E-2</v>
      </c>
      <c r="F847">
        <v>46.29</v>
      </c>
    </row>
    <row r="848" spans="1:6">
      <c r="A848">
        <v>9939</v>
      </c>
      <c r="B848" t="s">
        <v>1402</v>
      </c>
      <c r="C848">
        <v>52.5</v>
      </c>
      <c r="D848">
        <f>VLOOKUP(A848,收盤價!A:C,3,0)</f>
        <v>51</v>
      </c>
      <c r="E848" s="126">
        <v>-2.8571428571428571E-2</v>
      </c>
      <c r="F848">
        <v>46.23</v>
      </c>
    </row>
    <row r="849" spans="1:6">
      <c r="A849">
        <v>1336</v>
      </c>
      <c r="B849" t="s">
        <v>247</v>
      </c>
      <c r="C849">
        <v>8.4</v>
      </c>
      <c r="D849">
        <f>VLOOKUP(A849,收盤價!A:C,3,0)</f>
        <v>8.16</v>
      </c>
      <c r="E849" s="126">
        <v>-2.8571428571428595E-2</v>
      </c>
      <c r="F849">
        <v>46.16</v>
      </c>
    </row>
    <row r="850" spans="1:6">
      <c r="A850">
        <v>4157</v>
      </c>
      <c r="B850" t="s">
        <v>1553</v>
      </c>
      <c r="C850">
        <v>27.95</v>
      </c>
      <c r="D850">
        <f>VLOOKUP(A850,收盤價!A:C,3,0)</f>
        <v>27.15</v>
      </c>
      <c r="E850" s="126">
        <v>-2.8622540250447252E-2</v>
      </c>
      <c r="F850">
        <v>46.1</v>
      </c>
    </row>
    <row r="851" spans="1:6">
      <c r="A851">
        <v>3322</v>
      </c>
      <c r="B851" t="s">
        <v>1483</v>
      </c>
      <c r="C851">
        <v>12.05</v>
      </c>
      <c r="D851">
        <f>VLOOKUP(A851,收盤價!A:C,3,0)</f>
        <v>11.7</v>
      </c>
      <c r="E851" s="126">
        <v>-2.9045643153527086E-2</v>
      </c>
      <c r="F851">
        <v>46.04</v>
      </c>
    </row>
    <row r="852" spans="1:6">
      <c r="A852">
        <v>5234</v>
      </c>
      <c r="B852" t="s">
        <v>1208</v>
      </c>
      <c r="C852">
        <v>32.65</v>
      </c>
      <c r="D852">
        <f>VLOOKUP(A852,收盤價!A:C,3,0)</f>
        <v>31.7</v>
      </c>
      <c r="E852" s="126">
        <v>-2.9096477794793241E-2</v>
      </c>
      <c r="F852">
        <v>45.97</v>
      </c>
    </row>
    <row r="853" spans="1:6">
      <c r="A853">
        <v>8103</v>
      </c>
      <c r="B853" t="s">
        <v>1324</v>
      </c>
      <c r="C853">
        <v>29.15</v>
      </c>
      <c r="D853">
        <f>VLOOKUP(A853,收盤價!A:C,3,0)</f>
        <v>28.3</v>
      </c>
      <c r="E853" s="126">
        <v>-2.915951972555739E-2</v>
      </c>
      <c r="F853">
        <v>45.91</v>
      </c>
    </row>
    <row r="854" spans="1:6">
      <c r="A854">
        <v>9941</v>
      </c>
      <c r="B854" t="s">
        <v>1404</v>
      </c>
      <c r="C854">
        <v>77.7</v>
      </c>
      <c r="D854">
        <f>VLOOKUP(A854,收盤價!A:C,3,0)</f>
        <v>75.400000000000006</v>
      </c>
      <c r="E854" s="126">
        <v>-2.9601029601029564E-2</v>
      </c>
      <c r="F854">
        <v>45.85</v>
      </c>
    </row>
    <row r="855" spans="1:6">
      <c r="A855">
        <v>6263</v>
      </c>
      <c r="B855" t="s">
        <v>1735</v>
      </c>
      <c r="C855">
        <v>47.1</v>
      </c>
      <c r="D855">
        <f>VLOOKUP(A855,收盤價!A:C,3,0)</f>
        <v>45.7</v>
      </c>
      <c r="E855" s="126">
        <v>-2.9723991507430967E-2</v>
      </c>
      <c r="F855">
        <v>45.78</v>
      </c>
    </row>
    <row r="856" spans="1:6">
      <c r="A856">
        <v>6168</v>
      </c>
      <c r="B856" t="s">
        <v>1258</v>
      </c>
      <c r="C856">
        <v>13.45</v>
      </c>
      <c r="D856">
        <f>VLOOKUP(A856,收盤價!A:C,3,0)</f>
        <v>13.05</v>
      </c>
      <c r="E856" s="126">
        <v>-2.9739776951672757E-2</v>
      </c>
      <c r="F856">
        <v>45.72</v>
      </c>
    </row>
    <row r="857" spans="1:6">
      <c r="A857">
        <v>2114</v>
      </c>
      <c r="B857" t="s">
        <v>765</v>
      </c>
      <c r="C857">
        <v>83.8</v>
      </c>
      <c r="D857">
        <f>VLOOKUP(A857,收盤價!A:C,3,0)</f>
        <v>81.3</v>
      </c>
      <c r="E857" s="126">
        <v>-2.983293556085919E-2</v>
      </c>
      <c r="F857">
        <v>45.66</v>
      </c>
    </row>
    <row r="858" spans="1:6">
      <c r="A858">
        <v>1905</v>
      </c>
      <c r="B858" t="s">
        <v>1829</v>
      </c>
      <c r="C858">
        <v>10</v>
      </c>
      <c r="D858">
        <f>VLOOKUP(A858,收盤價!A:C,3,0)</f>
        <v>9.6999999999999993</v>
      </c>
      <c r="E858" s="126">
        <v>-3.0000000000000072E-2</v>
      </c>
      <c r="F858">
        <v>45.59</v>
      </c>
    </row>
    <row r="859" spans="1:6">
      <c r="A859">
        <v>5880</v>
      </c>
      <c r="B859" t="s">
        <v>1234</v>
      </c>
      <c r="C859">
        <v>14.85</v>
      </c>
      <c r="D859">
        <f>VLOOKUP(A859,收盤價!A:C,3,0)</f>
        <v>14.4</v>
      </c>
      <c r="E859" s="126">
        <v>-3.0303030303030255E-2</v>
      </c>
      <c r="F859">
        <v>45.53</v>
      </c>
    </row>
    <row r="860" spans="1:6">
      <c r="A860">
        <v>4707</v>
      </c>
      <c r="B860" t="s">
        <v>369</v>
      </c>
      <c r="C860">
        <v>8.74</v>
      </c>
      <c r="D860">
        <f>VLOOKUP(A860,收盤價!A:C,3,0)</f>
        <v>8.4700000000000006</v>
      </c>
      <c r="E860" s="126">
        <v>-3.0892448512585761E-2</v>
      </c>
      <c r="F860">
        <v>45.47</v>
      </c>
    </row>
    <row r="861" spans="1:6">
      <c r="A861">
        <v>1506</v>
      </c>
      <c r="B861" t="s">
        <v>628</v>
      </c>
      <c r="C861">
        <v>16</v>
      </c>
      <c r="D861">
        <f>VLOOKUP(A861,收盤價!A:C,3,0)</f>
        <v>15.5</v>
      </c>
      <c r="E861" s="126">
        <v>-3.125E-2</v>
      </c>
      <c r="F861">
        <v>45.4</v>
      </c>
    </row>
    <row r="862" spans="1:6">
      <c r="A862">
        <v>8266</v>
      </c>
      <c r="B862" t="s">
        <v>1792</v>
      </c>
      <c r="C862">
        <v>27.05</v>
      </c>
      <c r="D862">
        <f>VLOOKUP(A862,收盤價!A:C,3,0)</f>
        <v>26.2</v>
      </c>
      <c r="E862" s="126">
        <v>-3.1423290203327223E-2</v>
      </c>
      <c r="F862">
        <v>45.34</v>
      </c>
    </row>
    <row r="863" spans="1:6">
      <c r="A863">
        <v>1560</v>
      </c>
      <c r="B863" t="s">
        <v>657</v>
      </c>
      <c r="C863">
        <v>57.2</v>
      </c>
      <c r="D863">
        <f>VLOOKUP(A863,收盤價!A:C,3,0)</f>
        <v>55.4</v>
      </c>
      <c r="E863" s="126">
        <v>-3.1468531468531541E-2</v>
      </c>
      <c r="F863">
        <v>45.28</v>
      </c>
    </row>
    <row r="864" spans="1:6">
      <c r="A864">
        <v>5905</v>
      </c>
      <c r="B864" t="s">
        <v>1678</v>
      </c>
      <c r="C864">
        <v>9.19</v>
      </c>
      <c r="D864">
        <f>VLOOKUP(A864,收盤價!A:C,3,0)</f>
        <v>8.9</v>
      </c>
      <c r="E864" s="126">
        <v>-3.1556039173014055E-2</v>
      </c>
      <c r="F864">
        <v>45.21</v>
      </c>
    </row>
    <row r="865" spans="1:6">
      <c r="A865">
        <v>1731</v>
      </c>
      <c r="B865" t="s">
        <v>702</v>
      </c>
      <c r="C865">
        <v>14.15</v>
      </c>
      <c r="D865">
        <f>VLOOKUP(A865,收盤價!A:C,3,0)</f>
        <v>13.7</v>
      </c>
      <c r="E865" s="126">
        <v>-3.1802120141342829E-2</v>
      </c>
      <c r="F865">
        <v>45.15</v>
      </c>
    </row>
    <row r="866" spans="1:6">
      <c r="A866">
        <v>5356</v>
      </c>
      <c r="B866" t="s">
        <v>1642</v>
      </c>
      <c r="C866">
        <v>40.25</v>
      </c>
      <c r="D866">
        <f>VLOOKUP(A866,收盤價!A:C,3,0)</f>
        <v>38.950000000000003</v>
      </c>
      <c r="E866" s="126">
        <v>-3.2298136645962663E-2</v>
      </c>
      <c r="F866">
        <v>45.09</v>
      </c>
    </row>
    <row r="867" spans="1:6">
      <c r="A867">
        <v>1592</v>
      </c>
      <c r="B867" t="s">
        <v>663</v>
      </c>
      <c r="C867">
        <v>30.95</v>
      </c>
      <c r="D867">
        <f>VLOOKUP(A867,收盤價!A:C,3,0)</f>
        <v>29.95</v>
      </c>
      <c r="E867" s="126">
        <v>-3.2310177705977383E-2</v>
      </c>
      <c r="F867">
        <v>45.02</v>
      </c>
    </row>
    <row r="868" spans="1:6">
      <c r="A868">
        <v>3085</v>
      </c>
      <c r="B868" t="s">
        <v>268</v>
      </c>
      <c r="C868">
        <v>7.39</v>
      </c>
      <c r="D868">
        <f>VLOOKUP(A868,收盤價!A:C,3,0)</f>
        <v>7.15</v>
      </c>
      <c r="E868" s="126">
        <v>-3.2476319350473522E-2</v>
      </c>
      <c r="F868">
        <v>44.96</v>
      </c>
    </row>
    <row r="869" spans="1:6">
      <c r="A869">
        <v>2414</v>
      </c>
      <c r="B869" t="s">
        <v>852</v>
      </c>
      <c r="C869">
        <v>16.8</v>
      </c>
      <c r="D869">
        <f>VLOOKUP(A869,收盤價!A:C,3,0)</f>
        <v>16.25</v>
      </c>
      <c r="E869" s="126">
        <v>-3.2738095238095281E-2</v>
      </c>
      <c r="F869">
        <v>44.9</v>
      </c>
    </row>
    <row r="870" spans="1:6">
      <c r="A870">
        <v>5471</v>
      </c>
      <c r="B870" t="s">
        <v>1219</v>
      </c>
      <c r="C870">
        <v>38.049999999999997</v>
      </c>
      <c r="D870">
        <f>VLOOKUP(A870,收盤價!A:C,3,0)</f>
        <v>36.799999999999997</v>
      </c>
      <c r="E870" s="126">
        <v>-3.2851511169513799E-2</v>
      </c>
      <c r="F870">
        <v>44.83</v>
      </c>
    </row>
    <row r="871" spans="1:6">
      <c r="A871">
        <v>5820</v>
      </c>
      <c r="B871" t="s">
        <v>1676</v>
      </c>
      <c r="C871">
        <v>7.56</v>
      </c>
      <c r="D871">
        <f>VLOOKUP(A871,收盤價!A:C,3,0)</f>
        <v>7.31</v>
      </c>
      <c r="E871" s="126">
        <v>-3.3068783068783074E-2</v>
      </c>
      <c r="F871">
        <v>44.77</v>
      </c>
    </row>
    <row r="872" spans="1:6">
      <c r="A872">
        <v>3577</v>
      </c>
      <c r="B872" t="s">
        <v>1518</v>
      </c>
      <c r="C872">
        <v>33</v>
      </c>
      <c r="D872">
        <f>VLOOKUP(A872,收盤價!A:C,3,0)</f>
        <v>31.9</v>
      </c>
      <c r="E872" s="126">
        <v>-3.3333333333333375E-2</v>
      </c>
      <c r="F872">
        <v>44.71</v>
      </c>
    </row>
    <row r="873" spans="1:6">
      <c r="A873">
        <v>2916</v>
      </c>
      <c r="B873" t="s">
        <v>1440</v>
      </c>
      <c r="C873">
        <v>18</v>
      </c>
      <c r="D873">
        <f>VLOOKUP(A873,收盤價!A:C,3,0)</f>
        <v>17.399999999999999</v>
      </c>
      <c r="E873" s="126">
        <v>-3.3333333333333409E-2</v>
      </c>
      <c r="F873">
        <v>44.64</v>
      </c>
    </row>
    <row r="874" spans="1:6">
      <c r="A874">
        <v>1724</v>
      </c>
      <c r="B874" t="s">
        <v>696</v>
      </c>
      <c r="C874">
        <v>16.149999999999999</v>
      </c>
      <c r="D874">
        <f>VLOOKUP(A874,收盤價!A:C,3,0)</f>
        <v>15.6</v>
      </c>
      <c r="E874" s="126">
        <v>-3.4055727554179502E-2</v>
      </c>
      <c r="F874">
        <v>44.58</v>
      </c>
    </row>
    <row r="875" spans="1:6">
      <c r="A875">
        <v>9931</v>
      </c>
      <c r="B875" t="s">
        <v>1396</v>
      </c>
      <c r="C875">
        <v>32.25</v>
      </c>
      <c r="D875">
        <f>VLOOKUP(A875,收盤價!A:C,3,0)</f>
        <v>31.15</v>
      </c>
      <c r="E875" s="126">
        <v>-3.4108527131782987E-2</v>
      </c>
      <c r="F875">
        <v>44.51</v>
      </c>
    </row>
    <row r="876" spans="1:6">
      <c r="A876">
        <v>2856</v>
      </c>
      <c r="B876" t="s">
        <v>996</v>
      </c>
      <c r="C876">
        <v>9.6</v>
      </c>
      <c r="D876">
        <f>VLOOKUP(A876,收盤價!A:C,3,0)</f>
        <v>9.27</v>
      </c>
      <c r="E876" s="126">
        <v>-3.437500000000001E-2</v>
      </c>
      <c r="F876">
        <v>44.45</v>
      </c>
    </row>
    <row r="877" spans="1:6">
      <c r="A877">
        <v>2838</v>
      </c>
      <c r="B877" t="s">
        <v>987</v>
      </c>
      <c r="C877">
        <v>9.8800000000000008</v>
      </c>
      <c r="D877">
        <f>VLOOKUP(A877,收盤價!A:C,3,0)</f>
        <v>9.5399999999999991</v>
      </c>
      <c r="E877" s="126">
        <v>-3.441295546558721E-2</v>
      </c>
      <c r="F877">
        <v>44.39</v>
      </c>
    </row>
    <row r="878" spans="1:6">
      <c r="A878">
        <v>6152</v>
      </c>
      <c r="B878" t="s">
        <v>1252</v>
      </c>
      <c r="C878">
        <v>8.39</v>
      </c>
      <c r="D878">
        <f>VLOOKUP(A878,收盤價!A:C,3,0)</f>
        <v>8.1</v>
      </c>
      <c r="E878" s="126">
        <v>-3.4564958283671142E-2</v>
      </c>
      <c r="F878">
        <v>44.32</v>
      </c>
    </row>
    <row r="879" spans="1:6">
      <c r="A879">
        <v>3086</v>
      </c>
      <c r="B879" t="s">
        <v>1450</v>
      </c>
      <c r="C879">
        <v>12.95</v>
      </c>
      <c r="D879">
        <f>VLOOKUP(A879,收盤價!A:C,3,0)</f>
        <v>12.5</v>
      </c>
      <c r="E879" s="126">
        <v>-3.4749034749034693E-2</v>
      </c>
      <c r="F879">
        <v>44.26</v>
      </c>
    </row>
    <row r="880" spans="1:6">
      <c r="A880">
        <v>4171</v>
      </c>
      <c r="B880" t="s">
        <v>1557</v>
      </c>
      <c r="C880">
        <v>38.6</v>
      </c>
      <c r="D880">
        <f>VLOOKUP(A880,收盤價!A:C,3,0)</f>
        <v>37.25</v>
      </c>
      <c r="E880" s="126">
        <v>-3.4974093264248739E-2</v>
      </c>
      <c r="F880">
        <v>44.2</v>
      </c>
    </row>
    <row r="881" spans="1:6">
      <c r="A881">
        <v>1466</v>
      </c>
      <c r="B881" t="s">
        <v>614</v>
      </c>
      <c r="C881">
        <v>16.899999999999999</v>
      </c>
      <c r="D881">
        <f>VLOOKUP(A881,收盤價!A:C,3,0)</f>
        <v>16.3</v>
      </c>
      <c r="E881" s="126">
        <v>-3.5502958579881533E-2</v>
      </c>
      <c r="F881">
        <v>44.13</v>
      </c>
    </row>
    <row r="882" spans="1:6">
      <c r="A882">
        <v>1907</v>
      </c>
      <c r="B882" t="s">
        <v>725</v>
      </c>
      <c r="C882">
        <v>11.25</v>
      </c>
      <c r="D882">
        <f>VLOOKUP(A882,收盤價!A:C,3,0)</f>
        <v>10.85</v>
      </c>
      <c r="E882" s="126">
        <v>-3.555555555555559E-2</v>
      </c>
      <c r="F882">
        <v>44.07</v>
      </c>
    </row>
    <row r="883" spans="1:6">
      <c r="A883">
        <v>1727</v>
      </c>
      <c r="B883" t="s">
        <v>699</v>
      </c>
      <c r="C883">
        <v>15.45</v>
      </c>
      <c r="D883">
        <f>VLOOKUP(A883,收盤價!A:C,3,0)</f>
        <v>14.9</v>
      </c>
      <c r="E883" s="126">
        <v>-3.5598705501618054E-2</v>
      </c>
      <c r="F883">
        <v>44.01</v>
      </c>
    </row>
    <row r="884" spans="1:6">
      <c r="A884">
        <v>3452</v>
      </c>
      <c r="B884" t="s">
        <v>1496</v>
      </c>
      <c r="C884">
        <v>12.5</v>
      </c>
      <c r="D884">
        <f>VLOOKUP(A884,收盤價!A:C,3,0)</f>
        <v>12.05</v>
      </c>
      <c r="E884" s="126">
        <v>-3.5999999999999942E-2</v>
      </c>
      <c r="F884">
        <v>43.94</v>
      </c>
    </row>
    <row r="885" spans="1:6">
      <c r="A885">
        <v>5284</v>
      </c>
      <c r="B885" t="s">
        <v>1627</v>
      </c>
      <c r="C885">
        <v>72</v>
      </c>
      <c r="D885">
        <f>VLOOKUP(A885,收盤價!A:C,3,0)</f>
        <v>69.400000000000006</v>
      </c>
      <c r="E885" s="126">
        <v>-3.6111111111111031E-2</v>
      </c>
      <c r="F885">
        <v>43.88</v>
      </c>
    </row>
    <row r="886" spans="1:6">
      <c r="A886">
        <v>3169</v>
      </c>
      <c r="B886" t="s">
        <v>1459</v>
      </c>
      <c r="C886">
        <v>30.2</v>
      </c>
      <c r="D886">
        <f>VLOOKUP(A886,收盤價!A:C,3,0)</f>
        <v>29.1</v>
      </c>
      <c r="E886" s="126">
        <v>-3.6423841059602578E-2</v>
      </c>
      <c r="F886">
        <v>43.82</v>
      </c>
    </row>
    <row r="887" spans="1:6">
      <c r="A887">
        <v>3288</v>
      </c>
      <c r="B887" t="s">
        <v>1476</v>
      </c>
      <c r="C887">
        <v>8.1999999999999993</v>
      </c>
      <c r="D887">
        <f>VLOOKUP(A887,收盤價!A:C,3,0)</f>
        <v>7.9</v>
      </c>
      <c r="E887" s="126">
        <v>-3.6585365853658409E-2</v>
      </c>
      <c r="F887">
        <v>43.75</v>
      </c>
    </row>
    <row r="888" spans="1:6">
      <c r="A888">
        <v>1729</v>
      </c>
      <c r="B888" t="s">
        <v>700</v>
      </c>
      <c r="C888">
        <v>76.5</v>
      </c>
      <c r="D888">
        <f>VLOOKUP(A888,收盤價!A:C,3,0)</f>
        <v>73.7</v>
      </c>
      <c r="E888" s="126">
        <v>-3.6601307189542444E-2</v>
      </c>
      <c r="F888">
        <v>43.69</v>
      </c>
    </row>
    <row r="889" spans="1:6">
      <c r="A889">
        <v>3224</v>
      </c>
      <c r="B889" t="s">
        <v>1469</v>
      </c>
      <c r="C889">
        <v>33.9</v>
      </c>
      <c r="D889">
        <f>VLOOKUP(A889,收盤價!A:C,3,0)</f>
        <v>32.65</v>
      </c>
      <c r="E889" s="126">
        <v>-3.687315634218289E-2</v>
      </c>
      <c r="F889">
        <v>43.63</v>
      </c>
    </row>
    <row r="890" spans="1:6">
      <c r="A890">
        <v>6443</v>
      </c>
      <c r="B890" t="s">
        <v>1305</v>
      </c>
      <c r="C890">
        <v>17.5</v>
      </c>
      <c r="D890">
        <f>VLOOKUP(A890,收盤價!A:C,3,0)</f>
        <v>16.850000000000001</v>
      </c>
      <c r="E890" s="126">
        <v>-3.7142857142857061E-2</v>
      </c>
      <c r="F890">
        <v>43.56</v>
      </c>
    </row>
    <row r="891" spans="1:6">
      <c r="A891">
        <v>8424</v>
      </c>
      <c r="B891" t="s">
        <v>499</v>
      </c>
      <c r="C891">
        <v>40.1</v>
      </c>
      <c r="D891">
        <f>VLOOKUP(A891,收盤價!A:C,3,0)</f>
        <v>38.6</v>
      </c>
      <c r="E891" s="126">
        <v>-3.7406483790523692E-2</v>
      </c>
      <c r="F891">
        <v>43.5</v>
      </c>
    </row>
    <row r="892" spans="1:6">
      <c r="A892">
        <v>5328</v>
      </c>
      <c r="B892" t="s">
        <v>1635</v>
      </c>
      <c r="C892">
        <v>5.85</v>
      </c>
      <c r="D892">
        <f>VLOOKUP(A892,收盤價!A:C,3,0)</f>
        <v>5.63</v>
      </c>
      <c r="E892" s="126">
        <v>-3.7606837606837563E-2</v>
      </c>
      <c r="F892">
        <v>43.44</v>
      </c>
    </row>
    <row r="893" spans="1:6">
      <c r="A893">
        <v>4123</v>
      </c>
      <c r="B893" t="s">
        <v>1545</v>
      </c>
      <c r="C893">
        <v>71.7</v>
      </c>
      <c r="D893">
        <f>VLOOKUP(A893,收盤價!A:C,3,0)</f>
        <v>69</v>
      </c>
      <c r="E893" s="126">
        <v>-3.7656903765690412E-2</v>
      </c>
      <c r="F893">
        <v>43.37</v>
      </c>
    </row>
    <row r="894" spans="1:6">
      <c r="A894">
        <v>3188</v>
      </c>
      <c r="B894" t="s">
        <v>279</v>
      </c>
      <c r="C894">
        <v>9.98</v>
      </c>
      <c r="D894">
        <f>VLOOKUP(A894,收盤價!A:C,3,0)</f>
        <v>9.6</v>
      </c>
      <c r="E894" s="126">
        <v>-3.8076152304609298E-2</v>
      </c>
      <c r="F894">
        <v>43.31</v>
      </c>
    </row>
    <row r="895" spans="1:6">
      <c r="A895">
        <v>6245</v>
      </c>
      <c r="B895" t="s">
        <v>1733</v>
      </c>
      <c r="C895">
        <v>43</v>
      </c>
      <c r="D895">
        <f>VLOOKUP(A895,收盤價!A:C,3,0)</f>
        <v>41.35</v>
      </c>
      <c r="E895" s="126">
        <v>-3.8372093023255782E-2</v>
      </c>
      <c r="F895">
        <v>43.25</v>
      </c>
    </row>
    <row r="896" spans="1:6">
      <c r="A896">
        <v>5201</v>
      </c>
      <c r="B896" t="s">
        <v>1616</v>
      </c>
      <c r="C896">
        <v>13</v>
      </c>
      <c r="D896">
        <f>VLOOKUP(A896,收盤價!A:C,3,0)</f>
        <v>12.5</v>
      </c>
      <c r="E896" s="126">
        <v>-3.8461538461538464E-2</v>
      </c>
      <c r="F896">
        <v>43.18</v>
      </c>
    </row>
    <row r="897" spans="1:6">
      <c r="A897">
        <v>3014</v>
      </c>
      <c r="B897" t="s">
        <v>1033</v>
      </c>
      <c r="C897">
        <v>31</v>
      </c>
      <c r="D897">
        <f>VLOOKUP(A897,收盤價!A:C,3,0)</f>
        <v>29.8</v>
      </c>
      <c r="E897" s="126">
        <v>-3.8709677419354813E-2</v>
      </c>
      <c r="F897">
        <v>43.12</v>
      </c>
    </row>
    <row r="898" spans="1:6">
      <c r="A898">
        <v>3114</v>
      </c>
      <c r="B898" t="s">
        <v>1451</v>
      </c>
      <c r="C898">
        <v>14.1</v>
      </c>
      <c r="D898">
        <f>VLOOKUP(A898,收盤價!A:C,3,0)</f>
        <v>13.55</v>
      </c>
      <c r="E898" s="126">
        <v>-3.9007092198581485E-2</v>
      </c>
      <c r="F898">
        <v>43.06</v>
      </c>
    </row>
    <row r="899" spans="1:6">
      <c r="A899">
        <v>2847</v>
      </c>
      <c r="B899" t="s">
        <v>990</v>
      </c>
      <c r="C899">
        <v>14.05</v>
      </c>
      <c r="D899">
        <f>VLOOKUP(A899,收盤價!A:C,3,0)</f>
        <v>13.5</v>
      </c>
      <c r="E899" s="126">
        <v>-3.9145907473309656E-2</v>
      </c>
      <c r="F899">
        <v>42.99</v>
      </c>
    </row>
    <row r="900" spans="1:6">
      <c r="A900">
        <v>4555</v>
      </c>
      <c r="B900" t="s">
        <v>1856</v>
      </c>
      <c r="C900">
        <v>79.099999999999994</v>
      </c>
      <c r="D900">
        <f>VLOOKUP(A900,收盤價!A:C,3,0)</f>
        <v>76</v>
      </c>
      <c r="E900" s="126">
        <v>-3.9190897597977177E-2</v>
      </c>
      <c r="F900">
        <v>42.93</v>
      </c>
    </row>
    <row r="901" spans="1:6">
      <c r="A901">
        <v>1720</v>
      </c>
      <c r="B901" t="s">
        <v>692</v>
      </c>
      <c r="C901">
        <v>36.85</v>
      </c>
      <c r="D901">
        <f>VLOOKUP(A901,收盤價!A:C,3,0)</f>
        <v>35.4</v>
      </c>
      <c r="E901" s="126">
        <v>-3.9348710990502113E-2</v>
      </c>
      <c r="F901">
        <v>42.87</v>
      </c>
    </row>
    <row r="902" spans="1:6">
      <c r="A902">
        <v>8047</v>
      </c>
      <c r="B902" t="s">
        <v>1760</v>
      </c>
      <c r="C902">
        <v>11.35</v>
      </c>
      <c r="D902">
        <f>VLOOKUP(A902,收盤價!A:C,3,0)</f>
        <v>10.9</v>
      </c>
      <c r="E902" s="126">
        <v>-3.9647577092510954E-2</v>
      </c>
      <c r="F902">
        <v>42.8</v>
      </c>
    </row>
    <row r="903" spans="1:6">
      <c r="A903">
        <v>5206</v>
      </c>
      <c r="B903" t="s">
        <v>388</v>
      </c>
      <c r="C903">
        <v>11.35</v>
      </c>
      <c r="D903">
        <f>VLOOKUP(A903,收盤價!A:C,3,0)</f>
        <v>10.9</v>
      </c>
      <c r="E903" s="126">
        <v>-3.9647577092510954E-2</v>
      </c>
      <c r="F903">
        <v>42.74</v>
      </c>
    </row>
    <row r="904" spans="1:6">
      <c r="A904">
        <v>1535</v>
      </c>
      <c r="B904" t="s">
        <v>649</v>
      </c>
      <c r="C904">
        <v>63</v>
      </c>
      <c r="D904">
        <f>VLOOKUP(A904,收盤價!A:C,3,0)</f>
        <v>60.5</v>
      </c>
      <c r="E904" s="126">
        <v>-3.968253968253968E-2</v>
      </c>
      <c r="F904">
        <v>42.68</v>
      </c>
    </row>
    <row r="905" spans="1:6">
      <c r="A905">
        <v>3317</v>
      </c>
      <c r="B905" t="s">
        <v>1482</v>
      </c>
      <c r="C905">
        <v>12.6</v>
      </c>
      <c r="D905">
        <f>VLOOKUP(A905,收盤價!A:C,3,0)</f>
        <v>12.1</v>
      </c>
      <c r="E905" s="126">
        <v>-3.968253968253968E-2</v>
      </c>
      <c r="F905">
        <v>42.61</v>
      </c>
    </row>
    <row r="906" spans="1:6">
      <c r="A906">
        <v>2611</v>
      </c>
      <c r="B906" t="s">
        <v>956</v>
      </c>
      <c r="C906">
        <v>8.06</v>
      </c>
      <c r="D906">
        <f>VLOOKUP(A906,收盤價!A:C,3,0)</f>
        <v>7.74</v>
      </c>
      <c r="E906" s="126">
        <v>-3.9702233250620382E-2</v>
      </c>
      <c r="F906">
        <v>42.55</v>
      </c>
    </row>
    <row r="907" spans="1:6">
      <c r="A907">
        <v>2845</v>
      </c>
      <c r="B907" t="s">
        <v>989</v>
      </c>
      <c r="C907">
        <v>10.199999999999999</v>
      </c>
      <c r="D907">
        <f>VLOOKUP(A907,收盤價!A:C,3,0)</f>
        <v>9.7899999999999991</v>
      </c>
      <c r="E907" s="126">
        <v>-4.0196078431372566E-2</v>
      </c>
      <c r="F907">
        <v>42.49</v>
      </c>
    </row>
    <row r="908" spans="1:6">
      <c r="A908">
        <v>8249</v>
      </c>
      <c r="B908" t="s">
        <v>1337</v>
      </c>
      <c r="C908">
        <v>23.5</v>
      </c>
      <c r="D908">
        <f>VLOOKUP(A908,收盤價!A:C,3,0)</f>
        <v>22.55</v>
      </c>
      <c r="E908" s="126">
        <v>-4.0425531914893585E-2</v>
      </c>
      <c r="F908">
        <v>42.42</v>
      </c>
    </row>
    <row r="909" spans="1:6">
      <c r="A909">
        <v>4133</v>
      </c>
      <c r="B909" t="s">
        <v>1162</v>
      </c>
      <c r="C909">
        <v>32.049999999999997</v>
      </c>
      <c r="D909">
        <f>VLOOKUP(A909,收盤價!A:C,3,0)</f>
        <v>30.75</v>
      </c>
      <c r="E909" s="126">
        <v>-4.0561622464898514E-2</v>
      </c>
      <c r="F909">
        <v>42.36</v>
      </c>
    </row>
    <row r="910" spans="1:6">
      <c r="A910">
        <v>6265</v>
      </c>
      <c r="B910" t="s">
        <v>470</v>
      </c>
      <c r="C910">
        <v>7.38</v>
      </c>
      <c r="D910">
        <f>VLOOKUP(A910,收盤價!A:C,3,0)</f>
        <v>7.08</v>
      </c>
      <c r="E910" s="126">
        <v>-4.0650406504065019E-2</v>
      </c>
      <c r="F910">
        <v>42.3</v>
      </c>
    </row>
    <row r="911" spans="1:6">
      <c r="A911">
        <v>8074</v>
      </c>
      <c r="B911" t="s">
        <v>1769</v>
      </c>
      <c r="C911">
        <v>26.95</v>
      </c>
      <c r="D911">
        <f>VLOOKUP(A911,收盤價!A:C,3,0)</f>
        <v>25.85</v>
      </c>
      <c r="E911" s="126">
        <v>-4.0816326530612165E-2</v>
      </c>
      <c r="F911">
        <v>42.23</v>
      </c>
    </row>
    <row r="912" spans="1:6">
      <c r="A912">
        <v>1540</v>
      </c>
      <c r="B912" t="s">
        <v>654</v>
      </c>
      <c r="C912">
        <v>17.100000000000001</v>
      </c>
      <c r="D912">
        <f>VLOOKUP(A912,收盤價!A:C,3,0)</f>
        <v>16.399999999999999</v>
      </c>
      <c r="E912" s="126">
        <v>-4.0935672514620047E-2</v>
      </c>
      <c r="F912">
        <v>42.17</v>
      </c>
    </row>
    <row r="913" spans="1:6">
      <c r="A913">
        <v>8299</v>
      </c>
      <c r="B913" t="s">
        <v>1797</v>
      </c>
      <c r="C913">
        <v>267</v>
      </c>
      <c r="D913">
        <f>VLOOKUP(A913,收盤價!A:C,3,0)</f>
        <v>256</v>
      </c>
      <c r="E913" s="126">
        <v>-4.1198501872659173E-2</v>
      </c>
      <c r="F913">
        <v>42.11</v>
      </c>
    </row>
    <row r="914" spans="1:6">
      <c r="A914">
        <v>4938</v>
      </c>
      <c r="B914" t="s">
        <v>1193</v>
      </c>
      <c r="C914">
        <v>82.5</v>
      </c>
      <c r="D914">
        <f>VLOOKUP(A914,收盤價!A:C,3,0)</f>
        <v>79.099999999999994</v>
      </c>
      <c r="E914" s="126">
        <v>-4.1212121212121283E-2</v>
      </c>
      <c r="F914">
        <v>42.04</v>
      </c>
    </row>
    <row r="915" spans="1:6">
      <c r="A915">
        <v>3311</v>
      </c>
      <c r="B915" t="s">
        <v>1092</v>
      </c>
      <c r="C915">
        <v>19.399999999999999</v>
      </c>
      <c r="D915">
        <f>VLOOKUP(A915,收盤價!A:C,3,0)</f>
        <v>18.600000000000001</v>
      </c>
      <c r="E915" s="126">
        <v>-4.1237113402061709E-2</v>
      </c>
      <c r="F915">
        <v>41.98</v>
      </c>
    </row>
    <row r="916" spans="1:6">
      <c r="A916">
        <v>2371</v>
      </c>
      <c r="B916" t="s">
        <v>824</v>
      </c>
      <c r="C916">
        <v>6.03</v>
      </c>
      <c r="D916">
        <f>VLOOKUP(A916,收盤價!A:C,3,0)</f>
        <v>5.78</v>
      </c>
      <c r="E916" s="126">
        <v>-4.1459369817578771E-2</v>
      </c>
      <c r="F916">
        <v>41.92</v>
      </c>
    </row>
    <row r="917" spans="1:6">
      <c r="A917">
        <v>4119</v>
      </c>
      <c r="B917" t="s">
        <v>1161</v>
      </c>
      <c r="C917">
        <v>81.3</v>
      </c>
      <c r="D917">
        <f>VLOOKUP(A917,收盤價!A:C,3,0)</f>
        <v>77.900000000000006</v>
      </c>
      <c r="E917" s="126">
        <v>-4.182041820418194E-2</v>
      </c>
      <c r="F917">
        <v>41.85</v>
      </c>
    </row>
    <row r="918" spans="1:6">
      <c r="A918">
        <v>1460</v>
      </c>
      <c r="B918" t="s">
        <v>610</v>
      </c>
      <c r="C918">
        <v>16.7</v>
      </c>
      <c r="D918">
        <f>VLOOKUP(A918,收盤價!A:C,3,0)</f>
        <v>16</v>
      </c>
      <c r="E918" s="126">
        <v>-4.1916167664670621E-2</v>
      </c>
      <c r="F918">
        <v>41.79</v>
      </c>
    </row>
    <row r="919" spans="1:6">
      <c r="A919">
        <v>5706</v>
      </c>
      <c r="B919" t="s">
        <v>1232</v>
      </c>
      <c r="C919">
        <v>40.549999999999997</v>
      </c>
      <c r="D919">
        <f>VLOOKUP(A919,收盤價!A:C,3,0)</f>
        <v>38.85</v>
      </c>
      <c r="E919" s="126">
        <v>-4.1923551171393236E-2</v>
      </c>
      <c r="F919">
        <v>41.72</v>
      </c>
    </row>
    <row r="920" spans="1:6">
      <c r="A920">
        <v>2235</v>
      </c>
      <c r="B920" t="s">
        <v>263</v>
      </c>
      <c r="C920">
        <v>131</v>
      </c>
      <c r="D920">
        <f>VLOOKUP(A920,收盤價!A:C,3,0)</f>
        <v>125.5</v>
      </c>
      <c r="E920" s="126">
        <v>-4.1984732824427481E-2</v>
      </c>
      <c r="F920">
        <v>41.66</v>
      </c>
    </row>
    <row r="921" spans="1:6">
      <c r="A921">
        <v>3438</v>
      </c>
      <c r="B921" t="s">
        <v>1493</v>
      </c>
      <c r="C921">
        <v>19.05</v>
      </c>
      <c r="D921">
        <f>VLOOKUP(A921,收盤價!A:C,3,0)</f>
        <v>18.25</v>
      </c>
      <c r="E921" s="126">
        <v>-4.1994750656168013E-2</v>
      </c>
      <c r="F921">
        <v>41.6</v>
      </c>
    </row>
    <row r="922" spans="1:6">
      <c r="A922">
        <v>3581</v>
      </c>
      <c r="B922" t="s">
        <v>1520</v>
      </c>
      <c r="C922">
        <v>15.45</v>
      </c>
      <c r="D922">
        <f>VLOOKUP(A922,收盤價!A:C,3,0)</f>
        <v>14.8</v>
      </c>
      <c r="E922" s="126">
        <v>-4.2071197411003146E-2</v>
      </c>
      <c r="F922">
        <v>41.53</v>
      </c>
    </row>
    <row r="923" spans="1:6">
      <c r="A923">
        <v>5305</v>
      </c>
      <c r="B923" t="s">
        <v>1215</v>
      </c>
      <c r="C923">
        <v>23.7</v>
      </c>
      <c r="D923">
        <f>VLOOKUP(A923,收盤價!A:C,3,0)</f>
        <v>22.7</v>
      </c>
      <c r="E923" s="126">
        <v>-4.2194092827004218E-2</v>
      </c>
      <c r="F923">
        <v>41.47</v>
      </c>
    </row>
    <row r="924" spans="1:6">
      <c r="A924">
        <v>3402</v>
      </c>
      <c r="B924" t="s">
        <v>1491</v>
      </c>
      <c r="C924">
        <v>15.4</v>
      </c>
      <c r="D924">
        <f>VLOOKUP(A924,收盤價!A:C,3,0)</f>
        <v>14.75</v>
      </c>
      <c r="E924" s="126">
        <v>-4.2207792207792229E-2</v>
      </c>
      <c r="F924">
        <v>41.41</v>
      </c>
    </row>
    <row r="925" spans="1:6">
      <c r="A925">
        <v>1595</v>
      </c>
      <c r="B925" t="s">
        <v>1421</v>
      </c>
      <c r="C925">
        <v>61.5</v>
      </c>
      <c r="D925">
        <f>VLOOKUP(A925,收盤價!A:C,3,0)</f>
        <v>58.9</v>
      </c>
      <c r="E925" s="126">
        <v>-4.2276422764227668E-2</v>
      </c>
      <c r="F925">
        <v>41.34</v>
      </c>
    </row>
    <row r="926" spans="1:6">
      <c r="A926">
        <v>1333</v>
      </c>
      <c r="B926" t="s">
        <v>246</v>
      </c>
      <c r="C926">
        <v>5.65</v>
      </c>
      <c r="D926">
        <f>VLOOKUP(A926,收盤價!A:C,3,0)</f>
        <v>5.41</v>
      </c>
      <c r="E926" s="126">
        <v>-4.2477876106194724E-2</v>
      </c>
      <c r="F926">
        <v>41.28</v>
      </c>
    </row>
    <row r="927" spans="1:6">
      <c r="A927">
        <v>1338</v>
      </c>
      <c r="B927" t="s">
        <v>573</v>
      </c>
      <c r="C927">
        <v>129</v>
      </c>
      <c r="D927">
        <f>VLOOKUP(A927,收盤價!A:C,3,0)</f>
        <v>123.5</v>
      </c>
      <c r="E927" s="126">
        <v>-4.2635658914728682E-2</v>
      </c>
      <c r="F927">
        <v>41.22</v>
      </c>
    </row>
    <row r="928" spans="1:6">
      <c r="A928">
        <v>6233</v>
      </c>
      <c r="B928" t="s">
        <v>1729</v>
      </c>
      <c r="C928">
        <v>13.85</v>
      </c>
      <c r="D928">
        <f>VLOOKUP(A928,收盤價!A:C,3,0)</f>
        <v>13.25</v>
      </c>
      <c r="E928" s="126">
        <v>-4.3321299638989147E-2</v>
      </c>
      <c r="F928">
        <v>41.15</v>
      </c>
    </row>
    <row r="929" spans="1:6">
      <c r="A929">
        <v>5608</v>
      </c>
      <c r="B929" t="s">
        <v>1231</v>
      </c>
      <c r="C929">
        <v>13.8</v>
      </c>
      <c r="D929">
        <f>VLOOKUP(A929,收盤價!A:C,3,0)</f>
        <v>13.2</v>
      </c>
      <c r="E929" s="126">
        <v>-4.347826086956532E-2</v>
      </c>
      <c r="F929">
        <v>41.09</v>
      </c>
    </row>
    <row r="930" spans="1:6">
      <c r="A930">
        <v>2349</v>
      </c>
      <c r="B930" t="s">
        <v>805</v>
      </c>
      <c r="C930">
        <v>2.98</v>
      </c>
      <c r="D930">
        <f>VLOOKUP(A930,收盤價!A:C,3,0)</f>
        <v>2.85</v>
      </c>
      <c r="E930" s="126">
        <v>-4.3624161073825468E-2</v>
      </c>
      <c r="F930">
        <v>41.03</v>
      </c>
    </row>
    <row r="931" spans="1:6">
      <c r="A931">
        <v>5460</v>
      </c>
      <c r="B931" t="s">
        <v>1652</v>
      </c>
      <c r="C931">
        <v>12.55</v>
      </c>
      <c r="D931">
        <f>VLOOKUP(A931,收盤價!A:C,3,0)</f>
        <v>12</v>
      </c>
      <c r="E931" s="126">
        <v>-4.3824701195219175E-2</v>
      </c>
      <c r="F931">
        <v>40.96</v>
      </c>
    </row>
    <row r="932" spans="1:6">
      <c r="A932">
        <v>2105</v>
      </c>
      <c r="B932" t="s">
        <v>760</v>
      </c>
      <c r="C932">
        <v>61.5</v>
      </c>
      <c r="D932">
        <f>VLOOKUP(A932,收盤價!A:C,3,0)</f>
        <v>58.8</v>
      </c>
      <c r="E932" s="126">
        <v>-4.390243902439029E-2</v>
      </c>
      <c r="F932">
        <v>40.9</v>
      </c>
    </row>
    <row r="933" spans="1:6">
      <c r="A933">
        <v>2426</v>
      </c>
      <c r="B933" t="s">
        <v>861</v>
      </c>
      <c r="C933">
        <v>15.9</v>
      </c>
      <c r="D933">
        <f>VLOOKUP(A933,收盤價!A:C,3,0)</f>
        <v>15.2</v>
      </c>
      <c r="E933" s="126">
        <v>-4.4025157232704469E-2</v>
      </c>
      <c r="F933">
        <v>40.840000000000003</v>
      </c>
    </row>
    <row r="934" spans="1:6">
      <c r="A934">
        <v>1593</v>
      </c>
      <c r="B934" t="s">
        <v>250</v>
      </c>
      <c r="C934">
        <v>40.799999999999997</v>
      </c>
      <c r="D934">
        <f>VLOOKUP(A934,收盤價!A:C,3,0)</f>
        <v>39</v>
      </c>
      <c r="E934" s="126">
        <v>-4.4117647058823463E-2</v>
      </c>
      <c r="F934">
        <v>40.770000000000003</v>
      </c>
    </row>
    <row r="935" spans="1:6">
      <c r="A935">
        <v>4114</v>
      </c>
      <c r="B935" t="s">
        <v>1543</v>
      </c>
      <c r="C935">
        <v>35</v>
      </c>
      <c r="D935">
        <f>VLOOKUP(A935,收盤價!A:C,3,0)</f>
        <v>33.450000000000003</v>
      </c>
      <c r="E935" s="126">
        <v>-4.4285714285714206E-2</v>
      </c>
      <c r="F935">
        <v>40.71</v>
      </c>
    </row>
    <row r="936" spans="1:6">
      <c r="A936">
        <v>5481</v>
      </c>
      <c r="B936" t="s">
        <v>1657</v>
      </c>
      <c r="C936">
        <v>15.7</v>
      </c>
      <c r="D936">
        <f>VLOOKUP(A936,收盤價!A:C,3,0)</f>
        <v>15</v>
      </c>
      <c r="E936" s="126">
        <v>-4.4585987261146452E-2</v>
      </c>
      <c r="F936">
        <v>40.65</v>
      </c>
    </row>
    <row r="937" spans="1:6">
      <c r="A937">
        <v>3268</v>
      </c>
      <c r="B937" t="s">
        <v>291</v>
      </c>
      <c r="C937">
        <v>15.7</v>
      </c>
      <c r="D937">
        <f>VLOOKUP(A937,收盤價!A:C,3,0)</f>
        <v>15</v>
      </c>
      <c r="E937" s="126">
        <v>-4.4585987261146452E-2</v>
      </c>
      <c r="F937">
        <v>40.58</v>
      </c>
    </row>
    <row r="938" spans="1:6">
      <c r="A938">
        <v>8155</v>
      </c>
      <c r="B938" t="s">
        <v>1785</v>
      </c>
      <c r="C938">
        <v>20</v>
      </c>
      <c r="D938">
        <f>VLOOKUP(A938,收盤價!A:C,3,0)</f>
        <v>19.100000000000001</v>
      </c>
      <c r="E938" s="126">
        <v>-4.4999999999999929E-2</v>
      </c>
      <c r="F938">
        <v>40.520000000000003</v>
      </c>
    </row>
    <row r="939" spans="1:6">
      <c r="A939">
        <v>5483</v>
      </c>
      <c r="B939" t="s">
        <v>1658</v>
      </c>
      <c r="C939">
        <v>42.2</v>
      </c>
      <c r="D939">
        <f>VLOOKUP(A939,收盤價!A:C,3,0)</f>
        <v>40.299999999999997</v>
      </c>
      <c r="E939" s="126">
        <v>-4.5023696682464587E-2</v>
      </c>
      <c r="F939">
        <v>40.46</v>
      </c>
    </row>
    <row r="940" spans="1:6">
      <c r="A940">
        <v>3310</v>
      </c>
      <c r="B940" t="s">
        <v>1481</v>
      </c>
      <c r="C940">
        <v>13.3</v>
      </c>
      <c r="D940">
        <f>VLOOKUP(A940,收盤價!A:C,3,0)</f>
        <v>12.7</v>
      </c>
      <c r="E940" s="126">
        <v>-4.511278195488732E-2</v>
      </c>
      <c r="F940">
        <v>40.39</v>
      </c>
    </row>
    <row r="941" spans="1:6">
      <c r="A941">
        <v>3546</v>
      </c>
      <c r="B941" t="s">
        <v>1512</v>
      </c>
      <c r="C941">
        <v>35.4</v>
      </c>
      <c r="D941">
        <f>VLOOKUP(A941,收盤價!A:C,3,0)</f>
        <v>33.799999999999997</v>
      </c>
      <c r="E941" s="126">
        <v>-4.5197740112994392E-2</v>
      </c>
      <c r="F941">
        <v>40.33</v>
      </c>
    </row>
    <row r="942" spans="1:6">
      <c r="A942">
        <v>5469</v>
      </c>
      <c r="B942" t="s">
        <v>1218</v>
      </c>
      <c r="C942">
        <v>11.05</v>
      </c>
      <c r="D942">
        <f>VLOOKUP(A942,收盤價!A:C,3,0)</f>
        <v>10.55</v>
      </c>
      <c r="E942" s="126">
        <v>-4.5248868778280542E-2</v>
      </c>
      <c r="F942">
        <v>40.270000000000003</v>
      </c>
    </row>
    <row r="943" spans="1:6">
      <c r="A943">
        <v>1110</v>
      </c>
      <c r="B943" t="s">
        <v>531</v>
      </c>
      <c r="C943">
        <v>15.4</v>
      </c>
      <c r="D943">
        <f>VLOOKUP(A943,收盤價!A:C,3,0)</f>
        <v>14.7</v>
      </c>
      <c r="E943" s="126">
        <v>-4.5454545454545525E-2</v>
      </c>
      <c r="F943">
        <v>40.200000000000003</v>
      </c>
    </row>
    <row r="944" spans="1:6">
      <c r="A944">
        <v>1445</v>
      </c>
      <c r="B944" t="s">
        <v>598</v>
      </c>
      <c r="C944">
        <v>9.66</v>
      </c>
      <c r="D944">
        <f>VLOOKUP(A944,收盤價!A:C,3,0)</f>
        <v>9.2200000000000006</v>
      </c>
      <c r="E944" s="126">
        <v>-4.5548654244306368E-2</v>
      </c>
      <c r="F944">
        <v>40.14</v>
      </c>
    </row>
    <row r="945" spans="1:6">
      <c r="A945">
        <v>6129</v>
      </c>
      <c r="B945" t="s">
        <v>1698</v>
      </c>
      <c r="C945">
        <v>7.86</v>
      </c>
      <c r="D945">
        <f>VLOOKUP(A945,收盤價!A:C,3,0)</f>
        <v>7.5</v>
      </c>
      <c r="E945" s="126">
        <v>-4.5801526717557293E-2</v>
      </c>
      <c r="F945">
        <v>40.08</v>
      </c>
    </row>
    <row r="946" spans="1:6">
      <c r="A946">
        <v>2801</v>
      </c>
      <c r="B946" t="s">
        <v>978</v>
      </c>
      <c r="C946">
        <v>17.350000000000001</v>
      </c>
      <c r="D946">
        <f>VLOOKUP(A946,收盤價!A:C,3,0)</f>
        <v>16.55</v>
      </c>
      <c r="E946" s="126">
        <v>-4.610951008645537E-2</v>
      </c>
      <c r="F946">
        <v>40.01</v>
      </c>
    </row>
    <row r="947" spans="1:6">
      <c r="A947">
        <v>3118</v>
      </c>
      <c r="B947" t="s">
        <v>1453</v>
      </c>
      <c r="C947">
        <v>40.85</v>
      </c>
      <c r="D947">
        <f>VLOOKUP(A947,收盤價!A:C,3,0)</f>
        <v>38.950000000000003</v>
      </c>
      <c r="E947" s="126">
        <v>-4.6511627906976709E-2</v>
      </c>
      <c r="F947">
        <v>39.950000000000003</v>
      </c>
    </row>
    <row r="948" spans="1:6">
      <c r="A948">
        <v>6112</v>
      </c>
      <c r="B948" t="s">
        <v>1239</v>
      </c>
      <c r="C948">
        <v>29</v>
      </c>
      <c r="D948">
        <f>VLOOKUP(A948,收盤價!A:C,3,0)</f>
        <v>27.65</v>
      </c>
      <c r="E948" s="126">
        <v>-4.6551724137931086E-2</v>
      </c>
      <c r="F948">
        <v>39.89</v>
      </c>
    </row>
    <row r="949" spans="1:6">
      <c r="A949">
        <v>2889</v>
      </c>
      <c r="B949" t="s">
        <v>1007</v>
      </c>
      <c r="C949">
        <v>8.14</v>
      </c>
      <c r="D949">
        <f>VLOOKUP(A949,收盤價!A:C,3,0)</f>
        <v>7.76</v>
      </c>
      <c r="E949" s="126">
        <v>-4.6683046683046778E-2</v>
      </c>
      <c r="F949">
        <v>39.82</v>
      </c>
    </row>
    <row r="950" spans="1:6">
      <c r="A950">
        <v>2459</v>
      </c>
      <c r="B950" t="s">
        <v>888</v>
      </c>
      <c r="C950">
        <v>35.049999999999997</v>
      </c>
      <c r="D950">
        <f>VLOOKUP(A950,收盤價!A:C,3,0)</f>
        <v>33.4</v>
      </c>
      <c r="E950" s="126">
        <v>-4.7075606276747464E-2</v>
      </c>
      <c r="F950">
        <v>39.76</v>
      </c>
    </row>
    <row r="951" spans="1:6">
      <c r="A951">
        <v>1734</v>
      </c>
      <c r="B951" t="s">
        <v>705</v>
      </c>
      <c r="C951">
        <v>30.65</v>
      </c>
      <c r="D951">
        <f>VLOOKUP(A951,收盤價!A:C,3,0)</f>
        <v>29.2</v>
      </c>
      <c r="E951" s="126">
        <v>-4.7308319738988559E-2</v>
      </c>
      <c r="F951">
        <v>39.700000000000003</v>
      </c>
    </row>
    <row r="952" spans="1:6">
      <c r="A952">
        <v>8087</v>
      </c>
      <c r="B952" t="s">
        <v>490</v>
      </c>
      <c r="C952">
        <v>8.3699999999999992</v>
      </c>
      <c r="D952">
        <f>VLOOKUP(A952,收盤價!A:C,3,0)</f>
        <v>7.97</v>
      </c>
      <c r="E952" s="126">
        <v>-4.7789725209079988E-2</v>
      </c>
      <c r="F952">
        <v>39.630000000000003</v>
      </c>
    </row>
    <row r="953" spans="1:6">
      <c r="A953">
        <v>8928</v>
      </c>
      <c r="B953" t="s">
        <v>510</v>
      </c>
      <c r="C953">
        <v>42.85</v>
      </c>
      <c r="D953">
        <f>VLOOKUP(A953,收盤價!A:C,3,0)</f>
        <v>40.799999999999997</v>
      </c>
      <c r="E953" s="126">
        <v>-4.7841306884480843E-2</v>
      </c>
      <c r="F953">
        <v>39.57</v>
      </c>
    </row>
    <row r="954" spans="1:6">
      <c r="A954">
        <v>8940</v>
      </c>
      <c r="B954" t="s">
        <v>1351</v>
      </c>
      <c r="C954">
        <v>16.7</v>
      </c>
      <c r="D954">
        <f>VLOOKUP(A954,收盤價!A:C,3,0)</f>
        <v>15.9</v>
      </c>
      <c r="E954" s="126">
        <v>-4.7904191616766408E-2</v>
      </c>
      <c r="F954">
        <v>39.51</v>
      </c>
    </row>
    <row r="955" spans="1:6">
      <c r="A955">
        <v>6185</v>
      </c>
      <c r="B955" t="s">
        <v>1714</v>
      </c>
      <c r="C955">
        <v>25</v>
      </c>
      <c r="D955">
        <f>VLOOKUP(A955,收盤價!A:C,3,0)</f>
        <v>23.8</v>
      </c>
      <c r="E955" s="126">
        <v>-4.7999999999999973E-2</v>
      </c>
      <c r="F955">
        <v>39.44</v>
      </c>
    </row>
    <row r="956" spans="1:6">
      <c r="A956">
        <v>1613</v>
      </c>
      <c r="B956" t="s">
        <v>671</v>
      </c>
      <c r="C956">
        <v>3.53</v>
      </c>
      <c r="D956">
        <f>VLOOKUP(A956,收盤價!A:C,3,0)</f>
        <v>3.36</v>
      </c>
      <c r="E956" s="126">
        <v>-4.8158640226628878E-2</v>
      </c>
      <c r="F956">
        <v>39.380000000000003</v>
      </c>
    </row>
    <row r="957" spans="1:6">
      <c r="A957">
        <v>5302</v>
      </c>
      <c r="B957" t="s">
        <v>400</v>
      </c>
      <c r="C957">
        <v>5.8</v>
      </c>
      <c r="D957">
        <f>VLOOKUP(A957,收盤價!A:C,3,0)</f>
        <v>5.52</v>
      </c>
      <c r="E957" s="126">
        <v>-4.8275862068965558E-2</v>
      </c>
      <c r="F957">
        <v>39.32</v>
      </c>
    </row>
    <row r="958" spans="1:6">
      <c r="A958">
        <v>6702</v>
      </c>
      <c r="B958" t="s">
        <v>1313</v>
      </c>
      <c r="C958">
        <v>7.86</v>
      </c>
      <c r="D958">
        <f>VLOOKUP(A958,收盤價!A:C,3,0)</f>
        <v>7.48</v>
      </c>
      <c r="E958" s="126">
        <v>-4.8346055979643747E-2</v>
      </c>
      <c r="F958">
        <v>39.25</v>
      </c>
    </row>
    <row r="959" spans="1:6">
      <c r="A959">
        <v>1436</v>
      </c>
      <c r="B959" t="s">
        <v>589</v>
      </c>
      <c r="C959">
        <v>41.3</v>
      </c>
      <c r="D959">
        <f>VLOOKUP(A959,收盤價!A:C,3,0)</f>
        <v>39.299999999999997</v>
      </c>
      <c r="E959" s="126">
        <v>-4.8426150121065381E-2</v>
      </c>
      <c r="F959">
        <v>39.19</v>
      </c>
    </row>
    <row r="960" spans="1:6">
      <c r="A960">
        <v>2504</v>
      </c>
      <c r="B960" t="s">
        <v>921</v>
      </c>
      <c r="C960">
        <v>9.6999999999999993</v>
      </c>
      <c r="D960">
        <f>VLOOKUP(A960,收盤價!A:C,3,0)</f>
        <v>9.23</v>
      </c>
      <c r="E960" s="126">
        <v>-4.8453608247422564E-2</v>
      </c>
      <c r="F960">
        <v>39.119999999999997</v>
      </c>
    </row>
    <row r="961" spans="1:6">
      <c r="A961">
        <v>3144</v>
      </c>
      <c r="B961" t="s">
        <v>276</v>
      </c>
      <c r="C961">
        <v>17.5</v>
      </c>
      <c r="D961">
        <f>VLOOKUP(A961,收盤價!A:C,3,0)</f>
        <v>16.649999999999999</v>
      </c>
      <c r="E961" s="126">
        <v>-4.8571428571428654E-2</v>
      </c>
      <c r="F961">
        <v>39.06</v>
      </c>
    </row>
    <row r="962" spans="1:6">
      <c r="A962">
        <v>1321</v>
      </c>
      <c r="B962" t="s">
        <v>567</v>
      </c>
      <c r="C962">
        <v>28.8</v>
      </c>
      <c r="D962">
        <f>VLOOKUP(A962,收盤價!A:C,3,0)</f>
        <v>27.4</v>
      </c>
      <c r="E962" s="126">
        <v>-4.8611111111111181E-2</v>
      </c>
      <c r="F962">
        <v>39</v>
      </c>
    </row>
    <row r="963" spans="1:6">
      <c r="A963">
        <v>1423</v>
      </c>
      <c r="B963" t="s">
        <v>585</v>
      </c>
      <c r="C963">
        <v>7.19</v>
      </c>
      <c r="D963">
        <f>VLOOKUP(A963,收盤價!A:C,3,0)</f>
        <v>6.84</v>
      </c>
      <c r="E963" s="126">
        <v>-4.8678720445062655E-2</v>
      </c>
      <c r="F963">
        <v>38.93</v>
      </c>
    </row>
    <row r="964" spans="1:6">
      <c r="A964">
        <v>2832</v>
      </c>
      <c r="B964" t="s">
        <v>984</v>
      </c>
      <c r="C964">
        <v>22.35</v>
      </c>
      <c r="D964">
        <f>VLOOKUP(A964,收盤價!A:C,3,0)</f>
        <v>21.25</v>
      </c>
      <c r="E964" s="126">
        <v>-4.9217002237136528E-2</v>
      </c>
      <c r="F964">
        <v>38.869999999999997</v>
      </c>
    </row>
    <row r="965" spans="1:6">
      <c r="A965">
        <v>8410</v>
      </c>
      <c r="B965" t="s">
        <v>495</v>
      </c>
      <c r="C965">
        <v>20.25</v>
      </c>
      <c r="D965">
        <f>VLOOKUP(A965,收盤價!A:C,3,0)</f>
        <v>19.25</v>
      </c>
      <c r="E965" s="126">
        <v>-4.9382716049382713E-2</v>
      </c>
      <c r="F965">
        <v>38.81</v>
      </c>
    </row>
    <row r="966" spans="1:6">
      <c r="A966">
        <v>4915</v>
      </c>
      <c r="B966" t="s">
        <v>1186</v>
      </c>
      <c r="C966">
        <v>43.15</v>
      </c>
      <c r="D966">
        <f>VLOOKUP(A966,收盤價!A:C,3,0)</f>
        <v>41</v>
      </c>
      <c r="E966" s="126">
        <v>-4.9826187717265324E-2</v>
      </c>
      <c r="F966">
        <v>38.74</v>
      </c>
    </row>
    <row r="967" spans="1:6">
      <c r="A967">
        <v>2704</v>
      </c>
      <c r="B967" t="s">
        <v>969</v>
      </c>
      <c r="C967">
        <v>28</v>
      </c>
      <c r="D967">
        <f>VLOOKUP(A967,收盤價!A:C,3,0)</f>
        <v>26.6</v>
      </c>
      <c r="E967" s="126">
        <v>-4.9999999999999947E-2</v>
      </c>
      <c r="F967">
        <v>38.68</v>
      </c>
    </row>
    <row r="968" spans="1:6">
      <c r="A968">
        <v>3272</v>
      </c>
      <c r="B968" t="s">
        <v>292</v>
      </c>
      <c r="C968">
        <v>69.900000000000006</v>
      </c>
      <c r="D968">
        <f>VLOOKUP(A968,收盤價!A:C,3,0)</f>
        <v>66.400000000000006</v>
      </c>
      <c r="E968" s="126">
        <v>-5.0071530758226034E-2</v>
      </c>
      <c r="F968">
        <v>38.619999999999997</v>
      </c>
    </row>
    <row r="969" spans="1:6">
      <c r="A969">
        <v>2468</v>
      </c>
      <c r="B969" t="s">
        <v>896</v>
      </c>
      <c r="C969">
        <v>10.95</v>
      </c>
      <c r="D969">
        <f>VLOOKUP(A969,收盤價!A:C,3,0)</f>
        <v>10.4</v>
      </c>
      <c r="E969" s="126">
        <v>-5.0228310502283012E-2</v>
      </c>
      <c r="F969">
        <v>38.549999999999997</v>
      </c>
    </row>
    <row r="970" spans="1:6">
      <c r="A970">
        <v>6116</v>
      </c>
      <c r="B970" t="s">
        <v>1241</v>
      </c>
      <c r="C970">
        <v>4.38</v>
      </c>
      <c r="D970">
        <f>VLOOKUP(A970,收盤價!A:C,3,0)</f>
        <v>4.16</v>
      </c>
      <c r="E970" s="126">
        <v>-5.0228310502283047E-2</v>
      </c>
      <c r="F970">
        <v>38.49</v>
      </c>
    </row>
    <row r="971" spans="1:6">
      <c r="A971">
        <v>3531</v>
      </c>
      <c r="B971" t="s">
        <v>1509</v>
      </c>
      <c r="C971">
        <v>15.9</v>
      </c>
      <c r="D971">
        <f>VLOOKUP(A971,收盤價!A:C,3,0)</f>
        <v>15.1</v>
      </c>
      <c r="E971" s="126">
        <v>-5.0314465408805076E-2</v>
      </c>
      <c r="F971">
        <v>38.43</v>
      </c>
    </row>
    <row r="972" spans="1:6">
      <c r="A972">
        <v>1909</v>
      </c>
      <c r="B972" t="s">
        <v>726</v>
      </c>
      <c r="C972">
        <v>11.9</v>
      </c>
      <c r="D972">
        <f>VLOOKUP(A972,收盤價!A:C,3,0)</f>
        <v>11.3</v>
      </c>
      <c r="E972" s="126">
        <v>-5.0420168067226857E-2</v>
      </c>
      <c r="F972">
        <v>38.36</v>
      </c>
    </row>
    <row r="973" spans="1:6">
      <c r="A973">
        <v>1447</v>
      </c>
      <c r="B973" t="s">
        <v>600</v>
      </c>
      <c r="C973">
        <v>9.31</v>
      </c>
      <c r="D973">
        <f>VLOOKUP(A973,收盤價!A:C,3,0)</f>
        <v>8.84</v>
      </c>
      <c r="E973" s="126">
        <v>-5.0483351235230997E-2</v>
      </c>
      <c r="F973">
        <v>38.299999999999997</v>
      </c>
    </row>
    <row r="974" spans="1:6">
      <c r="A974">
        <v>910801</v>
      </c>
      <c r="B974" t="s">
        <v>1359</v>
      </c>
      <c r="C974">
        <v>4.7300000000000004</v>
      </c>
      <c r="D974">
        <f>VLOOKUP(A974,收盤價!A:C,3,0)</f>
        <v>4.49</v>
      </c>
      <c r="E974" s="126">
        <v>-5.0739957716701943E-2</v>
      </c>
      <c r="F974">
        <v>38.24</v>
      </c>
    </row>
    <row r="975" spans="1:6">
      <c r="A975">
        <v>2115</v>
      </c>
      <c r="B975" t="s">
        <v>766</v>
      </c>
      <c r="C975">
        <v>44.8</v>
      </c>
      <c r="D975">
        <f>VLOOKUP(A975,收盤價!A:C,3,0)</f>
        <v>42.5</v>
      </c>
      <c r="E975" s="126">
        <v>-5.1339285714285657E-2</v>
      </c>
      <c r="F975">
        <v>38.17</v>
      </c>
    </row>
    <row r="976" spans="1:6">
      <c r="A976">
        <v>1441</v>
      </c>
      <c r="B976" t="s">
        <v>594</v>
      </c>
      <c r="C976">
        <v>7.59</v>
      </c>
      <c r="D976">
        <f>VLOOKUP(A976,收盤價!A:C,3,0)</f>
        <v>7.2</v>
      </c>
      <c r="E976" s="126">
        <v>-5.1383399209486126E-2</v>
      </c>
      <c r="F976">
        <v>38.11</v>
      </c>
    </row>
    <row r="977" spans="1:6">
      <c r="A977">
        <v>8240</v>
      </c>
      <c r="B977" t="s">
        <v>1790</v>
      </c>
      <c r="C977">
        <v>21.4</v>
      </c>
      <c r="D977">
        <f>VLOOKUP(A977,收盤價!A:C,3,0)</f>
        <v>20.3</v>
      </c>
      <c r="E977" s="126">
        <v>-5.1401869158878406E-2</v>
      </c>
      <c r="F977">
        <v>38.049999999999997</v>
      </c>
    </row>
    <row r="978" spans="1:6">
      <c r="A978">
        <v>3006</v>
      </c>
      <c r="B978" t="s">
        <v>1028</v>
      </c>
      <c r="C978">
        <v>31.1</v>
      </c>
      <c r="D978">
        <f>VLOOKUP(A978,收盤價!A:C,3,0)</f>
        <v>29.5</v>
      </c>
      <c r="E978" s="126">
        <v>-5.144694533762062E-2</v>
      </c>
      <c r="F978">
        <v>37.979999999999997</v>
      </c>
    </row>
    <row r="979" spans="1:6">
      <c r="A979">
        <v>6246</v>
      </c>
      <c r="B979" t="s">
        <v>465</v>
      </c>
      <c r="C979">
        <v>2.71</v>
      </c>
      <c r="D979">
        <f>VLOOKUP(A979,收盤價!A:C,3,0)</f>
        <v>2.57</v>
      </c>
      <c r="E979" s="126">
        <v>-5.1660516605166101E-2</v>
      </c>
      <c r="F979">
        <v>37.92</v>
      </c>
    </row>
    <row r="980" spans="1:6">
      <c r="A980">
        <v>9930</v>
      </c>
      <c r="B980" t="s">
        <v>1395</v>
      </c>
      <c r="C980">
        <v>65.5</v>
      </c>
      <c r="D980">
        <f>VLOOKUP(A980,收盤價!A:C,3,0)</f>
        <v>62.1</v>
      </c>
      <c r="E980" s="126">
        <v>-5.1908396946564864E-2</v>
      </c>
      <c r="F980">
        <v>37.86</v>
      </c>
    </row>
    <row r="981" spans="1:6">
      <c r="A981">
        <v>1316</v>
      </c>
      <c r="B981" t="s">
        <v>565</v>
      </c>
      <c r="C981">
        <v>10.35</v>
      </c>
      <c r="D981">
        <f>VLOOKUP(A981,收盤價!A:C,3,0)</f>
        <v>9.81</v>
      </c>
      <c r="E981" s="126">
        <v>-5.2173913043478182E-2</v>
      </c>
      <c r="F981">
        <v>37.79</v>
      </c>
    </row>
    <row r="982" spans="1:6">
      <c r="A982">
        <v>9933</v>
      </c>
      <c r="B982" t="s">
        <v>1397</v>
      </c>
      <c r="C982">
        <v>43.1</v>
      </c>
      <c r="D982">
        <f>VLOOKUP(A982,收盤價!A:C,3,0)</f>
        <v>40.85</v>
      </c>
      <c r="E982" s="126">
        <v>-5.2204176334106726E-2</v>
      </c>
      <c r="F982">
        <v>37.729999999999997</v>
      </c>
    </row>
    <row r="983" spans="1:6">
      <c r="A983">
        <v>6195</v>
      </c>
      <c r="B983" t="s">
        <v>450</v>
      </c>
      <c r="C983">
        <v>55.5</v>
      </c>
      <c r="D983">
        <f>VLOOKUP(A983,收盤價!A:C,3,0)</f>
        <v>52.6</v>
      </c>
      <c r="E983" s="126">
        <v>-5.2252252252252225E-2</v>
      </c>
      <c r="F983">
        <v>37.67</v>
      </c>
    </row>
    <row r="984" spans="1:6">
      <c r="A984">
        <v>5007</v>
      </c>
      <c r="B984" t="s">
        <v>1204</v>
      </c>
      <c r="C984">
        <v>66.900000000000006</v>
      </c>
      <c r="D984">
        <f>VLOOKUP(A984,收盤價!A:C,3,0)</f>
        <v>63.4</v>
      </c>
      <c r="E984" s="126">
        <v>-5.2316890881913408E-2</v>
      </c>
      <c r="F984">
        <v>37.6</v>
      </c>
    </row>
    <row r="985" spans="1:6">
      <c r="A985">
        <v>4933</v>
      </c>
      <c r="B985" t="s">
        <v>378</v>
      </c>
      <c r="C985">
        <v>25.8</v>
      </c>
      <c r="D985">
        <f>VLOOKUP(A985,收盤價!A:C,3,0)</f>
        <v>24.45</v>
      </c>
      <c r="E985" s="126">
        <v>-5.2325581395348889E-2</v>
      </c>
      <c r="F985">
        <v>37.54</v>
      </c>
    </row>
    <row r="986" spans="1:6">
      <c r="A986">
        <v>3491</v>
      </c>
      <c r="B986" t="s">
        <v>1499</v>
      </c>
      <c r="C986">
        <v>80.2</v>
      </c>
      <c r="D986">
        <f>VLOOKUP(A986,收盤價!A:C,3,0)</f>
        <v>76</v>
      </c>
      <c r="E986" s="126">
        <v>-5.2369077306733201E-2</v>
      </c>
      <c r="F986">
        <v>37.479999999999997</v>
      </c>
    </row>
    <row r="987" spans="1:6">
      <c r="A987">
        <v>8044</v>
      </c>
      <c r="B987" t="s">
        <v>1759</v>
      </c>
      <c r="C987">
        <v>372</v>
      </c>
      <c r="D987">
        <f>VLOOKUP(A987,收盤價!A:C,3,0)</f>
        <v>352.5</v>
      </c>
      <c r="E987" s="126">
        <v>-5.2419354838709679E-2</v>
      </c>
      <c r="F987">
        <v>37.409999999999997</v>
      </c>
    </row>
    <row r="988" spans="1:6">
      <c r="A988">
        <v>5536</v>
      </c>
      <c r="B988" t="s">
        <v>426</v>
      </c>
      <c r="C988">
        <v>93.3</v>
      </c>
      <c r="D988">
        <f>VLOOKUP(A988,收盤價!A:C,3,0)</f>
        <v>88.4</v>
      </c>
      <c r="E988" s="126">
        <v>-5.2518756698820918E-2</v>
      </c>
      <c r="F988">
        <v>37.35</v>
      </c>
    </row>
    <row r="989" spans="1:6">
      <c r="A989">
        <v>2415</v>
      </c>
      <c r="B989" t="s">
        <v>853</v>
      </c>
      <c r="C989">
        <v>14.25</v>
      </c>
      <c r="D989">
        <f>VLOOKUP(A989,收盤價!A:C,3,0)</f>
        <v>13.5</v>
      </c>
      <c r="E989" s="126">
        <v>-5.2631578947368418E-2</v>
      </c>
      <c r="F989">
        <v>37.29</v>
      </c>
    </row>
    <row r="990" spans="1:6">
      <c r="A990">
        <v>1617</v>
      </c>
      <c r="B990" t="s">
        <v>675</v>
      </c>
      <c r="C990">
        <v>7.2</v>
      </c>
      <c r="D990">
        <f>VLOOKUP(A990,收盤價!A:C,3,0)</f>
        <v>6.82</v>
      </c>
      <c r="E990" s="126">
        <v>-5.2777777777777764E-2</v>
      </c>
      <c r="F990">
        <v>37.22</v>
      </c>
    </row>
    <row r="991" spans="1:6">
      <c r="A991">
        <v>8942</v>
      </c>
      <c r="B991" t="s">
        <v>1823</v>
      </c>
      <c r="C991">
        <v>98.4</v>
      </c>
      <c r="D991">
        <f>VLOOKUP(A991,收盤價!A:C,3,0)</f>
        <v>93.2</v>
      </c>
      <c r="E991" s="126">
        <v>-5.2845528455284577E-2</v>
      </c>
      <c r="F991">
        <v>37.159999999999997</v>
      </c>
    </row>
    <row r="992" spans="1:6">
      <c r="A992">
        <v>6122</v>
      </c>
      <c r="B992" t="s">
        <v>1693</v>
      </c>
      <c r="C992">
        <v>6.99</v>
      </c>
      <c r="D992">
        <f>VLOOKUP(A992,收盤價!A:C,3,0)</f>
        <v>6.62</v>
      </c>
      <c r="E992" s="126">
        <v>-5.2932761087267535E-2</v>
      </c>
      <c r="F992">
        <v>37.1</v>
      </c>
    </row>
    <row r="993" spans="1:6">
      <c r="A993">
        <v>6269</v>
      </c>
      <c r="B993" t="s">
        <v>1287</v>
      </c>
      <c r="C993">
        <v>92.5</v>
      </c>
      <c r="D993">
        <f>VLOOKUP(A993,收盤價!A:C,3,0)</f>
        <v>87.6</v>
      </c>
      <c r="E993" s="126">
        <v>-5.2972972972973036E-2</v>
      </c>
      <c r="F993">
        <v>37.03</v>
      </c>
    </row>
    <row r="994" spans="1:6">
      <c r="A994">
        <v>4128</v>
      </c>
      <c r="B994" t="s">
        <v>1547</v>
      </c>
      <c r="C994">
        <v>27.35</v>
      </c>
      <c r="D994">
        <f>VLOOKUP(A994,收盤價!A:C,3,0)</f>
        <v>25.9</v>
      </c>
      <c r="E994" s="126">
        <v>-5.3016453382084196E-2</v>
      </c>
      <c r="F994">
        <v>36.97</v>
      </c>
    </row>
    <row r="995" spans="1:6">
      <c r="A995">
        <v>3019</v>
      </c>
      <c r="B995" t="s">
        <v>1037</v>
      </c>
      <c r="C995">
        <v>32</v>
      </c>
      <c r="D995">
        <f>VLOOKUP(A995,收盤價!A:C,3,0)</f>
        <v>30.3</v>
      </c>
      <c r="E995" s="126">
        <v>-5.3124999999999978E-2</v>
      </c>
      <c r="F995">
        <v>36.909999999999997</v>
      </c>
    </row>
    <row r="996" spans="1:6">
      <c r="A996">
        <v>5392</v>
      </c>
      <c r="B996" t="s">
        <v>1646</v>
      </c>
      <c r="C996">
        <v>54.4</v>
      </c>
      <c r="D996">
        <f>VLOOKUP(A996,收盤價!A:C,3,0)</f>
        <v>51.5</v>
      </c>
      <c r="E996" s="126">
        <v>-5.3308823529411742E-2</v>
      </c>
      <c r="F996">
        <v>36.840000000000003</v>
      </c>
    </row>
    <row r="997" spans="1:6">
      <c r="A997">
        <v>3130</v>
      </c>
      <c r="B997" t="s">
        <v>1079</v>
      </c>
      <c r="C997">
        <v>150</v>
      </c>
      <c r="D997">
        <f>VLOOKUP(A997,收盤價!A:C,3,0)</f>
        <v>142</v>
      </c>
      <c r="E997" s="126">
        <v>-5.3333333333333337E-2</v>
      </c>
      <c r="F997">
        <v>36.78</v>
      </c>
    </row>
    <row r="998" spans="1:6">
      <c r="A998">
        <v>8024</v>
      </c>
      <c r="B998" t="s">
        <v>480</v>
      </c>
      <c r="C998">
        <v>11.2</v>
      </c>
      <c r="D998">
        <f>VLOOKUP(A998,收盤價!A:C,3,0)</f>
        <v>10.6</v>
      </c>
      <c r="E998" s="126">
        <v>-5.3571428571428541E-2</v>
      </c>
      <c r="F998">
        <v>36.72</v>
      </c>
    </row>
    <row r="999" spans="1:6">
      <c r="A999">
        <v>4430</v>
      </c>
      <c r="B999" t="s">
        <v>1572</v>
      </c>
      <c r="C999">
        <v>29.8</v>
      </c>
      <c r="D999">
        <f>VLOOKUP(A999,收盤價!A:C,3,0)</f>
        <v>28.2</v>
      </c>
      <c r="E999" s="126">
        <v>-5.3691275167785282E-2</v>
      </c>
      <c r="F999">
        <v>36.65</v>
      </c>
    </row>
    <row r="1000" spans="1:6">
      <c r="A1000">
        <v>6508</v>
      </c>
      <c r="B1000" t="s">
        <v>476</v>
      </c>
      <c r="C1000">
        <v>28.55</v>
      </c>
      <c r="D1000">
        <f>VLOOKUP(A1000,收盤價!A:C,3,0)</f>
        <v>27</v>
      </c>
      <c r="E1000" s="126">
        <v>-5.4290718038528918E-2</v>
      </c>
      <c r="F1000">
        <v>36.590000000000003</v>
      </c>
    </row>
    <row r="1001" spans="1:6">
      <c r="A1001">
        <v>2505</v>
      </c>
      <c r="B1001" t="s">
        <v>922</v>
      </c>
      <c r="C1001">
        <v>11.85</v>
      </c>
      <c r="D1001">
        <f>VLOOKUP(A1001,收盤價!A:C,3,0)</f>
        <v>11.2</v>
      </c>
      <c r="E1001" s="126">
        <v>-5.4852320675105516E-2</v>
      </c>
      <c r="F1001">
        <v>36.53</v>
      </c>
    </row>
    <row r="1002" spans="1:6">
      <c r="A1002">
        <v>8183</v>
      </c>
      <c r="B1002" t="s">
        <v>1789</v>
      </c>
      <c r="C1002">
        <v>5.82</v>
      </c>
      <c r="D1002">
        <f>VLOOKUP(A1002,收盤價!A:C,3,0)</f>
        <v>5.5</v>
      </c>
      <c r="E1002" s="126">
        <v>-5.4982817869415855E-2</v>
      </c>
      <c r="F1002">
        <v>36.46</v>
      </c>
    </row>
    <row r="1003" spans="1:6">
      <c r="A1003">
        <v>6283</v>
      </c>
      <c r="B1003" t="s">
        <v>1293</v>
      </c>
      <c r="C1003">
        <v>4.8899999999999997</v>
      </c>
      <c r="D1003">
        <f>VLOOKUP(A1003,收盤價!A:C,3,0)</f>
        <v>4.62</v>
      </c>
      <c r="E1003" s="126">
        <v>-5.5214723926380285E-2</v>
      </c>
      <c r="F1003">
        <v>36.4</v>
      </c>
    </row>
    <row r="1004" spans="1:6">
      <c r="A1004">
        <v>1515</v>
      </c>
      <c r="B1004" t="s">
        <v>633</v>
      </c>
      <c r="C1004">
        <v>11.7</v>
      </c>
      <c r="D1004">
        <f>VLOOKUP(A1004,收盤價!A:C,3,0)</f>
        <v>11.05</v>
      </c>
      <c r="E1004" s="126">
        <v>-5.5555555555555435E-2</v>
      </c>
      <c r="F1004">
        <v>36.33</v>
      </c>
    </row>
    <row r="1005" spans="1:6">
      <c r="A1005">
        <v>3376</v>
      </c>
      <c r="B1005" t="s">
        <v>1097</v>
      </c>
      <c r="C1005">
        <v>108</v>
      </c>
      <c r="D1005">
        <f>VLOOKUP(A1005,收盤價!A:C,3,0)</f>
        <v>102</v>
      </c>
      <c r="E1005" s="126">
        <v>-5.5555555555555552E-2</v>
      </c>
      <c r="F1005">
        <v>36.270000000000003</v>
      </c>
    </row>
    <row r="1006" spans="1:6">
      <c r="A1006">
        <v>2923</v>
      </c>
      <c r="B1006" t="s">
        <v>1022</v>
      </c>
      <c r="C1006">
        <v>25</v>
      </c>
      <c r="D1006">
        <f>VLOOKUP(A1006,收盤價!A:C,3,0)</f>
        <v>23.6</v>
      </c>
      <c r="E1006" s="126">
        <v>-5.5999999999999946E-2</v>
      </c>
      <c r="F1006">
        <v>36.21</v>
      </c>
    </row>
    <row r="1007" spans="1:6">
      <c r="A1007">
        <v>1517</v>
      </c>
      <c r="B1007" t="s">
        <v>635</v>
      </c>
      <c r="C1007">
        <v>12.4</v>
      </c>
      <c r="D1007">
        <f>VLOOKUP(A1007,收盤價!A:C,3,0)</f>
        <v>11.7</v>
      </c>
      <c r="E1007" s="126">
        <v>-5.6451612903225888E-2</v>
      </c>
      <c r="F1007">
        <v>36.14</v>
      </c>
    </row>
    <row r="1008" spans="1:6">
      <c r="A1008">
        <v>2324</v>
      </c>
      <c r="B1008" t="s">
        <v>789</v>
      </c>
      <c r="C1008">
        <v>21.25</v>
      </c>
      <c r="D1008">
        <f>VLOOKUP(A1008,收盤價!A:C,3,0)</f>
        <v>20.05</v>
      </c>
      <c r="E1008" s="126">
        <v>-5.6470588235294085E-2</v>
      </c>
      <c r="F1008">
        <v>36.08</v>
      </c>
    </row>
    <row r="1009" spans="1:6">
      <c r="A1009">
        <v>6165</v>
      </c>
      <c r="B1009" t="s">
        <v>1256</v>
      </c>
      <c r="C1009">
        <v>11.5</v>
      </c>
      <c r="D1009">
        <f>VLOOKUP(A1009,收盤價!A:C,3,0)</f>
        <v>10.85</v>
      </c>
      <c r="E1009" s="126">
        <v>-5.652173913043481E-2</v>
      </c>
      <c r="F1009">
        <v>36.020000000000003</v>
      </c>
    </row>
    <row r="1010" spans="1:6">
      <c r="A1010">
        <v>3162</v>
      </c>
      <c r="B1010" t="s">
        <v>1458</v>
      </c>
      <c r="C1010">
        <v>6.17</v>
      </c>
      <c r="D1010">
        <f>VLOOKUP(A1010,收盤價!A:C,3,0)</f>
        <v>5.82</v>
      </c>
      <c r="E1010" s="126">
        <v>-5.6726094003241433E-2</v>
      </c>
      <c r="F1010">
        <v>35.950000000000003</v>
      </c>
    </row>
    <row r="1011" spans="1:6">
      <c r="A1011">
        <v>6243</v>
      </c>
      <c r="B1011" t="s">
        <v>1284</v>
      </c>
      <c r="C1011">
        <v>18.5</v>
      </c>
      <c r="D1011">
        <f>VLOOKUP(A1011,收盤價!A:C,3,0)</f>
        <v>17.45</v>
      </c>
      <c r="E1011" s="126">
        <v>-5.6756756756756795E-2</v>
      </c>
      <c r="F1011">
        <v>35.89</v>
      </c>
    </row>
    <row r="1012" spans="1:6">
      <c r="A1012">
        <v>1580</v>
      </c>
      <c r="B1012" t="s">
        <v>1417</v>
      </c>
      <c r="C1012">
        <v>114.5</v>
      </c>
      <c r="D1012">
        <f>VLOOKUP(A1012,收盤價!A:C,3,0)</f>
        <v>108</v>
      </c>
      <c r="E1012" s="126">
        <v>-5.6768558951965066E-2</v>
      </c>
      <c r="F1012">
        <v>35.83</v>
      </c>
    </row>
    <row r="1013" spans="1:6">
      <c r="A1013">
        <v>1305</v>
      </c>
      <c r="B1013" t="s">
        <v>555</v>
      </c>
      <c r="C1013">
        <v>15.85</v>
      </c>
      <c r="D1013">
        <f>VLOOKUP(A1013,收盤價!A:C,3,0)</f>
        <v>14.95</v>
      </c>
      <c r="E1013" s="126">
        <v>-5.6782334384858066E-2</v>
      </c>
      <c r="F1013">
        <v>35.76</v>
      </c>
    </row>
    <row r="1014" spans="1:6">
      <c r="A1014">
        <v>6219</v>
      </c>
      <c r="B1014" t="s">
        <v>1726</v>
      </c>
      <c r="C1014">
        <v>12.3</v>
      </c>
      <c r="D1014">
        <f>VLOOKUP(A1014,收盤價!A:C,3,0)</f>
        <v>11.6</v>
      </c>
      <c r="E1014" s="126">
        <v>-5.6910569105691138E-2</v>
      </c>
      <c r="F1014">
        <v>35.700000000000003</v>
      </c>
    </row>
    <row r="1015" spans="1:6">
      <c r="A1015">
        <v>1528</v>
      </c>
      <c r="B1015" t="s">
        <v>643</v>
      </c>
      <c r="C1015">
        <v>9.6300000000000008</v>
      </c>
      <c r="D1015">
        <f>VLOOKUP(A1015,收盤價!A:C,3,0)</f>
        <v>9.08</v>
      </c>
      <c r="E1015" s="126">
        <v>-5.7113187954309516E-2</v>
      </c>
      <c r="F1015">
        <v>35.64</v>
      </c>
    </row>
    <row r="1016" spans="1:6">
      <c r="A1016">
        <v>2352</v>
      </c>
      <c r="B1016" t="s">
        <v>807</v>
      </c>
      <c r="C1016">
        <v>11.35</v>
      </c>
      <c r="D1016">
        <f>VLOOKUP(A1016,收盤價!A:C,3,0)</f>
        <v>10.7</v>
      </c>
      <c r="E1016" s="126">
        <v>-5.7268722466960388E-2</v>
      </c>
      <c r="F1016">
        <v>35.57</v>
      </c>
    </row>
    <row r="1017" spans="1:6">
      <c r="A1017">
        <v>5291</v>
      </c>
      <c r="B1017" t="s">
        <v>398</v>
      </c>
      <c r="C1017">
        <v>19.100000000000001</v>
      </c>
      <c r="D1017">
        <f>VLOOKUP(A1017,收盤價!A:C,3,0)</f>
        <v>18</v>
      </c>
      <c r="E1017" s="126">
        <v>-5.7591623036649282E-2</v>
      </c>
      <c r="F1017">
        <v>35.51</v>
      </c>
    </row>
    <row r="1018" spans="1:6">
      <c r="A1018">
        <v>3611</v>
      </c>
      <c r="B1018" t="s">
        <v>333</v>
      </c>
      <c r="C1018">
        <v>295</v>
      </c>
      <c r="D1018">
        <f>VLOOKUP(A1018,收盤價!A:C,3,0)</f>
        <v>278</v>
      </c>
      <c r="E1018" s="126">
        <v>-5.7627118644067797E-2</v>
      </c>
      <c r="F1018">
        <v>35.450000000000003</v>
      </c>
    </row>
    <row r="1019" spans="1:6">
      <c r="A1019">
        <v>2538</v>
      </c>
      <c r="B1019" t="s">
        <v>938</v>
      </c>
      <c r="C1019">
        <v>17.350000000000001</v>
      </c>
      <c r="D1019">
        <f>VLOOKUP(A1019,收盤價!A:C,3,0)</f>
        <v>16.350000000000001</v>
      </c>
      <c r="E1019" s="126">
        <v>-5.7636887608069162E-2</v>
      </c>
      <c r="F1019">
        <v>35.380000000000003</v>
      </c>
    </row>
    <row r="1020" spans="1:6">
      <c r="A1020">
        <v>1725</v>
      </c>
      <c r="B1020" t="s">
        <v>697</v>
      </c>
      <c r="C1020">
        <v>14.65</v>
      </c>
      <c r="D1020">
        <f>VLOOKUP(A1020,收盤價!A:C,3,0)</f>
        <v>13.8</v>
      </c>
      <c r="E1020" s="126">
        <v>-5.8020477815699634E-2</v>
      </c>
      <c r="F1020">
        <v>35.32</v>
      </c>
    </row>
    <row r="1021" spans="1:6">
      <c r="A1021">
        <v>5522</v>
      </c>
      <c r="B1021" t="s">
        <v>1224</v>
      </c>
      <c r="C1021">
        <v>37.799999999999997</v>
      </c>
      <c r="D1021">
        <f>VLOOKUP(A1021,收盤價!A:C,3,0)</f>
        <v>35.6</v>
      </c>
      <c r="E1021" s="126">
        <v>-5.8201058201058094E-2</v>
      </c>
      <c r="F1021">
        <v>35.26</v>
      </c>
    </row>
    <row r="1022" spans="1:6">
      <c r="A1022">
        <v>3058</v>
      </c>
      <c r="B1022" t="s">
        <v>1073</v>
      </c>
      <c r="C1022">
        <v>9.6999999999999993</v>
      </c>
      <c r="D1022">
        <f>VLOOKUP(A1022,收盤價!A:C,3,0)</f>
        <v>9.1300000000000008</v>
      </c>
      <c r="E1022" s="126">
        <v>-5.8762886597937998E-2</v>
      </c>
      <c r="F1022">
        <v>35.19</v>
      </c>
    </row>
    <row r="1023" spans="1:6">
      <c r="A1023">
        <v>8937</v>
      </c>
      <c r="B1023" t="s">
        <v>1822</v>
      </c>
      <c r="C1023">
        <v>12.75</v>
      </c>
      <c r="D1023">
        <f>VLOOKUP(A1023,收盤價!A:C,3,0)</f>
        <v>12</v>
      </c>
      <c r="E1023" s="126">
        <v>-5.8823529411764705E-2</v>
      </c>
      <c r="F1023">
        <v>35.130000000000003</v>
      </c>
    </row>
    <row r="1024" spans="1:6">
      <c r="A1024">
        <v>2615</v>
      </c>
      <c r="B1024" t="s">
        <v>960</v>
      </c>
      <c r="C1024">
        <v>21.25</v>
      </c>
      <c r="D1024">
        <f>VLOOKUP(A1024,收盤價!A:C,3,0)</f>
        <v>20</v>
      </c>
      <c r="E1024" s="126">
        <v>-5.8823529411764705E-2</v>
      </c>
      <c r="F1024">
        <v>35.07</v>
      </c>
    </row>
    <row r="1025" spans="1:6">
      <c r="A1025">
        <v>6229</v>
      </c>
      <c r="B1025" t="s">
        <v>458</v>
      </c>
      <c r="C1025">
        <v>12.75</v>
      </c>
      <c r="D1025">
        <f>VLOOKUP(A1025,收盤價!A:C,3,0)</f>
        <v>12</v>
      </c>
      <c r="E1025" s="126">
        <v>-5.8823529411764705E-2</v>
      </c>
      <c r="F1025">
        <v>35</v>
      </c>
    </row>
    <row r="1026" spans="1:6">
      <c r="A1026">
        <v>8088</v>
      </c>
      <c r="B1026" t="s">
        <v>491</v>
      </c>
      <c r="C1026">
        <v>17.850000000000001</v>
      </c>
      <c r="D1026">
        <f>VLOOKUP(A1026,收盤價!A:C,3,0)</f>
        <v>16.8</v>
      </c>
      <c r="E1026" s="126">
        <v>-5.882352941176474E-2</v>
      </c>
      <c r="F1026">
        <v>34.94</v>
      </c>
    </row>
    <row r="1027" spans="1:6">
      <c r="A1027">
        <v>4716</v>
      </c>
      <c r="B1027" t="s">
        <v>1590</v>
      </c>
      <c r="C1027">
        <v>10.95</v>
      </c>
      <c r="D1027">
        <f>VLOOKUP(A1027,收盤價!A:C,3,0)</f>
        <v>10.3</v>
      </c>
      <c r="E1027" s="126">
        <v>-5.9360730593607178E-2</v>
      </c>
      <c r="F1027">
        <v>34.880000000000003</v>
      </c>
    </row>
    <row r="1028" spans="1:6">
      <c r="A1028">
        <v>2302</v>
      </c>
      <c r="B1028" t="s">
        <v>777</v>
      </c>
      <c r="C1028">
        <v>6.57</v>
      </c>
      <c r="D1028">
        <f>VLOOKUP(A1028,收盤價!A:C,3,0)</f>
        <v>6.18</v>
      </c>
      <c r="E1028" s="126">
        <v>-5.9360730593607393E-2</v>
      </c>
      <c r="F1028">
        <v>34.81</v>
      </c>
    </row>
    <row r="1029" spans="1:6">
      <c r="A1029">
        <v>3535</v>
      </c>
      <c r="B1029" t="s">
        <v>1120</v>
      </c>
      <c r="C1029">
        <v>10.1</v>
      </c>
      <c r="D1029">
        <f>VLOOKUP(A1029,收盤價!A:C,3,0)</f>
        <v>9.5</v>
      </c>
      <c r="E1029" s="126">
        <v>-5.9405940594059375E-2</v>
      </c>
      <c r="F1029">
        <v>34.75</v>
      </c>
    </row>
    <row r="1030" spans="1:6">
      <c r="A1030">
        <v>3532</v>
      </c>
      <c r="B1030" t="s">
        <v>1118</v>
      </c>
      <c r="C1030">
        <v>40.4</v>
      </c>
      <c r="D1030">
        <f>VLOOKUP(A1030,收盤價!A:C,3,0)</f>
        <v>38</v>
      </c>
      <c r="E1030" s="126">
        <v>-5.9405940594059375E-2</v>
      </c>
      <c r="F1030">
        <v>34.69</v>
      </c>
    </row>
    <row r="1031" spans="1:6">
      <c r="A1031">
        <v>2706</v>
      </c>
      <c r="B1031" t="s">
        <v>971</v>
      </c>
      <c r="C1031">
        <v>20.100000000000001</v>
      </c>
      <c r="D1031">
        <f>VLOOKUP(A1031,收盤價!A:C,3,0)</f>
        <v>18.899999999999999</v>
      </c>
      <c r="E1031" s="126">
        <v>-5.970149253731357E-2</v>
      </c>
      <c r="F1031">
        <v>34.619999999999997</v>
      </c>
    </row>
    <row r="1032" spans="1:6">
      <c r="A1032">
        <v>9940</v>
      </c>
      <c r="B1032" t="s">
        <v>1403</v>
      </c>
      <c r="C1032">
        <v>29.25</v>
      </c>
      <c r="D1032">
        <f>VLOOKUP(A1032,收盤價!A:C,3,0)</f>
        <v>27.5</v>
      </c>
      <c r="E1032" s="126">
        <v>-5.9829059829059832E-2</v>
      </c>
      <c r="F1032">
        <v>34.56</v>
      </c>
    </row>
    <row r="1033" spans="1:6">
      <c r="A1033">
        <v>3218</v>
      </c>
      <c r="B1033" t="s">
        <v>282</v>
      </c>
      <c r="C1033">
        <v>26.7</v>
      </c>
      <c r="D1033">
        <f>VLOOKUP(A1033,收盤價!A:C,3,0)</f>
        <v>25.1</v>
      </c>
      <c r="E1033" s="126">
        <v>-5.9925093632958726E-2</v>
      </c>
      <c r="F1033">
        <v>34.5</v>
      </c>
    </row>
    <row r="1034" spans="1:6">
      <c r="A1034">
        <v>2812</v>
      </c>
      <c r="B1034" t="s">
        <v>980</v>
      </c>
      <c r="C1034">
        <v>9.94</v>
      </c>
      <c r="D1034">
        <f>VLOOKUP(A1034,收盤價!A:C,3,0)</f>
        <v>9.34</v>
      </c>
      <c r="E1034" s="126">
        <v>-6.0362173038229341E-2</v>
      </c>
      <c r="F1034">
        <v>34.43</v>
      </c>
    </row>
    <row r="1035" spans="1:6">
      <c r="A1035">
        <v>1702</v>
      </c>
      <c r="B1035" t="s">
        <v>679</v>
      </c>
      <c r="C1035">
        <v>70.8</v>
      </c>
      <c r="D1035">
        <f>VLOOKUP(A1035,收盤價!A:C,3,0)</f>
        <v>66.5</v>
      </c>
      <c r="E1035" s="126">
        <v>-6.0734463276836119E-2</v>
      </c>
      <c r="F1035">
        <v>34.369999999999997</v>
      </c>
    </row>
    <row r="1036" spans="1:6">
      <c r="A1036">
        <v>3005</v>
      </c>
      <c r="B1036" t="s">
        <v>1027</v>
      </c>
      <c r="C1036">
        <v>22.85</v>
      </c>
      <c r="D1036">
        <f>VLOOKUP(A1036,收盤價!A:C,3,0)</f>
        <v>21.45</v>
      </c>
      <c r="E1036" s="126">
        <v>-6.1269146608315186E-2</v>
      </c>
      <c r="F1036">
        <v>34.31</v>
      </c>
    </row>
    <row r="1037" spans="1:6">
      <c r="A1037">
        <v>5519</v>
      </c>
      <c r="B1037" t="s">
        <v>1222</v>
      </c>
      <c r="C1037">
        <v>13.85</v>
      </c>
      <c r="D1037">
        <f>VLOOKUP(A1037,收盤價!A:C,3,0)</f>
        <v>13</v>
      </c>
      <c r="E1037" s="126">
        <v>-6.1371841155234634E-2</v>
      </c>
      <c r="F1037">
        <v>34.24</v>
      </c>
    </row>
    <row r="1038" spans="1:6">
      <c r="A1038">
        <v>3609</v>
      </c>
      <c r="B1038" t="s">
        <v>332</v>
      </c>
      <c r="C1038">
        <v>13</v>
      </c>
      <c r="D1038">
        <f>VLOOKUP(A1038,收盤價!A:C,3,0)</f>
        <v>12.2</v>
      </c>
      <c r="E1038" s="126">
        <v>-6.153846153846159E-2</v>
      </c>
      <c r="F1038">
        <v>34.18</v>
      </c>
    </row>
    <row r="1039" spans="1:6">
      <c r="A1039">
        <v>9105</v>
      </c>
      <c r="B1039" t="s">
        <v>1356</v>
      </c>
      <c r="C1039">
        <v>3.57</v>
      </c>
      <c r="D1039">
        <f>VLOOKUP(A1039,收盤價!A:C,3,0)</f>
        <v>3.35</v>
      </c>
      <c r="E1039" s="126">
        <v>-6.1624649859943911E-2</v>
      </c>
      <c r="F1039">
        <v>34.119999999999997</v>
      </c>
    </row>
    <row r="1040" spans="1:6">
      <c r="A1040">
        <v>5014</v>
      </c>
      <c r="B1040" t="s">
        <v>1614</v>
      </c>
      <c r="C1040">
        <v>7.89</v>
      </c>
      <c r="D1040">
        <f>VLOOKUP(A1040,收盤價!A:C,3,0)</f>
        <v>7.4</v>
      </c>
      <c r="E1040" s="126">
        <v>-6.2103929024081031E-2</v>
      </c>
      <c r="F1040">
        <v>34.049999999999997</v>
      </c>
    </row>
    <row r="1041" spans="1:6">
      <c r="A1041">
        <v>2332</v>
      </c>
      <c r="B1041" t="s">
        <v>796</v>
      </c>
      <c r="C1041">
        <v>12.05</v>
      </c>
      <c r="D1041">
        <f>VLOOKUP(A1041,收盤價!A:C,3,0)</f>
        <v>11.3</v>
      </c>
      <c r="E1041" s="126">
        <v>-6.2240663900414932E-2</v>
      </c>
      <c r="F1041">
        <v>33.99</v>
      </c>
    </row>
    <row r="1042" spans="1:6">
      <c r="A1042">
        <v>1262</v>
      </c>
      <c r="B1042" t="s">
        <v>551</v>
      </c>
      <c r="C1042">
        <v>128.5</v>
      </c>
      <c r="D1042">
        <f>VLOOKUP(A1042,收盤價!A:C,3,0)</f>
        <v>120.5</v>
      </c>
      <c r="E1042" s="126">
        <v>-6.2256809338521402E-2</v>
      </c>
      <c r="F1042">
        <v>33.93</v>
      </c>
    </row>
    <row r="1043" spans="1:6">
      <c r="A1043">
        <v>2427</v>
      </c>
      <c r="B1043" t="s">
        <v>862</v>
      </c>
      <c r="C1043">
        <v>6.82</v>
      </c>
      <c r="D1043">
        <f>VLOOKUP(A1043,收盤價!A:C,3,0)</f>
        <v>6.39</v>
      </c>
      <c r="E1043" s="126">
        <v>-6.30498533724341E-2</v>
      </c>
      <c r="F1043">
        <v>33.86</v>
      </c>
    </row>
    <row r="1044" spans="1:6">
      <c r="A1044">
        <v>2106</v>
      </c>
      <c r="B1044" t="s">
        <v>761</v>
      </c>
      <c r="C1044">
        <v>53.1</v>
      </c>
      <c r="D1044">
        <f>VLOOKUP(A1044,收盤價!A:C,3,0)</f>
        <v>49.75</v>
      </c>
      <c r="E1044" s="126">
        <v>-6.3088512241054634E-2</v>
      </c>
      <c r="F1044">
        <v>33.799999999999997</v>
      </c>
    </row>
    <row r="1045" spans="1:6">
      <c r="A1045">
        <v>2020</v>
      </c>
      <c r="B1045" t="s">
        <v>739</v>
      </c>
      <c r="C1045">
        <v>13.45</v>
      </c>
      <c r="D1045">
        <f>VLOOKUP(A1045,收盤價!A:C,3,0)</f>
        <v>12.6</v>
      </c>
      <c r="E1045" s="126">
        <v>-6.3197026022304814E-2</v>
      </c>
      <c r="F1045">
        <v>33.729999999999997</v>
      </c>
    </row>
    <row r="1046" spans="1:6">
      <c r="A1046">
        <v>4549</v>
      </c>
      <c r="B1046" t="s">
        <v>366</v>
      </c>
      <c r="C1046">
        <v>75.7</v>
      </c>
      <c r="D1046">
        <f>VLOOKUP(A1046,收盤價!A:C,3,0)</f>
        <v>70.900000000000006</v>
      </c>
      <c r="E1046" s="126">
        <v>-6.3408190224570629E-2</v>
      </c>
      <c r="F1046">
        <v>33.67</v>
      </c>
    </row>
    <row r="1047" spans="1:6">
      <c r="A1047">
        <v>4725</v>
      </c>
      <c r="B1047" t="s">
        <v>1178</v>
      </c>
      <c r="C1047">
        <v>18.05</v>
      </c>
      <c r="D1047">
        <f>VLOOKUP(A1047,收盤價!A:C,3,0)</f>
        <v>16.899999999999999</v>
      </c>
      <c r="E1047" s="126">
        <v>-6.3711911357340834E-2</v>
      </c>
      <c r="F1047">
        <v>33.61</v>
      </c>
    </row>
    <row r="1048" spans="1:6">
      <c r="A1048">
        <v>8039</v>
      </c>
      <c r="B1048" t="s">
        <v>1318</v>
      </c>
      <c r="C1048">
        <v>40.6</v>
      </c>
      <c r="D1048">
        <f>VLOOKUP(A1048,收盤價!A:C,3,0)</f>
        <v>38</v>
      </c>
      <c r="E1048" s="126">
        <v>-6.4039408866995107E-2</v>
      </c>
      <c r="F1048">
        <v>33.54</v>
      </c>
    </row>
    <row r="1049" spans="1:6">
      <c r="A1049">
        <v>5904</v>
      </c>
      <c r="B1049" t="s">
        <v>431</v>
      </c>
      <c r="C1049">
        <v>374</v>
      </c>
      <c r="D1049">
        <f>VLOOKUP(A1049,收盤價!A:C,3,0)</f>
        <v>350</v>
      </c>
      <c r="E1049" s="126">
        <v>-6.4171122994652413E-2</v>
      </c>
      <c r="F1049">
        <v>33.479999999999997</v>
      </c>
    </row>
    <row r="1050" spans="1:6">
      <c r="A1050">
        <v>3018</v>
      </c>
      <c r="B1050" t="s">
        <v>1036</v>
      </c>
      <c r="C1050">
        <v>18.649999999999999</v>
      </c>
      <c r="D1050">
        <f>VLOOKUP(A1050,收盤價!A:C,3,0)</f>
        <v>17.45</v>
      </c>
      <c r="E1050" s="126">
        <v>-6.4343163538873968E-2</v>
      </c>
      <c r="F1050">
        <v>33.42</v>
      </c>
    </row>
    <row r="1051" spans="1:6">
      <c r="A1051">
        <v>2392</v>
      </c>
      <c r="B1051" t="s">
        <v>838</v>
      </c>
      <c r="C1051">
        <v>48.9</v>
      </c>
      <c r="D1051">
        <f>VLOOKUP(A1051,收盤價!A:C,3,0)</f>
        <v>45.75</v>
      </c>
      <c r="E1051" s="126">
        <v>-6.4417177914110405E-2</v>
      </c>
      <c r="F1051">
        <v>33.35</v>
      </c>
    </row>
    <row r="1052" spans="1:6">
      <c r="A1052">
        <v>4908</v>
      </c>
      <c r="B1052" t="s">
        <v>1600</v>
      </c>
      <c r="C1052">
        <v>21.55</v>
      </c>
      <c r="D1052">
        <f>VLOOKUP(A1052,收盤價!A:C,3,0)</f>
        <v>20.149999999999999</v>
      </c>
      <c r="E1052" s="126">
        <v>-6.4965197215777357E-2</v>
      </c>
      <c r="F1052">
        <v>33.29</v>
      </c>
    </row>
    <row r="1053" spans="1:6">
      <c r="A1053">
        <v>6020</v>
      </c>
      <c r="B1053" t="s">
        <v>432</v>
      </c>
      <c r="C1053">
        <v>14.6</v>
      </c>
      <c r="D1053">
        <f>VLOOKUP(A1053,收盤價!A:C,3,0)</f>
        <v>13.65</v>
      </c>
      <c r="E1053" s="126">
        <v>-6.5068493150684886E-2</v>
      </c>
      <c r="F1053">
        <v>33.229999999999997</v>
      </c>
    </row>
    <row r="1054" spans="1:6">
      <c r="A1054">
        <v>3356</v>
      </c>
      <c r="B1054" t="s">
        <v>1096</v>
      </c>
      <c r="C1054">
        <v>81.400000000000006</v>
      </c>
      <c r="D1054">
        <f>VLOOKUP(A1054,收盤價!A:C,3,0)</f>
        <v>76.099999999999994</v>
      </c>
      <c r="E1054" s="126">
        <v>-6.5110565110565247E-2</v>
      </c>
      <c r="F1054">
        <v>33.159999999999997</v>
      </c>
    </row>
    <row r="1055" spans="1:6">
      <c r="A1055">
        <v>6603</v>
      </c>
      <c r="B1055" t="s">
        <v>478</v>
      </c>
      <c r="C1055">
        <v>11.45</v>
      </c>
      <c r="D1055">
        <f>VLOOKUP(A1055,收盤價!A:C,3,0)</f>
        <v>10.7</v>
      </c>
      <c r="E1055" s="126">
        <v>-6.5502183406113537E-2</v>
      </c>
      <c r="F1055">
        <v>33.1</v>
      </c>
    </row>
    <row r="1056" spans="1:6">
      <c r="A1056">
        <v>6114</v>
      </c>
      <c r="B1056" t="s">
        <v>1691</v>
      </c>
      <c r="C1056">
        <v>56.4</v>
      </c>
      <c r="D1056">
        <f>VLOOKUP(A1056,收盤價!A:C,3,0)</f>
        <v>52.7</v>
      </c>
      <c r="E1056" s="126">
        <v>-6.5602836879432552E-2</v>
      </c>
      <c r="F1056">
        <v>33.04</v>
      </c>
    </row>
    <row r="1057" spans="1:6">
      <c r="A1057">
        <v>3559</v>
      </c>
      <c r="B1057" t="s">
        <v>1125</v>
      </c>
      <c r="C1057">
        <v>22.1</v>
      </c>
      <c r="D1057">
        <f>VLOOKUP(A1057,收盤價!A:C,3,0)</f>
        <v>20.65</v>
      </c>
      <c r="E1057" s="126">
        <v>-6.5610859728506915E-2</v>
      </c>
      <c r="F1057">
        <v>32.97</v>
      </c>
    </row>
    <row r="1058" spans="1:6">
      <c r="A1058">
        <v>9910</v>
      </c>
      <c r="B1058" t="s">
        <v>1381</v>
      </c>
      <c r="C1058">
        <v>189.5</v>
      </c>
      <c r="D1058">
        <f>VLOOKUP(A1058,收盤價!A:C,3,0)</f>
        <v>177</v>
      </c>
      <c r="E1058" s="126">
        <v>-6.5963060686015831E-2</v>
      </c>
      <c r="F1058">
        <v>32.909999999999997</v>
      </c>
    </row>
    <row r="1059" spans="1:6">
      <c r="A1059">
        <v>1434</v>
      </c>
      <c r="B1059" t="s">
        <v>587</v>
      </c>
      <c r="C1059">
        <v>34.1</v>
      </c>
      <c r="D1059">
        <f>VLOOKUP(A1059,收盤價!A:C,3,0)</f>
        <v>31.85</v>
      </c>
      <c r="E1059" s="126">
        <v>-6.5982404692082108E-2</v>
      </c>
      <c r="F1059">
        <v>32.85</v>
      </c>
    </row>
    <row r="1060" spans="1:6">
      <c r="A1060">
        <v>4109</v>
      </c>
      <c r="B1060" t="s">
        <v>1541</v>
      </c>
      <c r="C1060">
        <v>25.7</v>
      </c>
      <c r="D1060">
        <f>VLOOKUP(A1060,收盤價!A:C,3,0)</f>
        <v>24</v>
      </c>
      <c r="E1060" s="126">
        <v>-6.6147859922178961E-2</v>
      </c>
      <c r="F1060">
        <v>32.78</v>
      </c>
    </row>
    <row r="1061" spans="1:6">
      <c r="A1061">
        <v>3236</v>
      </c>
      <c r="B1061" t="s">
        <v>288</v>
      </c>
      <c r="C1061">
        <v>14.3</v>
      </c>
      <c r="D1061">
        <f>VLOOKUP(A1061,收盤價!A:C,3,0)</f>
        <v>13.35</v>
      </c>
      <c r="E1061" s="126">
        <v>-6.6433566433566502E-2</v>
      </c>
      <c r="F1061">
        <v>32.72</v>
      </c>
    </row>
    <row r="1062" spans="1:6">
      <c r="A1062">
        <v>2614</v>
      </c>
      <c r="B1062" t="s">
        <v>959</v>
      </c>
      <c r="C1062">
        <v>7.51</v>
      </c>
      <c r="D1062">
        <f>VLOOKUP(A1062,收盤價!A:C,3,0)</f>
        <v>7.01</v>
      </c>
      <c r="E1062" s="126">
        <v>-6.6577896138482029E-2</v>
      </c>
      <c r="F1062">
        <v>32.659999999999997</v>
      </c>
    </row>
    <row r="1063" spans="1:6">
      <c r="A1063">
        <v>2548</v>
      </c>
      <c r="B1063" t="s">
        <v>946</v>
      </c>
      <c r="C1063">
        <v>63</v>
      </c>
      <c r="D1063">
        <f>VLOOKUP(A1063,收盤價!A:C,3,0)</f>
        <v>58.8</v>
      </c>
      <c r="E1063" s="126">
        <v>-6.6666666666666707E-2</v>
      </c>
      <c r="F1063">
        <v>32.590000000000003</v>
      </c>
    </row>
    <row r="1064" spans="1:6">
      <c r="A1064">
        <v>4714</v>
      </c>
      <c r="B1064" t="s">
        <v>371</v>
      </c>
      <c r="C1064">
        <v>9.27</v>
      </c>
      <c r="D1064">
        <f>VLOOKUP(A1064,收盤價!A:C,3,0)</f>
        <v>8.65</v>
      </c>
      <c r="E1064" s="126">
        <v>-6.6882416396979422E-2</v>
      </c>
      <c r="F1064">
        <v>32.53</v>
      </c>
    </row>
    <row r="1065" spans="1:6">
      <c r="A1065">
        <v>1104</v>
      </c>
      <c r="B1065" t="s">
        <v>529</v>
      </c>
      <c r="C1065">
        <v>23.15</v>
      </c>
      <c r="D1065">
        <f>VLOOKUP(A1065,收盤價!A:C,3,0)</f>
        <v>21.6</v>
      </c>
      <c r="E1065" s="126">
        <v>-6.69546436285096E-2</v>
      </c>
      <c r="F1065">
        <v>32.47</v>
      </c>
    </row>
    <row r="1066" spans="1:6">
      <c r="A1066">
        <v>4960</v>
      </c>
      <c r="B1066" t="s">
        <v>1198</v>
      </c>
      <c r="C1066">
        <v>23.15</v>
      </c>
      <c r="D1066">
        <f>VLOOKUP(A1066,收盤價!A:C,3,0)</f>
        <v>21.6</v>
      </c>
      <c r="E1066" s="126">
        <v>-6.69546436285096E-2</v>
      </c>
      <c r="F1066">
        <v>32.4</v>
      </c>
    </row>
    <row r="1067" spans="1:6">
      <c r="A1067">
        <v>6117</v>
      </c>
      <c r="B1067" t="s">
        <v>1242</v>
      </c>
      <c r="C1067">
        <v>14.9</v>
      </c>
      <c r="D1067">
        <f>VLOOKUP(A1067,收盤價!A:C,3,0)</f>
        <v>13.9</v>
      </c>
      <c r="E1067" s="126">
        <v>-6.7114093959731544E-2</v>
      </c>
      <c r="F1067">
        <v>32.340000000000003</v>
      </c>
    </row>
    <row r="1068" spans="1:6">
      <c r="A1068">
        <v>2347</v>
      </c>
      <c r="B1068" t="s">
        <v>803</v>
      </c>
      <c r="C1068">
        <v>35.700000000000003</v>
      </c>
      <c r="D1068">
        <f>VLOOKUP(A1068,收盤價!A:C,3,0)</f>
        <v>33.299999999999997</v>
      </c>
      <c r="E1068" s="126">
        <v>-6.7226890756302671E-2</v>
      </c>
      <c r="F1068">
        <v>32.28</v>
      </c>
    </row>
    <row r="1069" spans="1:6">
      <c r="A1069">
        <v>3693</v>
      </c>
      <c r="B1069" t="s">
        <v>344</v>
      </c>
      <c r="C1069">
        <v>104</v>
      </c>
      <c r="D1069">
        <f>VLOOKUP(A1069,收盤價!A:C,3,0)</f>
        <v>97</v>
      </c>
      <c r="E1069" s="126">
        <v>-6.7307692307692304E-2</v>
      </c>
      <c r="F1069">
        <v>32.21</v>
      </c>
    </row>
    <row r="1070" spans="1:6">
      <c r="A1070">
        <v>6291</v>
      </c>
      <c r="B1070" t="s">
        <v>473</v>
      </c>
      <c r="C1070">
        <v>2.8</v>
      </c>
      <c r="D1070">
        <f>VLOOKUP(A1070,收盤價!A:C,3,0)</f>
        <v>2.61</v>
      </c>
      <c r="E1070" s="126">
        <v>-6.7857142857142838E-2</v>
      </c>
      <c r="F1070">
        <v>32.15</v>
      </c>
    </row>
    <row r="1071" spans="1:6">
      <c r="A1071">
        <v>9902</v>
      </c>
      <c r="B1071" t="s">
        <v>1375</v>
      </c>
      <c r="C1071">
        <v>11.05</v>
      </c>
      <c r="D1071">
        <f>VLOOKUP(A1071,收盤價!A:C,3,0)</f>
        <v>10.3</v>
      </c>
      <c r="E1071" s="126">
        <v>-6.7873303167420809E-2</v>
      </c>
      <c r="F1071">
        <v>32.090000000000003</v>
      </c>
    </row>
    <row r="1072" spans="1:6">
      <c r="A1072">
        <v>6270</v>
      </c>
      <c r="B1072" t="s">
        <v>1737</v>
      </c>
      <c r="C1072">
        <v>11</v>
      </c>
      <c r="D1072">
        <f>VLOOKUP(A1072,收盤價!A:C,3,0)</f>
        <v>10.25</v>
      </c>
      <c r="E1072" s="126">
        <v>-6.8181818181818177E-2</v>
      </c>
      <c r="F1072">
        <v>32.020000000000003</v>
      </c>
    </row>
    <row r="1073" spans="1:6">
      <c r="A1073">
        <v>8150</v>
      </c>
      <c r="B1073" t="s">
        <v>1330</v>
      </c>
      <c r="C1073">
        <v>36.5</v>
      </c>
      <c r="D1073">
        <f>VLOOKUP(A1073,收盤價!A:C,3,0)</f>
        <v>34</v>
      </c>
      <c r="E1073" s="126">
        <v>-6.8493150684931503E-2</v>
      </c>
      <c r="F1073">
        <v>31.96</v>
      </c>
    </row>
    <row r="1074" spans="1:6">
      <c r="A1074">
        <v>3652</v>
      </c>
      <c r="B1074" t="s">
        <v>339</v>
      </c>
      <c r="C1074">
        <v>18.25</v>
      </c>
      <c r="D1074">
        <f>VLOOKUP(A1074,收盤價!A:C,3,0)</f>
        <v>17</v>
      </c>
      <c r="E1074" s="126">
        <v>-6.8493150684931503E-2</v>
      </c>
      <c r="F1074">
        <v>31.9</v>
      </c>
    </row>
    <row r="1075" spans="1:6">
      <c r="A1075">
        <v>5211</v>
      </c>
      <c r="B1075" t="s">
        <v>390</v>
      </c>
      <c r="C1075">
        <v>24.8</v>
      </c>
      <c r="D1075">
        <f>VLOOKUP(A1075,收盤價!A:C,3,0)</f>
        <v>23.1</v>
      </c>
      <c r="E1075" s="126">
        <v>-6.854838709677416E-2</v>
      </c>
      <c r="F1075">
        <v>31.83</v>
      </c>
    </row>
    <row r="1076" spans="1:6">
      <c r="A1076">
        <v>4419</v>
      </c>
      <c r="B1076" t="s">
        <v>1570</v>
      </c>
      <c r="C1076">
        <v>7</v>
      </c>
      <c r="D1076">
        <f>VLOOKUP(A1076,收盤價!A:C,3,0)</f>
        <v>6.52</v>
      </c>
      <c r="E1076" s="126">
        <v>-6.857142857142863E-2</v>
      </c>
      <c r="F1076">
        <v>31.77</v>
      </c>
    </row>
    <row r="1077" spans="1:6">
      <c r="A1077">
        <v>3211</v>
      </c>
      <c r="B1077" t="s">
        <v>1464</v>
      </c>
      <c r="C1077">
        <v>55.4</v>
      </c>
      <c r="D1077">
        <f>VLOOKUP(A1077,收盤價!A:C,3,0)</f>
        <v>51.6</v>
      </c>
      <c r="E1077" s="126">
        <v>-6.85920577617328E-2</v>
      </c>
      <c r="F1077">
        <v>31.71</v>
      </c>
    </row>
    <row r="1078" spans="1:6">
      <c r="A1078">
        <v>2323</v>
      </c>
      <c r="B1078" t="s">
        <v>788</v>
      </c>
      <c r="C1078">
        <v>3.92</v>
      </c>
      <c r="D1078">
        <f>VLOOKUP(A1078,收盤價!A:C,3,0)</f>
        <v>3.65</v>
      </c>
      <c r="E1078" s="126">
        <v>-6.887755102040817E-2</v>
      </c>
      <c r="F1078">
        <v>31.64</v>
      </c>
    </row>
    <row r="1079" spans="1:6">
      <c r="A1079">
        <v>6217</v>
      </c>
      <c r="B1079" t="s">
        <v>1724</v>
      </c>
      <c r="C1079">
        <v>47.9</v>
      </c>
      <c r="D1079">
        <f>VLOOKUP(A1079,收盤價!A:C,3,0)</f>
        <v>44.6</v>
      </c>
      <c r="E1079" s="126">
        <v>-6.8893528183716024E-2</v>
      </c>
      <c r="F1079">
        <v>31.58</v>
      </c>
    </row>
    <row r="1080" spans="1:6">
      <c r="A1080">
        <v>1507</v>
      </c>
      <c r="B1080" t="s">
        <v>629</v>
      </c>
      <c r="C1080">
        <v>54.5</v>
      </c>
      <c r="D1080">
        <f>VLOOKUP(A1080,收盤價!A:C,3,0)</f>
        <v>50.7</v>
      </c>
      <c r="E1080" s="126">
        <v>-6.9724770642201783E-2</v>
      </c>
      <c r="F1080">
        <v>31.52</v>
      </c>
    </row>
    <row r="1081" spans="1:6">
      <c r="A1081">
        <v>1417</v>
      </c>
      <c r="B1081" t="s">
        <v>582</v>
      </c>
      <c r="C1081">
        <v>6</v>
      </c>
      <c r="D1081">
        <f>VLOOKUP(A1081,收盤價!A:C,3,0)</f>
        <v>5.58</v>
      </c>
      <c r="E1081" s="126">
        <v>-6.9999999999999993E-2</v>
      </c>
      <c r="F1081">
        <v>31.45</v>
      </c>
    </row>
    <row r="1082" spans="1:6">
      <c r="A1082">
        <v>9110</v>
      </c>
      <c r="B1082" t="s">
        <v>1361</v>
      </c>
      <c r="C1082">
        <v>4.1399999999999997</v>
      </c>
      <c r="D1082">
        <f>VLOOKUP(A1082,收盤價!A:C,3,0)</f>
        <v>3.85</v>
      </c>
      <c r="E1082" s="126">
        <v>-7.004830917874387E-2</v>
      </c>
      <c r="F1082">
        <v>31.39</v>
      </c>
    </row>
    <row r="1083" spans="1:6">
      <c r="A1083">
        <v>2331</v>
      </c>
      <c r="B1083" t="s">
        <v>795</v>
      </c>
      <c r="C1083">
        <v>23.5</v>
      </c>
      <c r="D1083">
        <f>VLOOKUP(A1083,收盤價!A:C,3,0)</f>
        <v>21.85</v>
      </c>
      <c r="E1083" s="126">
        <v>-7.0212765957446743E-2</v>
      </c>
      <c r="F1083">
        <v>31.33</v>
      </c>
    </row>
    <row r="1084" spans="1:6">
      <c r="A1084">
        <v>5538</v>
      </c>
      <c r="B1084" t="s">
        <v>1229</v>
      </c>
      <c r="C1084">
        <v>27.75</v>
      </c>
      <c r="D1084">
        <f>VLOOKUP(A1084,收盤價!A:C,3,0)</f>
        <v>25.8</v>
      </c>
      <c r="E1084" s="126">
        <v>-7.0270270270270246E-2</v>
      </c>
      <c r="F1084">
        <v>31.26</v>
      </c>
    </row>
    <row r="1085" spans="1:6">
      <c r="A1085">
        <v>4726</v>
      </c>
      <c r="B1085" t="s">
        <v>1591</v>
      </c>
      <c r="C1085">
        <v>46.5</v>
      </c>
      <c r="D1085">
        <f>VLOOKUP(A1085,收盤價!A:C,3,0)</f>
        <v>43.2</v>
      </c>
      <c r="E1085" s="126">
        <v>-7.0967741935483816E-2</v>
      </c>
      <c r="F1085">
        <v>31.2</v>
      </c>
    </row>
    <row r="1086" spans="1:6">
      <c r="A1086">
        <v>2849</v>
      </c>
      <c r="B1086" t="s">
        <v>991</v>
      </c>
      <c r="C1086">
        <v>16.149999999999999</v>
      </c>
      <c r="D1086">
        <f>VLOOKUP(A1086,收盤價!A:C,3,0)</f>
        <v>15</v>
      </c>
      <c r="E1086" s="126">
        <v>-7.1207430340557196E-2</v>
      </c>
      <c r="F1086">
        <v>31.14</v>
      </c>
    </row>
    <row r="1087" spans="1:6">
      <c r="A1087">
        <v>4426</v>
      </c>
      <c r="B1087" t="s">
        <v>1170</v>
      </c>
      <c r="C1087">
        <v>210.5</v>
      </c>
      <c r="D1087">
        <f>VLOOKUP(A1087,收盤價!A:C,3,0)</f>
        <v>195.5</v>
      </c>
      <c r="E1087" s="126">
        <v>-7.1258907363420429E-2</v>
      </c>
      <c r="F1087">
        <v>31.07</v>
      </c>
    </row>
    <row r="1088" spans="1:6">
      <c r="A1088">
        <v>2385</v>
      </c>
      <c r="B1088" t="s">
        <v>834</v>
      </c>
      <c r="C1088">
        <v>79.900000000000006</v>
      </c>
      <c r="D1088">
        <f>VLOOKUP(A1088,收盤價!A:C,3,0)</f>
        <v>74.2</v>
      </c>
      <c r="E1088" s="126">
        <v>-7.1339173967459354E-2</v>
      </c>
      <c r="F1088">
        <v>31.01</v>
      </c>
    </row>
    <row r="1089" spans="1:6">
      <c r="A1089">
        <v>8929</v>
      </c>
      <c r="B1089" t="s">
        <v>511</v>
      </c>
      <c r="C1089">
        <v>25.2</v>
      </c>
      <c r="D1089">
        <f>VLOOKUP(A1089,收盤價!A:C,3,0)</f>
        <v>23.4</v>
      </c>
      <c r="E1089" s="126">
        <v>-7.1428571428571452E-2</v>
      </c>
      <c r="F1089">
        <v>30.94</v>
      </c>
    </row>
    <row r="1090" spans="1:6">
      <c r="A1090">
        <v>9188</v>
      </c>
      <c r="B1090" t="s">
        <v>1373</v>
      </c>
      <c r="C1090">
        <v>4.2</v>
      </c>
      <c r="D1090">
        <f>VLOOKUP(A1090,收盤價!A:C,3,0)</f>
        <v>3.9</v>
      </c>
      <c r="E1090" s="126">
        <v>-7.1428571428571494E-2</v>
      </c>
      <c r="F1090">
        <v>30.88</v>
      </c>
    </row>
    <row r="1091" spans="1:6">
      <c r="A1091">
        <v>5355</v>
      </c>
      <c r="B1091" t="s">
        <v>407</v>
      </c>
      <c r="C1091">
        <v>7.1</v>
      </c>
      <c r="D1091">
        <f>VLOOKUP(A1091,收盤價!A:C,3,0)</f>
        <v>6.59</v>
      </c>
      <c r="E1091" s="126">
        <v>-7.1830985915492931E-2</v>
      </c>
      <c r="F1091">
        <v>30.82</v>
      </c>
    </row>
    <row r="1092" spans="1:6">
      <c r="A1092">
        <v>9949</v>
      </c>
      <c r="B1092" t="s">
        <v>516</v>
      </c>
      <c r="C1092">
        <v>14.5</v>
      </c>
      <c r="D1092">
        <f>VLOOKUP(A1092,收盤價!A:C,3,0)</f>
        <v>13.45</v>
      </c>
      <c r="E1092" s="126">
        <v>-7.2413793103448323E-2</v>
      </c>
      <c r="F1092">
        <v>30.75</v>
      </c>
    </row>
    <row r="1093" spans="1:6">
      <c r="A1093">
        <v>5383</v>
      </c>
      <c r="B1093" t="s">
        <v>1644</v>
      </c>
      <c r="C1093">
        <v>10.3</v>
      </c>
      <c r="D1093">
        <f>VLOOKUP(A1093,收盤價!A:C,3,0)</f>
        <v>9.5500000000000007</v>
      </c>
      <c r="E1093" s="126">
        <v>-7.281553398058252E-2</v>
      </c>
      <c r="F1093">
        <v>30.69</v>
      </c>
    </row>
    <row r="1094" spans="1:6">
      <c r="A1094">
        <v>1470</v>
      </c>
      <c r="B1094" t="s">
        <v>618</v>
      </c>
      <c r="C1094">
        <v>19.850000000000001</v>
      </c>
      <c r="D1094">
        <f>VLOOKUP(A1094,收盤價!A:C,3,0)</f>
        <v>18.399999999999999</v>
      </c>
      <c r="E1094" s="126">
        <v>-7.3047858942065627E-2</v>
      </c>
      <c r="F1094">
        <v>30.63</v>
      </c>
    </row>
    <row r="1095" spans="1:6">
      <c r="A1095">
        <v>8941</v>
      </c>
      <c r="B1095" t="s">
        <v>515</v>
      </c>
      <c r="C1095">
        <v>92.9</v>
      </c>
      <c r="D1095">
        <f>VLOOKUP(A1095,收盤價!A:C,3,0)</f>
        <v>86.1</v>
      </c>
      <c r="E1095" s="126">
        <v>-7.3196986006458672E-2</v>
      </c>
      <c r="F1095">
        <v>30.56</v>
      </c>
    </row>
    <row r="1096" spans="1:6">
      <c r="A1096">
        <v>1457</v>
      </c>
      <c r="B1096" t="s">
        <v>608</v>
      </c>
      <c r="C1096">
        <v>13.65</v>
      </c>
      <c r="D1096">
        <f>VLOOKUP(A1096,收盤價!A:C,3,0)</f>
        <v>12.65</v>
      </c>
      <c r="E1096" s="126">
        <v>-7.3260073260073263E-2</v>
      </c>
      <c r="F1096">
        <v>30.5</v>
      </c>
    </row>
    <row r="1097" spans="1:6">
      <c r="A1097">
        <v>1799</v>
      </c>
      <c r="B1097" t="s">
        <v>255</v>
      </c>
      <c r="C1097">
        <v>36.700000000000003</v>
      </c>
      <c r="D1097">
        <f>VLOOKUP(A1097,收盤價!A:C,3,0)</f>
        <v>34</v>
      </c>
      <c r="E1097" s="126">
        <v>-7.3569482288828411E-2</v>
      </c>
      <c r="F1097">
        <v>30.44</v>
      </c>
    </row>
    <row r="1098" spans="1:6">
      <c r="A1098">
        <v>4523</v>
      </c>
      <c r="B1098" t="s">
        <v>1578</v>
      </c>
      <c r="C1098">
        <v>20.350000000000001</v>
      </c>
      <c r="D1098">
        <f>VLOOKUP(A1098,收盤價!A:C,3,0)</f>
        <v>18.850000000000001</v>
      </c>
      <c r="E1098" s="126">
        <v>-7.3710073710073709E-2</v>
      </c>
      <c r="F1098">
        <v>30.37</v>
      </c>
    </row>
    <row r="1099" spans="1:6">
      <c r="A1099">
        <v>2891</v>
      </c>
      <c r="B1099" t="s">
        <v>1009</v>
      </c>
      <c r="C1099">
        <v>18.2</v>
      </c>
      <c r="D1099">
        <f>VLOOKUP(A1099,收盤價!A:C,3,0)</f>
        <v>16.850000000000001</v>
      </c>
      <c r="E1099" s="126">
        <v>-7.4175824175824065E-2</v>
      </c>
      <c r="F1099">
        <v>30.31</v>
      </c>
    </row>
    <row r="1100" spans="1:6">
      <c r="A1100">
        <v>1452</v>
      </c>
      <c r="B1100" t="s">
        <v>603</v>
      </c>
      <c r="C1100">
        <v>26.95</v>
      </c>
      <c r="D1100">
        <f>VLOOKUP(A1100,收盤價!A:C,3,0)</f>
        <v>24.95</v>
      </c>
      <c r="E1100" s="126">
        <v>-7.4211502782931357E-2</v>
      </c>
      <c r="F1100">
        <v>30.25</v>
      </c>
    </row>
    <row r="1101" spans="1:6">
      <c r="A1101">
        <v>8924</v>
      </c>
      <c r="B1101" t="s">
        <v>1816</v>
      </c>
      <c r="C1101">
        <v>20.2</v>
      </c>
      <c r="D1101">
        <f>VLOOKUP(A1101,收盤價!A:C,3,0)</f>
        <v>18.7</v>
      </c>
      <c r="E1101" s="126">
        <v>-7.4257425742574254E-2</v>
      </c>
      <c r="F1101">
        <v>30.18</v>
      </c>
    </row>
    <row r="1102" spans="1:6">
      <c r="A1102">
        <v>2221</v>
      </c>
      <c r="B1102" t="s">
        <v>1431</v>
      </c>
      <c r="C1102">
        <v>20.149999999999999</v>
      </c>
      <c r="D1102">
        <f>VLOOKUP(A1102,收盤價!A:C,3,0)</f>
        <v>18.649999999999999</v>
      </c>
      <c r="E1102" s="126">
        <v>-7.444168734491316E-2</v>
      </c>
      <c r="F1102">
        <v>30.12</v>
      </c>
    </row>
    <row r="1103" spans="1:6">
      <c r="A1103">
        <v>2375</v>
      </c>
      <c r="B1103" t="s">
        <v>827</v>
      </c>
      <c r="C1103">
        <v>15.4</v>
      </c>
      <c r="D1103">
        <f>VLOOKUP(A1103,收盤價!A:C,3,0)</f>
        <v>14.25</v>
      </c>
      <c r="E1103" s="126">
        <v>-7.46753246753247E-2</v>
      </c>
      <c r="F1103">
        <v>30.06</v>
      </c>
    </row>
    <row r="1104" spans="1:6">
      <c r="A1104">
        <v>5287</v>
      </c>
      <c r="B1104" t="s">
        <v>397</v>
      </c>
      <c r="C1104">
        <v>321</v>
      </c>
      <c r="D1104">
        <f>VLOOKUP(A1104,收盤價!A:C,3,0)</f>
        <v>297</v>
      </c>
      <c r="E1104" s="126">
        <v>-7.476635514018691E-2</v>
      </c>
      <c r="F1104">
        <v>29.99</v>
      </c>
    </row>
    <row r="1105" spans="1:6">
      <c r="A1105">
        <v>2317</v>
      </c>
      <c r="B1105" t="s">
        <v>786</v>
      </c>
      <c r="C1105">
        <v>88.2</v>
      </c>
      <c r="D1105">
        <f>VLOOKUP(A1105,收盤價!A:C,3,0)</f>
        <v>81.599999999999994</v>
      </c>
      <c r="E1105" s="126">
        <v>-7.4829931972789213E-2</v>
      </c>
      <c r="F1105">
        <v>29.93</v>
      </c>
    </row>
    <row r="1106" spans="1:6">
      <c r="A1106">
        <v>2357</v>
      </c>
      <c r="B1106" t="s">
        <v>812</v>
      </c>
      <c r="C1106">
        <v>300.5</v>
      </c>
      <c r="D1106">
        <f>VLOOKUP(A1106,收盤價!A:C,3,0)</f>
        <v>278</v>
      </c>
      <c r="E1106" s="126">
        <v>-7.4875207986688855E-2</v>
      </c>
      <c r="F1106">
        <v>29.87</v>
      </c>
    </row>
    <row r="1107" spans="1:6">
      <c r="A1107">
        <v>6121</v>
      </c>
      <c r="B1107" t="s">
        <v>435</v>
      </c>
      <c r="C1107">
        <v>119.5</v>
      </c>
      <c r="D1107">
        <f>VLOOKUP(A1107,收盤價!A:C,3,0)</f>
        <v>110.5</v>
      </c>
      <c r="E1107" s="126">
        <v>-7.5313807531380755E-2</v>
      </c>
      <c r="F1107">
        <v>29.8</v>
      </c>
    </row>
    <row r="1108" spans="1:6">
      <c r="A1108">
        <v>2634</v>
      </c>
      <c r="B1108" t="s">
        <v>964</v>
      </c>
      <c r="C1108">
        <v>42.1</v>
      </c>
      <c r="D1108">
        <f>VLOOKUP(A1108,收盤價!A:C,3,0)</f>
        <v>38.9</v>
      </c>
      <c r="E1108" s="126">
        <v>-7.6009501187648515E-2</v>
      </c>
      <c r="F1108">
        <v>29.74</v>
      </c>
    </row>
    <row r="1109" spans="1:6">
      <c r="A1109">
        <v>3516</v>
      </c>
      <c r="B1109" t="s">
        <v>319</v>
      </c>
      <c r="C1109">
        <v>9.06</v>
      </c>
      <c r="D1109">
        <f>VLOOKUP(A1109,收盤價!A:C,3,0)</f>
        <v>8.3699999999999992</v>
      </c>
      <c r="E1109" s="126">
        <v>-7.6158940397351133E-2</v>
      </c>
      <c r="F1109">
        <v>29.68</v>
      </c>
    </row>
    <row r="1110" spans="1:6">
      <c r="A1110">
        <v>2905</v>
      </c>
      <c r="B1110" t="s">
        <v>1014</v>
      </c>
      <c r="C1110">
        <v>22.3</v>
      </c>
      <c r="D1110">
        <f>VLOOKUP(A1110,收盤價!A:C,3,0)</f>
        <v>20.6</v>
      </c>
      <c r="E1110" s="126">
        <v>-7.6233183856502212E-2</v>
      </c>
      <c r="F1110">
        <v>29.61</v>
      </c>
    </row>
    <row r="1111" spans="1:6">
      <c r="A1111">
        <v>8234</v>
      </c>
      <c r="B1111" t="s">
        <v>493</v>
      </c>
      <c r="C1111">
        <v>31.25</v>
      </c>
      <c r="D1111">
        <f>VLOOKUP(A1111,收盤價!A:C,3,0)</f>
        <v>28.85</v>
      </c>
      <c r="E1111" s="126">
        <v>-7.6799999999999952E-2</v>
      </c>
      <c r="F1111">
        <v>29.55</v>
      </c>
    </row>
    <row r="1112" spans="1:6">
      <c r="A1112">
        <v>6226</v>
      </c>
      <c r="B1112" t="s">
        <v>1280</v>
      </c>
      <c r="C1112">
        <v>6.64</v>
      </c>
      <c r="D1112">
        <f>VLOOKUP(A1112,收盤價!A:C,3,0)</f>
        <v>6.13</v>
      </c>
      <c r="E1112" s="126">
        <v>-7.680722891566262E-2</v>
      </c>
      <c r="F1112">
        <v>29.49</v>
      </c>
    </row>
    <row r="1113" spans="1:6">
      <c r="A1113">
        <v>2514</v>
      </c>
      <c r="B1113" t="s">
        <v>926</v>
      </c>
      <c r="C1113">
        <v>20.8</v>
      </c>
      <c r="D1113">
        <f>VLOOKUP(A1113,收盤價!A:C,3,0)</f>
        <v>19.2</v>
      </c>
      <c r="E1113" s="126">
        <v>-7.6923076923076983E-2</v>
      </c>
      <c r="F1113">
        <v>29.42</v>
      </c>
    </row>
    <row r="1114" spans="1:6">
      <c r="A1114">
        <v>2390</v>
      </c>
      <c r="B1114" t="s">
        <v>837</v>
      </c>
      <c r="C1114">
        <v>23.35</v>
      </c>
      <c r="D1114">
        <f>VLOOKUP(A1114,收盤價!A:C,3,0)</f>
        <v>21.55</v>
      </c>
      <c r="E1114" s="126">
        <v>-7.7087794432548207E-2</v>
      </c>
      <c r="F1114">
        <v>29.36</v>
      </c>
    </row>
    <row r="1115" spans="1:6">
      <c r="A1115">
        <v>4973</v>
      </c>
      <c r="B1115" t="s">
        <v>1609</v>
      </c>
      <c r="C1115">
        <v>16.8</v>
      </c>
      <c r="D1115">
        <f>VLOOKUP(A1115,收盤價!A:C,3,0)</f>
        <v>15.5</v>
      </c>
      <c r="E1115" s="126">
        <v>-7.7380952380952425E-2</v>
      </c>
      <c r="F1115">
        <v>29.3</v>
      </c>
    </row>
    <row r="1116" spans="1:6">
      <c r="A1116">
        <v>5516</v>
      </c>
      <c r="B1116" t="s">
        <v>1667</v>
      </c>
      <c r="C1116">
        <v>10.95</v>
      </c>
      <c r="D1116">
        <f>VLOOKUP(A1116,收盤價!A:C,3,0)</f>
        <v>10.1</v>
      </c>
      <c r="E1116" s="126">
        <v>-7.7625570776255676E-2</v>
      </c>
      <c r="F1116">
        <v>29.23</v>
      </c>
    </row>
    <row r="1117" spans="1:6">
      <c r="A1117">
        <v>3206</v>
      </c>
      <c r="B1117" t="s">
        <v>1463</v>
      </c>
      <c r="C1117">
        <v>25.05</v>
      </c>
      <c r="D1117">
        <f>VLOOKUP(A1117,收盤價!A:C,3,0)</f>
        <v>23.1</v>
      </c>
      <c r="E1117" s="126">
        <v>-7.7844311377245484E-2</v>
      </c>
      <c r="F1117">
        <v>29.17</v>
      </c>
    </row>
    <row r="1118" spans="1:6">
      <c r="A1118">
        <v>3003</v>
      </c>
      <c r="B1118" t="s">
        <v>1025</v>
      </c>
      <c r="C1118">
        <v>41.1</v>
      </c>
      <c r="D1118">
        <f>VLOOKUP(A1118,收盤價!A:C,3,0)</f>
        <v>37.9</v>
      </c>
      <c r="E1118" s="126">
        <v>-7.7858880778588879E-2</v>
      </c>
      <c r="F1118">
        <v>29.11</v>
      </c>
    </row>
    <row r="1119" spans="1:6">
      <c r="A1119">
        <v>3152</v>
      </c>
      <c r="B1119" t="s">
        <v>1457</v>
      </c>
      <c r="C1119">
        <v>204.5</v>
      </c>
      <c r="D1119">
        <f>VLOOKUP(A1119,收盤價!A:C,3,0)</f>
        <v>188.5</v>
      </c>
      <c r="E1119" s="126">
        <v>-7.823960880195599E-2</v>
      </c>
      <c r="F1119">
        <v>29.04</v>
      </c>
    </row>
    <row r="1120" spans="1:6">
      <c r="A1120">
        <v>1715</v>
      </c>
      <c r="B1120" t="s">
        <v>689</v>
      </c>
      <c r="C1120">
        <v>13.4</v>
      </c>
      <c r="D1120">
        <f>VLOOKUP(A1120,收盤價!A:C,3,0)</f>
        <v>12.35</v>
      </c>
      <c r="E1120" s="126">
        <v>-7.8358208955223926E-2</v>
      </c>
      <c r="F1120">
        <v>28.98</v>
      </c>
    </row>
    <row r="1121" spans="1:6">
      <c r="A1121">
        <v>3308</v>
      </c>
      <c r="B1121" t="s">
        <v>1091</v>
      </c>
      <c r="C1121">
        <v>8.2899999999999991</v>
      </c>
      <c r="D1121">
        <f>VLOOKUP(A1121,收盤價!A:C,3,0)</f>
        <v>7.64</v>
      </c>
      <c r="E1121" s="126">
        <v>-7.8407720144752655E-2</v>
      </c>
      <c r="F1121">
        <v>28.92</v>
      </c>
    </row>
    <row r="1122" spans="1:6">
      <c r="A1122">
        <v>4702</v>
      </c>
      <c r="B1122" t="s">
        <v>368</v>
      </c>
      <c r="C1122">
        <v>12.7</v>
      </c>
      <c r="D1122">
        <f>VLOOKUP(A1122,收盤價!A:C,3,0)</f>
        <v>11.7</v>
      </c>
      <c r="E1122" s="126">
        <v>-7.874015748031496E-2</v>
      </c>
      <c r="F1122">
        <v>28.85</v>
      </c>
    </row>
    <row r="1123" spans="1:6">
      <c r="A1123">
        <v>2363</v>
      </c>
      <c r="B1123" t="s">
        <v>818</v>
      </c>
      <c r="C1123">
        <v>7.94</v>
      </c>
      <c r="D1123">
        <f>VLOOKUP(A1123,收盤價!A:C,3,0)</f>
        <v>7.31</v>
      </c>
      <c r="E1123" s="126">
        <v>-7.9345088161209165E-2</v>
      </c>
      <c r="F1123">
        <v>28.79</v>
      </c>
    </row>
    <row r="1124" spans="1:6">
      <c r="A1124">
        <v>3390</v>
      </c>
      <c r="B1124" t="s">
        <v>1490</v>
      </c>
      <c r="C1124">
        <v>17</v>
      </c>
      <c r="D1124">
        <f>VLOOKUP(A1124,收盤價!A:C,3,0)</f>
        <v>15.65</v>
      </c>
      <c r="E1124" s="126">
        <v>-7.9411764705882334E-2</v>
      </c>
      <c r="F1124">
        <v>28.73</v>
      </c>
    </row>
    <row r="1125" spans="1:6">
      <c r="A1125">
        <v>2924</v>
      </c>
      <c r="B1125" t="s">
        <v>1441</v>
      </c>
      <c r="C1125">
        <v>62.9</v>
      </c>
      <c r="D1125">
        <f>VLOOKUP(A1125,收盤價!A:C,3,0)</f>
        <v>57.9</v>
      </c>
      <c r="E1125" s="126">
        <v>-7.9491255961844198E-2</v>
      </c>
      <c r="F1125">
        <v>28.66</v>
      </c>
    </row>
    <row r="1126" spans="1:6">
      <c r="A1126">
        <v>2613</v>
      </c>
      <c r="B1126" t="s">
        <v>958</v>
      </c>
      <c r="C1126">
        <v>14.45</v>
      </c>
      <c r="D1126">
        <f>VLOOKUP(A1126,收盤價!A:C,3,0)</f>
        <v>13.3</v>
      </c>
      <c r="E1126" s="126">
        <v>-7.9584775086505091E-2</v>
      </c>
      <c r="F1126">
        <v>28.6</v>
      </c>
    </row>
    <row r="1127" spans="1:6">
      <c r="A1127">
        <v>8034</v>
      </c>
      <c r="B1127" t="s">
        <v>1755</v>
      </c>
      <c r="C1127">
        <v>6.52</v>
      </c>
      <c r="D1127">
        <f>VLOOKUP(A1127,收盤價!A:C,3,0)</f>
        <v>6</v>
      </c>
      <c r="E1127" s="126">
        <v>-7.9754601226993807E-2</v>
      </c>
      <c r="F1127">
        <v>28.54</v>
      </c>
    </row>
    <row r="1128" spans="1:6">
      <c r="A1128">
        <v>1786</v>
      </c>
      <c r="B1128" t="s">
        <v>712</v>
      </c>
      <c r="C1128">
        <v>62.5</v>
      </c>
      <c r="D1128">
        <f>VLOOKUP(A1128,收盤價!A:C,3,0)</f>
        <v>57.5</v>
      </c>
      <c r="E1128" s="126">
        <v>-0.08</v>
      </c>
      <c r="F1128">
        <v>28.47</v>
      </c>
    </row>
    <row r="1129" spans="1:6">
      <c r="A1129">
        <v>2707</v>
      </c>
      <c r="B1129" t="s">
        <v>972</v>
      </c>
      <c r="C1129">
        <v>231</v>
      </c>
      <c r="D1129">
        <f>VLOOKUP(A1129,收盤價!A:C,3,0)</f>
        <v>212.5</v>
      </c>
      <c r="E1129" s="126">
        <v>-8.0086580086580081E-2</v>
      </c>
      <c r="F1129">
        <v>28.41</v>
      </c>
    </row>
    <row r="1130" spans="1:6">
      <c r="A1130">
        <v>3083</v>
      </c>
      <c r="B1130" t="s">
        <v>1449</v>
      </c>
      <c r="C1130">
        <v>43</v>
      </c>
      <c r="D1130">
        <f>VLOOKUP(A1130,收盤價!A:C,3,0)</f>
        <v>39.549999999999997</v>
      </c>
      <c r="E1130" s="126">
        <v>-8.0232558139534949E-2</v>
      </c>
      <c r="F1130">
        <v>28.34</v>
      </c>
    </row>
    <row r="1131" spans="1:6">
      <c r="A1131">
        <v>3689</v>
      </c>
      <c r="B1131" t="s">
        <v>1535</v>
      </c>
      <c r="C1131">
        <v>41.75</v>
      </c>
      <c r="D1131">
        <f>VLOOKUP(A1131,收盤價!A:C,3,0)</f>
        <v>38.4</v>
      </c>
      <c r="E1131" s="126">
        <v>-8.0239520958083871E-2</v>
      </c>
      <c r="F1131">
        <v>28.28</v>
      </c>
    </row>
    <row r="1132" spans="1:6">
      <c r="A1132">
        <v>2328</v>
      </c>
      <c r="B1132" t="s">
        <v>792</v>
      </c>
      <c r="C1132">
        <v>14.3</v>
      </c>
      <c r="D1132">
        <f>VLOOKUP(A1132,收盤價!A:C,3,0)</f>
        <v>13.15</v>
      </c>
      <c r="E1132" s="126">
        <v>-8.0419580419580444E-2</v>
      </c>
      <c r="F1132">
        <v>28.22</v>
      </c>
    </row>
    <row r="1133" spans="1:6">
      <c r="A1133">
        <v>1402</v>
      </c>
      <c r="B1133" t="s">
        <v>576</v>
      </c>
      <c r="C1133">
        <v>30.35</v>
      </c>
      <c r="D1133">
        <f>VLOOKUP(A1133,收盤價!A:C,3,0)</f>
        <v>27.9</v>
      </c>
      <c r="E1133" s="126">
        <v>-8.0724876441515742E-2</v>
      </c>
      <c r="F1133">
        <v>28.15</v>
      </c>
    </row>
    <row r="1134" spans="1:6">
      <c r="A1134">
        <v>2231</v>
      </c>
      <c r="B1134" t="s">
        <v>774</v>
      </c>
      <c r="C1134">
        <v>396</v>
      </c>
      <c r="D1134">
        <f>VLOOKUP(A1134,收盤價!A:C,3,0)</f>
        <v>364</v>
      </c>
      <c r="E1134" s="126">
        <v>-8.0808080808080815E-2</v>
      </c>
      <c r="F1134">
        <v>28.09</v>
      </c>
    </row>
    <row r="1135" spans="1:6">
      <c r="A1135">
        <v>1614</v>
      </c>
      <c r="B1135" t="s">
        <v>672</v>
      </c>
      <c r="C1135">
        <v>27.2</v>
      </c>
      <c r="D1135">
        <f>VLOOKUP(A1135,收盤價!A:C,3,0)</f>
        <v>25</v>
      </c>
      <c r="E1135" s="126">
        <v>-8.0882352941176447E-2</v>
      </c>
      <c r="F1135">
        <v>28.03</v>
      </c>
    </row>
    <row r="1136" spans="1:6">
      <c r="A1136">
        <v>1597</v>
      </c>
      <c r="B1136" t="s">
        <v>251</v>
      </c>
      <c r="C1136">
        <v>27.8</v>
      </c>
      <c r="D1136">
        <f>VLOOKUP(A1136,收盤價!A:C,3,0)</f>
        <v>25.55</v>
      </c>
      <c r="E1136" s="126">
        <v>-8.0935251798561147E-2</v>
      </c>
      <c r="F1136">
        <v>27.96</v>
      </c>
    </row>
    <row r="1137" spans="1:6">
      <c r="A1137">
        <v>8121</v>
      </c>
      <c r="B1137" t="s">
        <v>1783</v>
      </c>
      <c r="C1137">
        <v>17.25</v>
      </c>
      <c r="D1137">
        <f>VLOOKUP(A1137,收盤價!A:C,3,0)</f>
        <v>15.85</v>
      </c>
      <c r="E1137" s="126">
        <v>-8.1159420289855094E-2</v>
      </c>
      <c r="F1137">
        <v>27.9</v>
      </c>
    </row>
    <row r="1138" spans="1:6">
      <c r="A1138">
        <v>8086</v>
      </c>
      <c r="B1138" t="s">
        <v>1774</v>
      </c>
      <c r="C1138">
        <v>81.2</v>
      </c>
      <c r="D1138">
        <f>VLOOKUP(A1138,收盤價!A:C,3,0)</f>
        <v>74.599999999999994</v>
      </c>
      <c r="E1138" s="126">
        <v>-8.128078817734001E-2</v>
      </c>
      <c r="F1138">
        <v>27.84</v>
      </c>
    </row>
    <row r="1139" spans="1:6">
      <c r="A1139">
        <v>2108</v>
      </c>
      <c r="B1139" t="s">
        <v>763</v>
      </c>
      <c r="C1139">
        <v>28.2</v>
      </c>
      <c r="D1139">
        <f>VLOOKUP(A1139,收盤價!A:C,3,0)</f>
        <v>25.9</v>
      </c>
      <c r="E1139" s="126">
        <v>-8.1560283687943283E-2</v>
      </c>
      <c r="F1139">
        <v>27.77</v>
      </c>
    </row>
    <row r="1140" spans="1:6">
      <c r="A1140">
        <v>5272</v>
      </c>
      <c r="B1140" t="s">
        <v>395</v>
      </c>
      <c r="C1140">
        <v>44.1</v>
      </c>
      <c r="D1140">
        <f>VLOOKUP(A1140,收盤價!A:C,3,0)</f>
        <v>40.5</v>
      </c>
      <c r="E1140" s="126">
        <v>-8.1632653061224525E-2</v>
      </c>
      <c r="F1140">
        <v>27.71</v>
      </c>
    </row>
    <row r="1141" spans="1:6">
      <c r="A1141">
        <v>2618</v>
      </c>
      <c r="B1141" t="s">
        <v>963</v>
      </c>
      <c r="C1141">
        <v>19.600000000000001</v>
      </c>
      <c r="D1141">
        <f>VLOOKUP(A1141,收盤價!A:C,3,0)</f>
        <v>18</v>
      </c>
      <c r="E1141" s="126">
        <v>-8.1632653061224553E-2</v>
      </c>
      <c r="F1141">
        <v>27.65</v>
      </c>
    </row>
    <row r="1142" spans="1:6">
      <c r="A1142">
        <v>2424</v>
      </c>
      <c r="B1142" t="s">
        <v>859</v>
      </c>
      <c r="C1142">
        <v>30.45</v>
      </c>
      <c r="D1142">
        <f>VLOOKUP(A1142,收盤價!A:C,3,0)</f>
        <v>27.95</v>
      </c>
      <c r="E1142" s="126">
        <v>-8.2101806239737271E-2</v>
      </c>
      <c r="F1142">
        <v>27.58</v>
      </c>
    </row>
    <row r="1143" spans="1:6">
      <c r="A1143">
        <v>3264</v>
      </c>
      <c r="B1143" t="s">
        <v>1473</v>
      </c>
      <c r="C1143">
        <v>24.9</v>
      </c>
      <c r="D1143">
        <f>VLOOKUP(A1143,收盤價!A:C,3,0)</f>
        <v>22.85</v>
      </c>
      <c r="E1143" s="126">
        <v>-8.2329317269076191E-2</v>
      </c>
      <c r="F1143">
        <v>27.52</v>
      </c>
    </row>
    <row r="1144" spans="1:6">
      <c r="A1144">
        <v>2313</v>
      </c>
      <c r="B1144" t="s">
        <v>783</v>
      </c>
      <c r="C1144">
        <v>23</v>
      </c>
      <c r="D1144">
        <f>VLOOKUP(A1144,收盤價!A:C,3,0)</f>
        <v>21.1</v>
      </c>
      <c r="E1144" s="126">
        <v>-8.2608695652173852E-2</v>
      </c>
      <c r="F1144">
        <v>27.46</v>
      </c>
    </row>
    <row r="1145" spans="1:6">
      <c r="A1145">
        <v>1532</v>
      </c>
      <c r="B1145" t="s">
        <v>647</v>
      </c>
      <c r="C1145">
        <v>29</v>
      </c>
      <c r="D1145">
        <f>VLOOKUP(A1145,收盤價!A:C,3,0)</f>
        <v>26.6</v>
      </c>
      <c r="E1145" s="126">
        <v>-8.275862068965513E-2</v>
      </c>
      <c r="F1145">
        <v>27.39</v>
      </c>
    </row>
    <row r="1146" spans="1:6">
      <c r="A1146">
        <v>1718</v>
      </c>
      <c r="B1146" t="s">
        <v>691</v>
      </c>
      <c r="C1146">
        <v>9.3800000000000008</v>
      </c>
      <c r="D1146">
        <f>VLOOKUP(A1146,收盤價!A:C,3,0)</f>
        <v>8.6</v>
      </c>
      <c r="E1146" s="126">
        <v>-8.3155650319829535E-2</v>
      </c>
      <c r="F1146">
        <v>27.33</v>
      </c>
    </row>
    <row r="1147" spans="1:6">
      <c r="A1147">
        <v>9917</v>
      </c>
      <c r="B1147" t="s">
        <v>1385</v>
      </c>
      <c r="C1147">
        <v>101</v>
      </c>
      <c r="D1147">
        <f>VLOOKUP(A1147,收盤價!A:C,3,0)</f>
        <v>92.6</v>
      </c>
      <c r="E1147" s="126">
        <v>-8.3168316831683228E-2</v>
      </c>
      <c r="F1147">
        <v>27.27</v>
      </c>
    </row>
    <row r="1148" spans="1:6">
      <c r="A1148">
        <v>1781</v>
      </c>
      <c r="B1148" t="s">
        <v>1423</v>
      </c>
      <c r="C1148">
        <v>27.65</v>
      </c>
      <c r="D1148">
        <f>VLOOKUP(A1148,收盤價!A:C,3,0)</f>
        <v>25.35</v>
      </c>
      <c r="E1148" s="126">
        <v>-8.3182640144665365E-2</v>
      </c>
      <c r="F1148">
        <v>27.2</v>
      </c>
    </row>
    <row r="1149" spans="1:6">
      <c r="A1149">
        <v>1414</v>
      </c>
      <c r="B1149" t="s">
        <v>580</v>
      </c>
      <c r="C1149">
        <v>7.09</v>
      </c>
      <c r="D1149">
        <f>VLOOKUP(A1149,收盤價!A:C,3,0)</f>
        <v>6.5</v>
      </c>
      <c r="E1149" s="126">
        <v>-8.3215796897038063E-2</v>
      </c>
      <c r="F1149">
        <v>27.14</v>
      </c>
    </row>
    <row r="1150" spans="1:6">
      <c r="A1150">
        <v>3008</v>
      </c>
      <c r="B1150" t="s">
        <v>1029</v>
      </c>
      <c r="C1150">
        <v>2940</v>
      </c>
      <c r="D1150">
        <f>VLOOKUP(A1150,收盤價!A:C,3,0)</f>
        <v>2695</v>
      </c>
      <c r="E1150" s="126">
        <v>-8.3333333333333329E-2</v>
      </c>
      <c r="F1150">
        <v>27.08</v>
      </c>
    </row>
    <row r="1151" spans="1:6">
      <c r="A1151">
        <v>3645</v>
      </c>
      <c r="B1151" t="s">
        <v>1141</v>
      </c>
      <c r="C1151">
        <v>30</v>
      </c>
      <c r="D1151">
        <f>VLOOKUP(A1151,收盤價!A:C,3,0)</f>
        <v>27.5</v>
      </c>
      <c r="E1151" s="126">
        <v>-8.3333333333333329E-2</v>
      </c>
      <c r="F1151">
        <v>27.01</v>
      </c>
    </row>
    <row r="1152" spans="1:6">
      <c r="A1152">
        <v>1516</v>
      </c>
      <c r="B1152" t="s">
        <v>634</v>
      </c>
      <c r="C1152">
        <v>22.8</v>
      </c>
      <c r="D1152">
        <f>VLOOKUP(A1152,收盤價!A:C,3,0)</f>
        <v>20.9</v>
      </c>
      <c r="E1152" s="126">
        <v>-8.3333333333333426E-2</v>
      </c>
      <c r="F1152">
        <v>26.95</v>
      </c>
    </row>
    <row r="1153" spans="1:6">
      <c r="A1153">
        <v>1307</v>
      </c>
      <c r="B1153" t="s">
        <v>556</v>
      </c>
      <c r="C1153">
        <v>41.8</v>
      </c>
      <c r="D1153">
        <f>VLOOKUP(A1153,收盤價!A:C,3,0)</f>
        <v>38.299999999999997</v>
      </c>
      <c r="E1153" s="126">
        <v>-8.3732057416267949E-2</v>
      </c>
      <c r="F1153">
        <v>26.89</v>
      </c>
    </row>
    <row r="1154" spans="1:6">
      <c r="A1154">
        <v>1256</v>
      </c>
      <c r="B1154" t="s">
        <v>1413</v>
      </c>
      <c r="C1154">
        <v>154.5</v>
      </c>
      <c r="D1154">
        <f>VLOOKUP(A1154,收盤價!A:C,3,0)</f>
        <v>141.5</v>
      </c>
      <c r="E1154" s="126">
        <v>-8.4142394822006472E-2</v>
      </c>
      <c r="F1154">
        <v>26.82</v>
      </c>
    </row>
    <row r="1155" spans="1:6">
      <c r="A1155">
        <v>1805</v>
      </c>
      <c r="B1155" t="s">
        <v>715</v>
      </c>
      <c r="C1155">
        <v>7.6</v>
      </c>
      <c r="D1155">
        <f>VLOOKUP(A1155,收盤價!A:C,3,0)</f>
        <v>6.96</v>
      </c>
      <c r="E1155" s="126">
        <v>-8.421052631578943E-2</v>
      </c>
      <c r="F1155">
        <v>26.76</v>
      </c>
    </row>
    <row r="1156" spans="1:6">
      <c r="A1156">
        <v>9912</v>
      </c>
      <c r="B1156" t="s">
        <v>1383</v>
      </c>
      <c r="C1156">
        <v>9.4600000000000009</v>
      </c>
      <c r="D1156">
        <f>VLOOKUP(A1156,收盤價!A:C,3,0)</f>
        <v>8.66</v>
      </c>
      <c r="E1156" s="126">
        <v>-8.4566596194503241E-2</v>
      </c>
      <c r="F1156">
        <v>26.7</v>
      </c>
    </row>
    <row r="1157" spans="1:6">
      <c r="A1157">
        <v>1708</v>
      </c>
      <c r="B1157" t="s">
        <v>682</v>
      </c>
      <c r="C1157">
        <v>34.25</v>
      </c>
      <c r="D1157">
        <f>VLOOKUP(A1157,收盤價!A:C,3,0)</f>
        <v>31.35</v>
      </c>
      <c r="E1157" s="126">
        <v>-8.4671532846715289E-2</v>
      </c>
      <c r="F1157">
        <v>26.63</v>
      </c>
    </row>
    <row r="1158" spans="1:6">
      <c r="A1158">
        <v>8027</v>
      </c>
      <c r="B1158" t="s">
        <v>1753</v>
      </c>
      <c r="C1158">
        <v>20.65</v>
      </c>
      <c r="D1158">
        <f>VLOOKUP(A1158,收盤價!A:C,3,0)</f>
        <v>18.899999999999999</v>
      </c>
      <c r="E1158" s="126">
        <v>-8.4745762711864417E-2</v>
      </c>
      <c r="F1158">
        <v>26.57</v>
      </c>
    </row>
    <row r="1159" spans="1:6">
      <c r="A1159">
        <v>4513</v>
      </c>
      <c r="B1159" t="s">
        <v>1577</v>
      </c>
      <c r="C1159">
        <v>11.2</v>
      </c>
      <c r="D1159">
        <f>VLOOKUP(A1159,收盤價!A:C,3,0)</f>
        <v>10.25</v>
      </c>
      <c r="E1159" s="126">
        <v>-8.482142857142852E-2</v>
      </c>
      <c r="F1159">
        <v>26.51</v>
      </c>
    </row>
    <row r="1160" spans="1:6">
      <c r="A1160">
        <v>2471</v>
      </c>
      <c r="B1160" t="s">
        <v>897</v>
      </c>
      <c r="C1160">
        <v>14.7</v>
      </c>
      <c r="D1160">
        <f>VLOOKUP(A1160,收盤價!A:C,3,0)</f>
        <v>13.45</v>
      </c>
      <c r="E1160" s="126">
        <v>-8.5034013605442174E-2</v>
      </c>
      <c r="F1160">
        <v>26.44</v>
      </c>
    </row>
    <row r="1161" spans="1:6">
      <c r="A1161">
        <v>6215</v>
      </c>
      <c r="B1161" t="s">
        <v>1276</v>
      </c>
      <c r="C1161">
        <v>14.7</v>
      </c>
      <c r="D1161">
        <f>VLOOKUP(A1161,收盤價!A:C,3,0)</f>
        <v>13.45</v>
      </c>
      <c r="E1161" s="126">
        <v>-8.5034013605442174E-2</v>
      </c>
      <c r="F1161">
        <v>26.38</v>
      </c>
    </row>
    <row r="1162" spans="1:6">
      <c r="A1162">
        <v>8213</v>
      </c>
      <c r="B1162" t="s">
        <v>1334</v>
      </c>
      <c r="C1162">
        <v>37.5</v>
      </c>
      <c r="D1162">
        <f>VLOOKUP(A1162,收盤價!A:C,3,0)</f>
        <v>34.299999999999997</v>
      </c>
      <c r="E1162" s="126">
        <v>-8.5333333333333414E-2</v>
      </c>
      <c r="F1162">
        <v>26.32</v>
      </c>
    </row>
    <row r="1163" spans="1:6">
      <c r="A1163">
        <v>2609</v>
      </c>
      <c r="B1163" t="s">
        <v>954</v>
      </c>
      <c r="C1163">
        <v>10.050000000000001</v>
      </c>
      <c r="D1163">
        <f>VLOOKUP(A1163,收盤價!A:C,3,0)</f>
        <v>9.19</v>
      </c>
      <c r="E1163" s="126">
        <v>-8.5572139303482703E-2</v>
      </c>
      <c r="F1163">
        <v>26.25</v>
      </c>
    </row>
    <row r="1164" spans="1:6">
      <c r="A1164">
        <v>2204</v>
      </c>
      <c r="B1164" t="s">
        <v>768</v>
      </c>
      <c r="C1164">
        <v>23.85</v>
      </c>
      <c r="D1164">
        <f>VLOOKUP(A1164,收盤價!A:C,3,0)</f>
        <v>21.8</v>
      </c>
      <c r="E1164" s="126">
        <v>-8.5953878406708623E-2</v>
      </c>
      <c r="F1164">
        <v>26.19</v>
      </c>
    </row>
    <row r="1165" spans="1:6">
      <c r="A1165">
        <v>3013</v>
      </c>
      <c r="B1165" t="s">
        <v>1032</v>
      </c>
      <c r="C1165">
        <v>19.149999999999999</v>
      </c>
      <c r="D1165">
        <f>VLOOKUP(A1165,收盤價!A:C,3,0)</f>
        <v>17.5</v>
      </c>
      <c r="E1165" s="126">
        <v>-8.6161879895561289E-2</v>
      </c>
      <c r="F1165">
        <v>26.13</v>
      </c>
    </row>
    <row r="1166" spans="1:6">
      <c r="A1166">
        <v>4401</v>
      </c>
      <c r="B1166" t="s">
        <v>1565</v>
      </c>
      <c r="C1166">
        <v>99.7</v>
      </c>
      <c r="D1166">
        <f>VLOOKUP(A1166,收盤價!A:C,3,0)</f>
        <v>91.1</v>
      </c>
      <c r="E1166" s="126">
        <v>-8.6258776328987041E-2</v>
      </c>
      <c r="F1166">
        <v>26.06</v>
      </c>
    </row>
    <row r="1167" spans="1:6">
      <c r="A1167">
        <v>6005</v>
      </c>
      <c r="B1167" t="s">
        <v>1237</v>
      </c>
      <c r="C1167">
        <v>9.9700000000000006</v>
      </c>
      <c r="D1167">
        <f>VLOOKUP(A1167,收盤價!A:C,3,0)</f>
        <v>9.11</v>
      </c>
      <c r="E1167" s="126">
        <v>-8.6258776328987083E-2</v>
      </c>
      <c r="F1167">
        <v>26</v>
      </c>
    </row>
    <row r="1168" spans="1:6">
      <c r="A1168">
        <v>4142</v>
      </c>
      <c r="B1168" t="s">
        <v>1165</v>
      </c>
      <c r="C1168">
        <v>27.2</v>
      </c>
      <c r="D1168">
        <f>VLOOKUP(A1168,收盤價!A:C,3,0)</f>
        <v>24.85</v>
      </c>
      <c r="E1168" s="126">
        <v>-8.6397058823529341E-2</v>
      </c>
      <c r="F1168">
        <v>25.94</v>
      </c>
    </row>
    <row r="1169" spans="1:6">
      <c r="A1169">
        <v>8404</v>
      </c>
      <c r="B1169" t="s">
        <v>1342</v>
      </c>
      <c r="C1169">
        <v>37.450000000000003</v>
      </c>
      <c r="D1169">
        <f>VLOOKUP(A1169,收盤價!A:C,3,0)</f>
        <v>34.200000000000003</v>
      </c>
      <c r="E1169" s="126">
        <v>-8.678237650200267E-2</v>
      </c>
      <c r="F1169">
        <v>25.87</v>
      </c>
    </row>
    <row r="1170" spans="1:6">
      <c r="A1170">
        <v>2448</v>
      </c>
      <c r="B1170" t="s">
        <v>878</v>
      </c>
      <c r="C1170">
        <v>30.45</v>
      </c>
      <c r="D1170">
        <f>VLOOKUP(A1170,收盤價!A:C,3,0)</f>
        <v>27.8</v>
      </c>
      <c r="E1170" s="126">
        <v>-8.702791461412146E-2</v>
      </c>
      <c r="F1170">
        <v>25.81</v>
      </c>
    </row>
    <row r="1171" spans="1:6">
      <c r="A1171">
        <v>3622</v>
      </c>
      <c r="B1171" t="s">
        <v>1140</v>
      </c>
      <c r="C1171">
        <v>12.6</v>
      </c>
      <c r="D1171">
        <f>VLOOKUP(A1171,收盤價!A:C,3,0)</f>
        <v>11.5</v>
      </c>
      <c r="E1171" s="126">
        <v>-8.7301587301587269E-2</v>
      </c>
      <c r="F1171">
        <v>25.75</v>
      </c>
    </row>
    <row r="1172" spans="1:6">
      <c r="A1172">
        <v>5871</v>
      </c>
      <c r="B1172" t="s">
        <v>1233</v>
      </c>
      <c r="C1172">
        <v>63.8</v>
      </c>
      <c r="D1172">
        <f>VLOOKUP(A1172,收盤價!A:C,3,0)</f>
        <v>58.2</v>
      </c>
      <c r="E1172" s="126">
        <v>-8.7774294670846312E-2</v>
      </c>
      <c r="F1172">
        <v>25.68</v>
      </c>
    </row>
    <row r="1173" spans="1:6">
      <c r="A1173">
        <v>9951</v>
      </c>
      <c r="B1173" t="s">
        <v>1826</v>
      </c>
      <c r="C1173">
        <v>182</v>
      </c>
      <c r="D1173">
        <f>VLOOKUP(A1173,收盤價!A:C,3,0)</f>
        <v>166</v>
      </c>
      <c r="E1173" s="126">
        <v>-8.7912087912087919E-2</v>
      </c>
      <c r="F1173">
        <v>25.62</v>
      </c>
    </row>
    <row r="1174" spans="1:6">
      <c r="A1174">
        <v>3691</v>
      </c>
      <c r="B1174" t="s">
        <v>1536</v>
      </c>
      <c r="C1174">
        <v>648</v>
      </c>
      <c r="D1174">
        <f>VLOOKUP(A1174,收盤價!A:C,3,0)</f>
        <v>591</v>
      </c>
      <c r="E1174" s="126">
        <v>-8.7962962962962965E-2</v>
      </c>
      <c r="F1174">
        <v>25.55</v>
      </c>
    </row>
    <row r="1175" spans="1:6">
      <c r="A1175">
        <v>3029</v>
      </c>
      <c r="B1175" t="s">
        <v>1046</v>
      </c>
      <c r="C1175">
        <v>20.350000000000001</v>
      </c>
      <c r="D1175">
        <f>VLOOKUP(A1175,收盤價!A:C,3,0)</f>
        <v>18.55</v>
      </c>
      <c r="E1175" s="126">
        <v>-8.8452088452088476E-2</v>
      </c>
      <c r="F1175">
        <v>25.49</v>
      </c>
    </row>
    <row r="1176" spans="1:6">
      <c r="A1176">
        <v>3631</v>
      </c>
      <c r="B1176" t="s">
        <v>338</v>
      </c>
      <c r="C1176">
        <v>24.7</v>
      </c>
      <c r="D1176">
        <f>VLOOKUP(A1176,收盤價!A:C,3,0)</f>
        <v>22.5</v>
      </c>
      <c r="E1176" s="126">
        <v>-8.9068825910931154E-2</v>
      </c>
      <c r="F1176">
        <v>25.43</v>
      </c>
    </row>
    <row r="1177" spans="1:6">
      <c r="A1177">
        <v>8114</v>
      </c>
      <c r="B1177" t="s">
        <v>1328</v>
      </c>
      <c r="C1177">
        <v>174</v>
      </c>
      <c r="D1177">
        <f>VLOOKUP(A1177,收盤價!A:C,3,0)</f>
        <v>158.5</v>
      </c>
      <c r="E1177" s="126">
        <v>-8.9080459770114945E-2</v>
      </c>
      <c r="F1177">
        <v>25.36</v>
      </c>
    </row>
    <row r="1178" spans="1:6">
      <c r="A1178">
        <v>5230</v>
      </c>
      <c r="B1178" t="s">
        <v>391</v>
      </c>
      <c r="C1178">
        <v>51.6</v>
      </c>
      <c r="D1178">
        <f>VLOOKUP(A1178,收盤價!A:C,3,0)</f>
        <v>47</v>
      </c>
      <c r="E1178" s="126">
        <v>-8.9147286821705446E-2</v>
      </c>
      <c r="F1178">
        <v>25.3</v>
      </c>
    </row>
    <row r="1179" spans="1:6">
      <c r="A1179">
        <v>3219</v>
      </c>
      <c r="B1179" t="s">
        <v>1467</v>
      </c>
      <c r="C1179">
        <v>10.85</v>
      </c>
      <c r="D1179">
        <f>VLOOKUP(A1179,收盤價!A:C,3,0)</f>
        <v>9.8800000000000008</v>
      </c>
      <c r="E1179" s="126">
        <v>-8.9400921658986068E-2</v>
      </c>
      <c r="F1179">
        <v>25.24</v>
      </c>
    </row>
    <row r="1180" spans="1:6">
      <c r="A1180">
        <v>8406</v>
      </c>
      <c r="B1180" t="s">
        <v>1804</v>
      </c>
      <c r="C1180">
        <v>363.5</v>
      </c>
      <c r="D1180">
        <f>VLOOKUP(A1180,收盤價!A:C,3,0)</f>
        <v>331</v>
      </c>
      <c r="E1180" s="126">
        <v>-8.940852819807428E-2</v>
      </c>
      <c r="F1180">
        <v>25.17</v>
      </c>
    </row>
    <row r="1181" spans="1:6">
      <c r="A1181">
        <v>2365</v>
      </c>
      <c r="B1181" t="s">
        <v>820</v>
      </c>
      <c r="C1181">
        <v>10.5</v>
      </c>
      <c r="D1181">
        <f>VLOOKUP(A1181,收盤價!A:C,3,0)</f>
        <v>9.56</v>
      </c>
      <c r="E1181" s="126">
        <v>-8.9523809523809478E-2</v>
      </c>
      <c r="F1181">
        <v>25.11</v>
      </c>
    </row>
    <row r="1182" spans="1:6">
      <c r="A1182">
        <v>8082</v>
      </c>
      <c r="B1182" t="s">
        <v>487</v>
      </c>
      <c r="C1182">
        <v>2.56</v>
      </c>
      <c r="D1182">
        <f>VLOOKUP(A1182,收盤價!A:C,3,0)</f>
        <v>2.33</v>
      </c>
      <c r="E1182" s="126">
        <v>-8.9843749999999986E-2</v>
      </c>
      <c r="F1182">
        <v>25.05</v>
      </c>
    </row>
    <row r="1183" spans="1:6">
      <c r="A1183">
        <v>3684</v>
      </c>
      <c r="B1183" t="s">
        <v>1533</v>
      </c>
      <c r="C1183">
        <v>64.5</v>
      </c>
      <c r="D1183">
        <f>VLOOKUP(A1183,收盤價!A:C,3,0)</f>
        <v>58.7</v>
      </c>
      <c r="E1183" s="126">
        <v>-8.9922480620154996E-2</v>
      </c>
      <c r="F1183">
        <v>24.98</v>
      </c>
    </row>
    <row r="1184" spans="1:6">
      <c r="A1184">
        <v>1736</v>
      </c>
      <c r="B1184" t="s">
        <v>707</v>
      </c>
      <c r="C1184">
        <v>60</v>
      </c>
      <c r="D1184">
        <f>VLOOKUP(A1184,收盤價!A:C,3,0)</f>
        <v>54.6</v>
      </c>
      <c r="E1184" s="126">
        <v>-8.9999999999999983E-2</v>
      </c>
      <c r="F1184">
        <v>24.92</v>
      </c>
    </row>
    <row r="1185" spans="1:6">
      <c r="A1185">
        <v>4168</v>
      </c>
      <c r="B1185" t="s">
        <v>354</v>
      </c>
      <c r="C1185">
        <v>51</v>
      </c>
      <c r="D1185">
        <f>VLOOKUP(A1185,收盤價!A:C,3,0)</f>
        <v>46.4</v>
      </c>
      <c r="E1185" s="126">
        <v>-9.0196078431372576E-2</v>
      </c>
      <c r="F1185">
        <v>24.86</v>
      </c>
    </row>
    <row r="1186" spans="1:6">
      <c r="A1186">
        <v>1795</v>
      </c>
      <c r="B1186" t="s">
        <v>1427</v>
      </c>
      <c r="C1186">
        <v>76.8</v>
      </c>
      <c r="D1186">
        <f>VLOOKUP(A1186,收盤價!A:C,3,0)</f>
        <v>69.8</v>
      </c>
      <c r="E1186" s="126">
        <v>-9.1145833333333343E-2</v>
      </c>
      <c r="F1186">
        <v>24.79</v>
      </c>
    </row>
    <row r="1187" spans="1:6">
      <c r="A1187">
        <v>2506</v>
      </c>
      <c r="B1187" t="s">
        <v>923</v>
      </c>
      <c r="C1187">
        <v>16.45</v>
      </c>
      <c r="D1187">
        <f>VLOOKUP(A1187,收盤價!A:C,3,0)</f>
        <v>14.95</v>
      </c>
      <c r="E1187" s="126">
        <v>-9.1185410334346503E-2</v>
      </c>
      <c r="F1187">
        <v>24.73</v>
      </c>
    </row>
    <row r="1188" spans="1:6">
      <c r="A1188">
        <v>6113</v>
      </c>
      <c r="B1188" t="s">
        <v>1690</v>
      </c>
      <c r="C1188">
        <v>8.57</v>
      </c>
      <c r="D1188">
        <f>VLOOKUP(A1188,收盤價!A:C,3,0)</f>
        <v>7.78</v>
      </c>
      <c r="E1188" s="126">
        <v>-9.2182030338389731E-2</v>
      </c>
      <c r="F1188">
        <v>24.67</v>
      </c>
    </row>
    <row r="1189" spans="1:6">
      <c r="A1189">
        <v>5314</v>
      </c>
      <c r="B1189" t="s">
        <v>1632</v>
      </c>
      <c r="C1189">
        <v>7.05</v>
      </c>
      <c r="D1189">
        <f>VLOOKUP(A1189,收盤價!A:C,3,0)</f>
        <v>6.4</v>
      </c>
      <c r="E1189" s="126">
        <v>-9.2198581560283613E-2</v>
      </c>
      <c r="F1189">
        <v>24.6</v>
      </c>
    </row>
    <row r="1190" spans="1:6">
      <c r="A1190">
        <v>8110</v>
      </c>
      <c r="B1190" t="s">
        <v>1326</v>
      </c>
      <c r="C1190">
        <v>10.3</v>
      </c>
      <c r="D1190">
        <f>VLOOKUP(A1190,收盤價!A:C,3,0)</f>
        <v>9.35</v>
      </c>
      <c r="E1190" s="126">
        <v>-9.2233009708737962E-2</v>
      </c>
      <c r="F1190">
        <v>24.54</v>
      </c>
    </row>
    <row r="1191" spans="1:6">
      <c r="A1191">
        <v>2883</v>
      </c>
      <c r="B1191" t="s">
        <v>1001</v>
      </c>
      <c r="C1191">
        <v>9.1999999999999993</v>
      </c>
      <c r="D1191">
        <f>VLOOKUP(A1191,收盤價!A:C,3,0)</f>
        <v>8.35</v>
      </c>
      <c r="E1191" s="126">
        <v>-9.2391304347826053E-2</v>
      </c>
      <c r="F1191">
        <v>24.48</v>
      </c>
    </row>
    <row r="1192" spans="1:6">
      <c r="A1192">
        <v>911619</v>
      </c>
      <c r="B1192" t="s">
        <v>1365</v>
      </c>
      <c r="C1192">
        <v>1.29</v>
      </c>
      <c r="D1192">
        <f>VLOOKUP(A1192,收盤價!A:C,3,0)</f>
        <v>1.17</v>
      </c>
      <c r="E1192" s="126">
        <v>-9.302325581395357E-2</v>
      </c>
      <c r="F1192">
        <v>24.41</v>
      </c>
    </row>
    <row r="1193" spans="1:6">
      <c r="A1193">
        <v>2929</v>
      </c>
      <c r="B1193" t="s">
        <v>1023</v>
      </c>
      <c r="C1193">
        <v>145</v>
      </c>
      <c r="D1193">
        <f>VLOOKUP(A1193,收盤價!A:C,3,0)</f>
        <v>131.5</v>
      </c>
      <c r="E1193" s="126">
        <v>-9.3103448275862075E-2</v>
      </c>
      <c r="F1193">
        <v>24.35</v>
      </c>
    </row>
    <row r="1194" spans="1:6">
      <c r="A1194">
        <v>4535</v>
      </c>
      <c r="B1194" t="s">
        <v>1585</v>
      </c>
      <c r="C1194">
        <v>48.25</v>
      </c>
      <c r="D1194">
        <f>VLOOKUP(A1194,收盤價!A:C,3,0)</f>
        <v>43.75</v>
      </c>
      <c r="E1194" s="126">
        <v>-9.3264248704663211E-2</v>
      </c>
      <c r="F1194">
        <v>24.29</v>
      </c>
    </row>
    <row r="1195" spans="1:6">
      <c r="A1195">
        <v>3306</v>
      </c>
      <c r="B1195" t="s">
        <v>1480</v>
      </c>
      <c r="C1195">
        <v>26.8</v>
      </c>
      <c r="D1195">
        <f>VLOOKUP(A1195,收盤價!A:C,3,0)</f>
        <v>24.3</v>
      </c>
      <c r="E1195" s="126">
        <v>-9.3283582089552231E-2</v>
      </c>
      <c r="F1195">
        <v>24.22</v>
      </c>
    </row>
    <row r="1196" spans="1:6">
      <c r="A1196">
        <v>1539</v>
      </c>
      <c r="B1196" t="s">
        <v>653</v>
      </c>
      <c r="C1196">
        <v>38.5</v>
      </c>
      <c r="D1196">
        <f>VLOOKUP(A1196,收盤價!A:C,3,0)</f>
        <v>34.9</v>
      </c>
      <c r="E1196" s="126">
        <v>-9.3506493506493538E-2</v>
      </c>
      <c r="F1196">
        <v>24.16</v>
      </c>
    </row>
    <row r="1197" spans="1:6">
      <c r="A1197">
        <v>6133</v>
      </c>
      <c r="B1197" t="s">
        <v>1246</v>
      </c>
      <c r="C1197">
        <v>11.2</v>
      </c>
      <c r="D1197">
        <f>VLOOKUP(A1197,收盤價!A:C,3,0)</f>
        <v>10.15</v>
      </c>
      <c r="E1197" s="126">
        <v>-9.3749999999999917E-2</v>
      </c>
      <c r="F1197">
        <v>24.1</v>
      </c>
    </row>
    <row r="1198" spans="1:6">
      <c r="A1198">
        <v>6470</v>
      </c>
      <c r="B1198" t="s">
        <v>1880</v>
      </c>
      <c r="C1198">
        <v>60.8</v>
      </c>
      <c r="D1198">
        <f>VLOOKUP(A1198,收盤價!A:C,3,0)</f>
        <v>55.1</v>
      </c>
      <c r="E1198" s="126">
        <v>-9.3749999999999931E-2</v>
      </c>
      <c r="F1198">
        <v>24.03</v>
      </c>
    </row>
    <row r="1199" spans="1:6">
      <c r="A1199">
        <v>3508</v>
      </c>
      <c r="B1199" t="s">
        <v>318</v>
      </c>
      <c r="C1199">
        <v>17.05</v>
      </c>
      <c r="D1199">
        <f>VLOOKUP(A1199,收盤價!A:C,3,0)</f>
        <v>15.45</v>
      </c>
      <c r="E1199" s="126">
        <v>-9.3841642228739086E-2</v>
      </c>
      <c r="F1199">
        <v>23.97</v>
      </c>
    </row>
    <row r="1200" spans="1:6">
      <c r="A1200">
        <v>3672</v>
      </c>
      <c r="B1200" t="s">
        <v>342</v>
      </c>
      <c r="C1200">
        <v>40.4</v>
      </c>
      <c r="D1200">
        <f>VLOOKUP(A1200,收盤價!A:C,3,0)</f>
        <v>36.6</v>
      </c>
      <c r="E1200" s="126">
        <v>-9.405940594059399E-2</v>
      </c>
      <c r="F1200">
        <v>23.91</v>
      </c>
    </row>
    <row r="1201" spans="1:6">
      <c r="A1201">
        <v>2884</v>
      </c>
      <c r="B1201" t="s">
        <v>1002</v>
      </c>
      <c r="C1201">
        <v>20.149999999999999</v>
      </c>
      <c r="D1201">
        <f>VLOOKUP(A1201,收盤價!A:C,3,0)</f>
        <v>18.25</v>
      </c>
      <c r="E1201" s="126">
        <v>-9.4292803970223257E-2</v>
      </c>
      <c r="F1201">
        <v>23.84</v>
      </c>
    </row>
    <row r="1202" spans="1:6">
      <c r="A1202">
        <v>3594</v>
      </c>
      <c r="B1202" t="s">
        <v>331</v>
      </c>
      <c r="C1202">
        <v>33.4</v>
      </c>
      <c r="D1202">
        <f>VLOOKUP(A1202,收盤價!A:C,3,0)</f>
        <v>30.25</v>
      </c>
      <c r="E1202" s="126">
        <v>-9.4311377245508948E-2</v>
      </c>
      <c r="F1202">
        <v>23.78</v>
      </c>
    </row>
    <row r="1203" spans="1:6">
      <c r="A1203">
        <v>1752</v>
      </c>
      <c r="B1203" t="s">
        <v>252</v>
      </c>
      <c r="C1203">
        <v>48.6</v>
      </c>
      <c r="D1203">
        <f>VLOOKUP(A1203,收盤價!A:C,3,0)</f>
        <v>44</v>
      </c>
      <c r="E1203" s="126">
        <v>-9.46502057613169E-2</v>
      </c>
      <c r="F1203">
        <v>23.72</v>
      </c>
    </row>
    <row r="1204" spans="1:6">
      <c r="A1204">
        <v>912000</v>
      </c>
      <c r="B1204" t="s">
        <v>1369</v>
      </c>
      <c r="C1204">
        <v>3.48</v>
      </c>
      <c r="D1204">
        <f>VLOOKUP(A1204,收盤價!A:C,3,0)</f>
        <v>3.15</v>
      </c>
      <c r="E1204" s="126">
        <v>-9.4827586206896575E-2</v>
      </c>
      <c r="F1204">
        <v>23.65</v>
      </c>
    </row>
    <row r="1205" spans="1:6">
      <c r="A1205">
        <v>1440</v>
      </c>
      <c r="B1205" t="s">
        <v>593</v>
      </c>
      <c r="C1205">
        <v>15.7</v>
      </c>
      <c r="D1205">
        <f>VLOOKUP(A1205,收盤價!A:C,3,0)</f>
        <v>14.2</v>
      </c>
      <c r="E1205" s="126">
        <v>-9.5541401273885357E-2</v>
      </c>
      <c r="F1205">
        <v>23.59</v>
      </c>
    </row>
    <row r="1206" spans="1:6">
      <c r="A1206">
        <v>3698</v>
      </c>
      <c r="B1206" t="s">
        <v>1151</v>
      </c>
      <c r="C1206">
        <v>19.3</v>
      </c>
      <c r="D1206">
        <f>VLOOKUP(A1206,收盤價!A:C,3,0)</f>
        <v>17.45</v>
      </c>
      <c r="E1206" s="126">
        <v>-9.5854922279792823E-2</v>
      </c>
      <c r="F1206">
        <v>23.53</v>
      </c>
    </row>
    <row r="1207" spans="1:6">
      <c r="A1207">
        <v>3694</v>
      </c>
      <c r="B1207" t="s">
        <v>1150</v>
      </c>
      <c r="C1207">
        <v>18.7</v>
      </c>
      <c r="D1207">
        <f>VLOOKUP(A1207,收盤價!A:C,3,0)</f>
        <v>16.899999999999999</v>
      </c>
      <c r="E1207" s="126">
        <v>-9.6256684491978647E-2</v>
      </c>
      <c r="F1207">
        <v>23.46</v>
      </c>
    </row>
    <row r="1208" spans="1:6">
      <c r="A1208">
        <v>1438</v>
      </c>
      <c r="B1208" t="s">
        <v>591</v>
      </c>
      <c r="C1208">
        <v>4.9800000000000004</v>
      </c>
      <c r="D1208">
        <f>VLOOKUP(A1208,收盤價!A:C,3,0)</f>
        <v>4.5</v>
      </c>
      <c r="E1208" s="126">
        <v>-9.6385542168674773E-2</v>
      </c>
      <c r="F1208">
        <v>23.4</v>
      </c>
    </row>
    <row r="1209" spans="1:6">
      <c r="A1209">
        <v>2337</v>
      </c>
      <c r="B1209" t="s">
        <v>797</v>
      </c>
      <c r="C1209">
        <v>4.87</v>
      </c>
      <c r="D1209">
        <f>VLOOKUP(A1209,收盤價!A:C,3,0)</f>
        <v>4.4000000000000004</v>
      </c>
      <c r="E1209" s="126">
        <v>-9.6509240246406516E-2</v>
      </c>
      <c r="F1209">
        <v>23.34</v>
      </c>
    </row>
    <row r="1210" spans="1:6">
      <c r="A1210">
        <v>6146</v>
      </c>
      <c r="B1210" t="s">
        <v>438</v>
      </c>
      <c r="C1210">
        <v>196</v>
      </c>
      <c r="D1210">
        <f>VLOOKUP(A1210,收盤價!A:C,3,0)</f>
        <v>177</v>
      </c>
      <c r="E1210" s="126">
        <v>-9.6938775510204078E-2</v>
      </c>
      <c r="F1210">
        <v>23.27</v>
      </c>
    </row>
    <row r="1211" spans="1:6">
      <c r="A1211">
        <v>3701</v>
      </c>
      <c r="B1211" t="s">
        <v>1152</v>
      </c>
      <c r="C1211">
        <v>8.86</v>
      </c>
      <c r="D1211">
        <f>VLOOKUP(A1211,收盤價!A:C,3,0)</f>
        <v>8</v>
      </c>
      <c r="E1211" s="126">
        <v>-9.7065462753950282E-2</v>
      </c>
      <c r="F1211">
        <v>23.21</v>
      </c>
    </row>
    <row r="1212" spans="1:6">
      <c r="A1212">
        <v>3312</v>
      </c>
      <c r="B1212" t="s">
        <v>1093</v>
      </c>
      <c r="C1212">
        <v>7.21</v>
      </c>
      <c r="D1212">
        <f>VLOOKUP(A1212,收盤價!A:C,3,0)</f>
        <v>6.51</v>
      </c>
      <c r="E1212" s="126">
        <v>-9.7087378640776725E-2</v>
      </c>
      <c r="F1212">
        <v>23.15</v>
      </c>
    </row>
    <row r="1213" spans="1:6">
      <c r="A1213">
        <v>6234</v>
      </c>
      <c r="B1213" t="s">
        <v>460</v>
      </c>
      <c r="C1213">
        <v>21.45</v>
      </c>
      <c r="D1213">
        <f>VLOOKUP(A1213,收盤價!A:C,3,0)</f>
        <v>19.350000000000001</v>
      </c>
      <c r="E1213" s="126">
        <v>-9.7902097902097807E-2</v>
      </c>
      <c r="F1213">
        <v>23.08</v>
      </c>
    </row>
    <row r="1214" spans="1:6">
      <c r="A1214">
        <v>8427</v>
      </c>
      <c r="B1214" t="s">
        <v>1345</v>
      </c>
      <c r="C1214">
        <v>57</v>
      </c>
      <c r="D1214">
        <f>VLOOKUP(A1214,收盤價!A:C,3,0)</f>
        <v>51.4</v>
      </c>
      <c r="E1214" s="126">
        <v>-9.8245614035087747E-2</v>
      </c>
      <c r="F1214">
        <v>23.02</v>
      </c>
    </row>
    <row r="1215" spans="1:6">
      <c r="A1215">
        <v>6127</v>
      </c>
      <c r="B1215" t="s">
        <v>1697</v>
      </c>
      <c r="C1215">
        <v>10.85</v>
      </c>
      <c r="D1215">
        <f>VLOOKUP(A1215,收盤價!A:C,3,0)</f>
        <v>9.7799999999999994</v>
      </c>
      <c r="E1215" s="126">
        <v>-9.8617511520737361E-2</v>
      </c>
      <c r="F1215">
        <v>22.95</v>
      </c>
    </row>
    <row r="1216" spans="1:6">
      <c r="A1216">
        <v>5484</v>
      </c>
      <c r="B1216" t="s">
        <v>1220</v>
      </c>
      <c r="C1216">
        <v>4.55</v>
      </c>
      <c r="D1216">
        <f>VLOOKUP(A1216,收盤價!A:C,3,0)</f>
        <v>4.0999999999999996</v>
      </c>
      <c r="E1216" s="126">
        <v>-9.8901098901098938E-2</v>
      </c>
      <c r="F1216">
        <v>22.89</v>
      </c>
    </row>
    <row r="1217" spans="1:6">
      <c r="A1217">
        <v>2855</v>
      </c>
      <c r="B1217" t="s">
        <v>995</v>
      </c>
      <c r="C1217">
        <v>15.55</v>
      </c>
      <c r="D1217">
        <f>VLOOKUP(A1217,收盤價!A:C,3,0)</f>
        <v>14</v>
      </c>
      <c r="E1217" s="126">
        <v>-9.9678456591639916E-2</v>
      </c>
      <c r="F1217">
        <v>22.83</v>
      </c>
    </row>
    <row r="1218" spans="1:6">
      <c r="A1218">
        <v>1309</v>
      </c>
      <c r="B1218" t="s">
        <v>558</v>
      </c>
      <c r="C1218">
        <v>9.2200000000000006</v>
      </c>
      <c r="D1218">
        <f>VLOOKUP(A1218,收盤價!A:C,3,0)</f>
        <v>8.3000000000000007</v>
      </c>
      <c r="E1218" s="126">
        <v>-9.9783080260303678E-2</v>
      </c>
      <c r="F1218">
        <v>22.76</v>
      </c>
    </row>
    <row r="1219" spans="1:6">
      <c r="A1219">
        <v>6186</v>
      </c>
      <c r="B1219" t="s">
        <v>448</v>
      </c>
      <c r="C1219">
        <v>23.55</v>
      </c>
      <c r="D1219">
        <f>VLOOKUP(A1219,收盤價!A:C,3,0)</f>
        <v>21.2</v>
      </c>
      <c r="E1219" s="126">
        <v>-9.9787685774946983E-2</v>
      </c>
      <c r="F1219">
        <v>22.7</v>
      </c>
    </row>
    <row r="1220" spans="1:6">
      <c r="A1220">
        <v>2402</v>
      </c>
      <c r="B1220" t="s">
        <v>844</v>
      </c>
      <c r="C1220">
        <v>18.899999999999999</v>
      </c>
      <c r="D1220">
        <f>VLOOKUP(A1220,收盤價!A:C,3,0)</f>
        <v>17</v>
      </c>
      <c r="E1220" s="126">
        <v>-0.10052910052910047</v>
      </c>
      <c r="F1220">
        <v>22.64</v>
      </c>
    </row>
    <row r="1221" spans="1:6">
      <c r="A1221">
        <v>2362</v>
      </c>
      <c r="B1221" t="s">
        <v>817</v>
      </c>
      <c r="C1221">
        <v>36.25</v>
      </c>
      <c r="D1221">
        <f>VLOOKUP(A1221,收盤價!A:C,3,0)</f>
        <v>32.6</v>
      </c>
      <c r="E1221" s="126">
        <v>-0.10068965517241375</v>
      </c>
      <c r="F1221">
        <v>22.57</v>
      </c>
    </row>
    <row r="1222" spans="1:6">
      <c r="A1222">
        <v>3002</v>
      </c>
      <c r="B1222" t="s">
        <v>1024</v>
      </c>
      <c r="C1222">
        <v>11.4</v>
      </c>
      <c r="D1222">
        <f>VLOOKUP(A1222,收盤價!A:C,3,0)</f>
        <v>10.25</v>
      </c>
      <c r="E1222" s="126">
        <v>-0.10087719298245616</v>
      </c>
      <c r="F1222">
        <v>22.51</v>
      </c>
    </row>
    <row r="1223" spans="1:6">
      <c r="A1223">
        <v>3481</v>
      </c>
      <c r="B1223" t="s">
        <v>1110</v>
      </c>
      <c r="C1223">
        <v>11.4</v>
      </c>
      <c r="D1223">
        <f>VLOOKUP(A1223,收盤價!A:C,3,0)</f>
        <v>10.25</v>
      </c>
      <c r="E1223" s="126">
        <v>-0.10087719298245616</v>
      </c>
      <c r="F1223">
        <v>22.45</v>
      </c>
    </row>
    <row r="1224" spans="1:6">
      <c r="A1224">
        <v>5251</v>
      </c>
      <c r="B1224" t="s">
        <v>393</v>
      </c>
      <c r="C1224">
        <v>34.5</v>
      </c>
      <c r="D1224">
        <f>VLOOKUP(A1224,收盤價!A:C,3,0)</f>
        <v>31</v>
      </c>
      <c r="E1224" s="126">
        <v>-0.10144927536231885</v>
      </c>
      <c r="F1224">
        <v>22.38</v>
      </c>
    </row>
    <row r="1225" spans="1:6">
      <c r="A1225">
        <v>5490</v>
      </c>
      <c r="B1225" t="s">
        <v>423</v>
      </c>
      <c r="C1225">
        <v>80.8</v>
      </c>
      <c r="D1225">
        <f>VLOOKUP(A1225,收盤價!A:C,3,0)</f>
        <v>72.599999999999994</v>
      </c>
      <c r="E1225" s="126">
        <v>-0.10148514851485152</v>
      </c>
      <c r="F1225">
        <v>22.32</v>
      </c>
    </row>
    <row r="1226" spans="1:6">
      <c r="A1226">
        <v>1337</v>
      </c>
      <c r="B1226" t="s">
        <v>572</v>
      </c>
      <c r="C1226">
        <v>23.1</v>
      </c>
      <c r="D1226">
        <f>VLOOKUP(A1226,收盤價!A:C,3,0)</f>
        <v>20.75</v>
      </c>
      <c r="E1226" s="126">
        <v>-0.10173160173160178</v>
      </c>
      <c r="F1226">
        <v>22.26</v>
      </c>
    </row>
    <row r="1227" spans="1:6">
      <c r="A1227">
        <v>2207</v>
      </c>
      <c r="B1227" t="s">
        <v>770</v>
      </c>
      <c r="C1227">
        <v>387.5</v>
      </c>
      <c r="D1227">
        <f>VLOOKUP(A1227,收盤價!A:C,3,0)</f>
        <v>348</v>
      </c>
      <c r="E1227" s="126">
        <v>-0.10193548387096774</v>
      </c>
      <c r="F1227">
        <v>22.19</v>
      </c>
    </row>
    <row r="1228" spans="1:6">
      <c r="A1228">
        <v>4120</v>
      </c>
      <c r="B1228" t="s">
        <v>347</v>
      </c>
      <c r="C1228">
        <v>59.8</v>
      </c>
      <c r="D1228">
        <f>VLOOKUP(A1228,收盤價!A:C,3,0)</f>
        <v>53.7</v>
      </c>
      <c r="E1228" s="126">
        <v>-0.10200668896321061</v>
      </c>
      <c r="F1228">
        <v>22.13</v>
      </c>
    </row>
    <row r="1229" spans="1:6">
      <c r="A1229">
        <v>2482</v>
      </c>
      <c r="B1229" t="s">
        <v>905</v>
      </c>
      <c r="C1229">
        <v>14.65</v>
      </c>
      <c r="D1229">
        <f>VLOOKUP(A1229,收盤價!A:C,3,0)</f>
        <v>13.15</v>
      </c>
      <c r="E1229" s="126">
        <v>-0.10238907849829351</v>
      </c>
      <c r="F1229">
        <v>22.07</v>
      </c>
    </row>
    <row r="1230" spans="1:6">
      <c r="A1230">
        <v>1454</v>
      </c>
      <c r="B1230" t="s">
        <v>605</v>
      </c>
      <c r="C1230">
        <v>10.25</v>
      </c>
      <c r="D1230">
        <f>VLOOKUP(A1230,收盤價!A:C,3,0)</f>
        <v>9.1999999999999993</v>
      </c>
      <c r="E1230" s="126">
        <v>-0.10243902439024397</v>
      </c>
      <c r="F1230">
        <v>22</v>
      </c>
    </row>
    <row r="1231" spans="1:6">
      <c r="A1231">
        <v>5480</v>
      </c>
      <c r="B1231" t="s">
        <v>1656</v>
      </c>
      <c r="C1231">
        <v>12.65</v>
      </c>
      <c r="D1231">
        <f>VLOOKUP(A1231,收盤價!A:C,3,0)</f>
        <v>11.35</v>
      </c>
      <c r="E1231" s="126">
        <v>-0.10276679841897239</v>
      </c>
      <c r="F1231">
        <v>21.94</v>
      </c>
    </row>
    <row r="1232" spans="1:6">
      <c r="A1232">
        <v>4154</v>
      </c>
      <c r="B1232" t="s">
        <v>1552</v>
      </c>
      <c r="C1232">
        <v>22.7</v>
      </c>
      <c r="D1232">
        <f>VLOOKUP(A1232,收盤價!A:C,3,0)</f>
        <v>20.350000000000001</v>
      </c>
      <c r="E1232" s="126">
        <v>-0.10352422907488977</v>
      </c>
      <c r="F1232">
        <v>21.88</v>
      </c>
    </row>
    <row r="1233" spans="1:6">
      <c r="A1233">
        <v>4927</v>
      </c>
      <c r="B1233" t="s">
        <v>1189</v>
      </c>
      <c r="C1233">
        <v>42</v>
      </c>
      <c r="D1233">
        <f>VLOOKUP(A1233,收盤價!A:C,3,0)</f>
        <v>37.65</v>
      </c>
      <c r="E1233" s="126">
        <v>-0.10357142857142861</v>
      </c>
      <c r="F1233">
        <v>21.81</v>
      </c>
    </row>
    <row r="1234" spans="1:6">
      <c r="A1234">
        <v>6184</v>
      </c>
      <c r="B1234" t="s">
        <v>1263</v>
      </c>
      <c r="C1234">
        <v>53.8</v>
      </c>
      <c r="D1234">
        <f>VLOOKUP(A1234,收盤價!A:C,3,0)</f>
        <v>48.2</v>
      </c>
      <c r="E1234" s="126">
        <v>-0.10408921933085492</v>
      </c>
      <c r="F1234">
        <v>21.75</v>
      </c>
    </row>
    <row r="1235" spans="1:6">
      <c r="A1235">
        <v>911616</v>
      </c>
      <c r="B1235" t="s">
        <v>1364</v>
      </c>
      <c r="C1235">
        <v>2.68</v>
      </c>
      <c r="D1235">
        <f>VLOOKUP(A1235,收盤價!A:C,3,0)</f>
        <v>2.4</v>
      </c>
      <c r="E1235" s="126">
        <v>-0.1044776119402986</v>
      </c>
      <c r="F1235">
        <v>21.69</v>
      </c>
    </row>
    <row r="1236" spans="1:6">
      <c r="A1236">
        <v>1103</v>
      </c>
      <c r="B1236" t="s">
        <v>528</v>
      </c>
      <c r="C1236">
        <v>10.8</v>
      </c>
      <c r="D1236">
        <f>VLOOKUP(A1236,收盤價!A:C,3,0)</f>
        <v>9.67</v>
      </c>
      <c r="E1236" s="126">
        <v>-0.1046296296296297</v>
      </c>
      <c r="F1236">
        <v>21.62</v>
      </c>
    </row>
    <row r="1237" spans="1:6">
      <c r="A1237">
        <v>2732</v>
      </c>
      <c r="B1237" t="s">
        <v>1439</v>
      </c>
      <c r="C1237">
        <v>91</v>
      </c>
      <c r="D1237">
        <f>VLOOKUP(A1237,收盤價!A:C,3,0)</f>
        <v>81.400000000000006</v>
      </c>
      <c r="E1237" s="126">
        <v>-0.10549450549450544</v>
      </c>
      <c r="F1237">
        <v>21.56</v>
      </c>
    </row>
    <row r="1238" spans="1:6">
      <c r="A1238">
        <v>4127</v>
      </c>
      <c r="B1238" t="s">
        <v>1546</v>
      </c>
      <c r="C1238">
        <v>24.6</v>
      </c>
      <c r="D1238">
        <f>VLOOKUP(A1238,收盤價!A:C,3,0)</f>
        <v>22</v>
      </c>
      <c r="E1238" s="126">
        <v>-0.10569105691056915</v>
      </c>
      <c r="F1238">
        <v>21.5</v>
      </c>
    </row>
    <row r="1239" spans="1:6">
      <c r="A1239">
        <v>5512</v>
      </c>
      <c r="B1239" t="s">
        <v>424</v>
      </c>
      <c r="C1239">
        <v>10.75</v>
      </c>
      <c r="D1239">
        <f>VLOOKUP(A1239,收盤價!A:C,3,0)</f>
        <v>9.61</v>
      </c>
      <c r="E1239" s="126">
        <v>-0.10604651162790703</v>
      </c>
      <c r="F1239">
        <v>21.43</v>
      </c>
    </row>
    <row r="1240" spans="1:6">
      <c r="A1240">
        <v>5515</v>
      </c>
      <c r="B1240" t="s">
        <v>1221</v>
      </c>
      <c r="C1240">
        <v>9.98</v>
      </c>
      <c r="D1240">
        <f>VLOOKUP(A1240,收盤價!A:C,3,0)</f>
        <v>8.92</v>
      </c>
      <c r="E1240" s="126">
        <v>-0.10621242484969945</v>
      </c>
      <c r="F1240">
        <v>21.37</v>
      </c>
    </row>
    <row r="1241" spans="1:6">
      <c r="A1241">
        <v>4557</v>
      </c>
      <c r="B1241" t="s">
        <v>1175</v>
      </c>
      <c r="C1241">
        <v>85.4</v>
      </c>
      <c r="D1241">
        <f>VLOOKUP(A1241,收盤價!A:C,3,0)</f>
        <v>76.3</v>
      </c>
      <c r="E1241" s="126">
        <v>-0.10655737704918042</v>
      </c>
      <c r="F1241">
        <v>21.31</v>
      </c>
    </row>
    <row r="1242" spans="1:6">
      <c r="A1242">
        <v>5386</v>
      </c>
      <c r="B1242" t="s">
        <v>1645</v>
      </c>
      <c r="C1242">
        <v>26.7</v>
      </c>
      <c r="D1242">
        <f>VLOOKUP(A1242,收盤價!A:C,3,0)</f>
        <v>23.85</v>
      </c>
      <c r="E1242" s="126">
        <v>-0.10674157303370779</v>
      </c>
      <c r="F1242">
        <v>21.24</v>
      </c>
    </row>
    <row r="1243" spans="1:6">
      <c r="A1243">
        <v>8092</v>
      </c>
      <c r="B1243" t="s">
        <v>1776</v>
      </c>
      <c r="C1243">
        <v>8.68</v>
      </c>
      <c r="D1243">
        <f>VLOOKUP(A1243,收盤價!A:C,3,0)</f>
        <v>7.75</v>
      </c>
      <c r="E1243" s="126">
        <v>-0.10714285714285711</v>
      </c>
      <c r="F1243">
        <v>21.18</v>
      </c>
    </row>
    <row r="1244" spans="1:6">
      <c r="A1244">
        <v>3432</v>
      </c>
      <c r="B1244" t="s">
        <v>1104</v>
      </c>
      <c r="C1244">
        <v>14</v>
      </c>
      <c r="D1244">
        <f>VLOOKUP(A1244,收盤價!A:C,3,0)</f>
        <v>12.5</v>
      </c>
      <c r="E1244" s="126">
        <v>-0.10714285714285714</v>
      </c>
      <c r="F1244">
        <v>21.12</v>
      </c>
    </row>
    <row r="1245" spans="1:6">
      <c r="A1245">
        <v>3362</v>
      </c>
      <c r="B1245" t="s">
        <v>1488</v>
      </c>
      <c r="C1245">
        <v>15.4</v>
      </c>
      <c r="D1245">
        <f>VLOOKUP(A1245,收盤價!A:C,3,0)</f>
        <v>13.75</v>
      </c>
      <c r="E1245" s="126">
        <v>-0.10714285714285716</v>
      </c>
      <c r="F1245">
        <v>21.05</v>
      </c>
    </row>
    <row r="1246" spans="1:6">
      <c r="A1246">
        <v>2903</v>
      </c>
      <c r="B1246" t="s">
        <v>1012</v>
      </c>
      <c r="C1246">
        <v>20</v>
      </c>
      <c r="D1246">
        <f>VLOOKUP(A1246,收盤價!A:C,3,0)</f>
        <v>17.850000000000001</v>
      </c>
      <c r="E1246" s="126">
        <v>-0.10749999999999993</v>
      </c>
      <c r="F1246">
        <v>20.99</v>
      </c>
    </row>
    <row r="1247" spans="1:6">
      <c r="A1247">
        <v>8463</v>
      </c>
      <c r="B1247" t="s">
        <v>1349</v>
      </c>
      <c r="C1247">
        <v>26.5</v>
      </c>
      <c r="D1247">
        <f>VLOOKUP(A1247,收盤價!A:C,3,0)</f>
        <v>23.65</v>
      </c>
      <c r="E1247" s="126">
        <v>-0.10754716981132081</v>
      </c>
      <c r="F1247">
        <v>20.93</v>
      </c>
    </row>
    <row r="1248" spans="1:6">
      <c r="A1248">
        <v>1906</v>
      </c>
      <c r="B1248" t="s">
        <v>724</v>
      </c>
      <c r="C1248">
        <v>8.27</v>
      </c>
      <c r="D1248">
        <f>VLOOKUP(A1248,收盤價!A:C,3,0)</f>
        <v>7.38</v>
      </c>
      <c r="E1248" s="126">
        <v>-0.10761789600967349</v>
      </c>
      <c r="F1248">
        <v>20.86</v>
      </c>
    </row>
    <row r="1249" spans="1:6">
      <c r="A1249">
        <v>2059</v>
      </c>
      <c r="B1249" t="s">
        <v>754</v>
      </c>
      <c r="C1249">
        <v>436.5</v>
      </c>
      <c r="D1249">
        <f>VLOOKUP(A1249,收盤價!A:C,3,0)</f>
        <v>389.5</v>
      </c>
      <c r="E1249" s="126">
        <v>-0.10767468499427263</v>
      </c>
      <c r="F1249">
        <v>20.8</v>
      </c>
    </row>
    <row r="1250" spans="1:6">
      <c r="A1250">
        <v>2401</v>
      </c>
      <c r="B1250" t="s">
        <v>843</v>
      </c>
      <c r="C1250">
        <v>13.45</v>
      </c>
      <c r="D1250">
        <f>VLOOKUP(A1250,收盤價!A:C,3,0)</f>
        <v>12</v>
      </c>
      <c r="E1250" s="126">
        <v>-0.10780669144981408</v>
      </c>
      <c r="F1250">
        <v>20.74</v>
      </c>
    </row>
    <row r="1251" spans="1:6">
      <c r="A1251">
        <v>4173</v>
      </c>
      <c r="B1251" t="s">
        <v>355</v>
      </c>
      <c r="C1251">
        <v>29.15</v>
      </c>
      <c r="D1251">
        <f>VLOOKUP(A1251,收盤價!A:C,3,0)</f>
        <v>26</v>
      </c>
      <c r="E1251" s="126">
        <v>-0.10806174957118349</v>
      </c>
      <c r="F1251">
        <v>20.67</v>
      </c>
    </row>
    <row r="1252" spans="1:6">
      <c r="A1252">
        <v>8938</v>
      </c>
      <c r="B1252" t="s">
        <v>514</v>
      </c>
      <c r="C1252">
        <v>21.25</v>
      </c>
      <c r="D1252">
        <f>VLOOKUP(A1252,收盤價!A:C,3,0)</f>
        <v>18.95</v>
      </c>
      <c r="E1252" s="126">
        <v>-0.1082352941176471</v>
      </c>
      <c r="F1252">
        <v>20.61</v>
      </c>
    </row>
    <row r="1253" spans="1:6">
      <c r="A1253">
        <v>6022</v>
      </c>
      <c r="B1253" t="s">
        <v>1681</v>
      </c>
      <c r="C1253">
        <v>10.75</v>
      </c>
      <c r="D1253">
        <f>VLOOKUP(A1253,收盤價!A:C,3,0)</f>
        <v>9.58</v>
      </c>
      <c r="E1253" s="126">
        <v>-0.10883720930232557</v>
      </c>
      <c r="F1253">
        <v>20.55</v>
      </c>
    </row>
    <row r="1254" spans="1:6">
      <c r="A1254">
        <v>2911</v>
      </c>
      <c r="B1254" t="s">
        <v>1018</v>
      </c>
      <c r="C1254">
        <v>19.25</v>
      </c>
      <c r="D1254">
        <f>VLOOKUP(A1254,收盤價!A:C,3,0)</f>
        <v>17.149999999999999</v>
      </c>
      <c r="E1254" s="126">
        <v>-0.10909090909090917</v>
      </c>
      <c r="F1254">
        <v>20.48</v>
      </c>
    </row>
    <row r="1255" spans="1:6">
      <c r="A1255">
        <v>6506</v>
      </c>
      <c r="B1255" t="s">
        <v>1751</v>
      </c>
      <c r="C1255">
        <v>22.9</v>
      </c>
      <c r="D1255">
        <f>VLOOKUP(A1255,收盤價!A:C,3,0)</f>
        <v>20.399999999999999</v>
      </c>
      <c r="E1255" s="126">
        <v>-0.1091703056768559</v>
      </c>
      <c r="F1255">
        <v>20.420000000000002</v>
      </c>
    </row>
    <row r="1256" spans="1:6">
      <c r="A1256">
        <v>4542</v>
      </c>
      <c r="B1256" t="s">
        <v>365</v>
      </c>
      <c r="C1256">
        <v>21.4</v>
      </c>
      <c r="D1256">
        <f>VLOOKUP(A1256,收盤價!A:C,3,0)</f>
        <v>19.05</v>
      </c>
      <c r="E1256" s="126">
        <v>-0.10981308411214943</v>
      </c>
      <c r="F1256">
        <v>20.36</v>
      </c>
    </row>
    <row r="1257" spans="1:6">
      <c r="A1257">
        <v>2534</v>
      </c>
      <c r="B1257" t="s">
        <v>934</v>
      </c>
      <c r="C1257">
        <v>17.649999999999999</v>
      </c>
      <c r="D1257">
        <f>VLOOKUP(A1257,收盤價!A:C,3,0)</f>
        <v>15.7</v>
      </c>
      <c r="E1257" s="126">
        <v>-0.11048158640226625</v>
      </c>
      <c r="F1257">
        <v>20.29</v>
      </c>
    </row>
    <row r="1258" spans="1:6">
      <c r="A1258">
        <v>4743</v>
      </c>
      <c r="B1258" t="s">
        <v>1594</v>
      </c>
      <c r="C1258">
        <v>38.35</v>
      </c>
      <c r="D1258">
        <f>VLOOKUP(A1258,收盤價!A:C,3,0)</f>
        <v>34.1</v>
      </c>
      <c r="E1258" s="126">
        <v>-0.11082138200782268</v>
      </c>
      <c r="F1258">
        <v>20.23</v>
      </c>
    </row>
    <row r="1259" spans="1:6">
      <c r="A1259">
        <v>2636</v>
      </c>
      <c r="B1259" t="s">
        <v>1433</v>
      </c>
      <c r="C1259">
        <v>32.9</v>
      </c>
      <c r="D1259">
        <f>VLOOKUP(A1259,收盤價!A:C,3,0)</f>
        <v>29.25</v>
      </c>
      <c r="E1259" s="126">
        <v>-0.11094224924012154</v>
      </c>
      <c r="F1259">
        <v>20.16</v>
      </c>
    </row>
    <row r="1260" spans="1:6">
      <c r="A1260">
        <v>5491</v>
      </c>
      <c r="B1260" t="s">
        <v>1661</v>
      </c>
      <c r="C1260">
        <v>8.02</v>
      </c>
      <c r="D1260">
        <f>VLOOKUP(A1260,收盤價!A:C,3,0)</f>
        <v>7.13</v>
      </c>
      <c r="E1260" s="126">
        <v>-0.11097256857855359</v>
      </c>
      <c r="F1260">
        <v>20.100000000000001</v>
      </c>
    </row>
    <row r="1261" spans="1:6">
      <c r="A1261">
        <v>5344</v>
      </c>
      <c r="B1261" t="s">
        <v>1637</v>
      </c>
      <c r="C1261">
        <v>6.27</v>
      </c>
      <c r="D1261">
        <f>VLOOKUP(A1261,收盤價!A:C,3,0)</f>
        <v>5.57</v>
      </c>
      <c r="E1261" s="126">
        <v>-0.11164274322169049</v>
      </c>
      <c r="F1261">
        <v>20.04</v>
      </c>
    </row>
    <row r="1262" spans="1:6">
      <c r="A1262">
        <v>6241</v>
      </c>
      <c r="B1262" t="s">
        <v>463</v>
      </c>
      <c r="C1262">
        <v>14.3</v>
      </c>
      <c r="D1262">
        <f>VLOOKUP(A1262,收盤價!A:C,3,0)</f>
        <v>12.7</v>
      </c>
      <c r="E1262" s="126">
        <v>-0.11188811188811199</v>
      </c>
      <c r="F1262">
        <v>19.97</v>
      </c>
    </row>
    <row r="1263" spans="1:6">
      <c r="A1263">
        <v>1533</v>
      </c>
      <c r="B1263" t="s">
        <v>648</v>
      </c>
      <c r="C1263">
        <v>48.95</v>
      </c>
      <c r="D1263">
        <f>VLOOKUP(A1263,收盤價!A:C,3,0)</f>
        <v>43.45</v>
      </c>
      <c r="E1263" s="126">
        <v>-0.11235955056179775</v>
      </c>
      <c r="F1263">
        <v>19.91</v>
      </c>
    </row>
    <row r="1264" spans="1:6">
      <c r="A1264">
        <v>8905</v>
      </c>
      <c r="B1264" t="s">
        <v>1812</v>
      </c>
      <c r="C1264">
        <v>15.1</v>
      </c>
      <c r="D1264">
        <f>VLOOKUP(A1264,收盤價!A:C,3,0)</f>
        <v>13.4</v>
      </c>
      <c r="E1264" s="126">
        <v>-0.11258278145695359</v>
      </c>
      <c r="F1264">
        <v>19.850000000000001</v>
      </c>
    </row>
    <row r="1265" spans="1:6">
      <c r="A1265">
        <v>6207</v>
      </c>
      <c r="B1265" t="s">
        <v>452</v>
      </c>
      <c r="C1265">
        <v>29.3</v>
      </c>
      <c r="D1265">
        <f>VLOOKUP(A1265,收盤價!A:C,3,0)</f>
        <v>26</v>
      </c>
      <c r="E1265" s="126">
        <v>-0.11262798634812289</v>
      </c>
      <c r="F1265">
        <v>19.78</v>
      </c>
    </row>
    <row r="1266" spans="1:6">
      <c r="A1266">
        <v>2603</v>
      </c>
      <c r="B1266" t="s">
        <v>949</v>
      </c>
      <c r="C1266">
        <v>15.05</v>
      </c>
      <c r="D1266">
        <f>VLOOKUP(A1266,收盤價!A:C,3,0)</f>
        <v>13.35</v>
      </c>
      <c r="E1266" s="126">
        <v>-0.1129568106312293</v>
      </c>
      <c r="F1266">
        <v>19.72</v>
      </c>
    </row>
    <row r="1267" spans="1:6">
      <c r="A1267">
        <v>3030</v>
      </c>
      <c r="B1267" t="s">
        <v>1047</v>
      </c>
      <c r="C1267">
        <v>56.6</v>
      </c>
      <c r="D1267">
        <f>VLOOKUP(A1267,收盤價!A:C,3,0)</f>
        <v>50.2</v>
      </c>
      <c r="E1267" s="126">
        <v>-0.11307420494699644</v>
      </c>
      <c r="F1267">
        <v>19.66</v>
      </c>
    </row>
    <row r="1268" spans="1:6">
      <c r="A1268">
        <v>4974</v>
      </c>
      <c r="B1268" t="s">
        <v>382</v>
      </c>
      <c r="C1268">
        <v>42</v>
      </c>
      <c r="D1268">
        <f>VLOOKUP(A1268,收盤價!A:C,3,0)</f>
        <v>37.25</v>
      </c>
      <c r="E1268" s="126">
        <v>-0.1130952380952381</v>
      </c>
      <c r="F1268">
        <v>19.59</v>
      </c>
    </row>
    <row r="1269" spans="1:6">
      <c r="A1269">
        <v>8054</v>
      </c>
      <c r="B1269" t="s">
        <v>482</v>
      </c>
      <c r="C1269">
        <v>22.35</v>
      </c>
      <c r="D1269">
        <f>VLOOKUP(A1269,收盤價!A:C,3,0)</f>
        <v>19.8</v>
      </c>
      <c r="E1269" s="126">
        <v>-0.11409395973154365</v>
      </c>
      <c r="F1269">
        <v>19.53</v>
      </c>
    </row>
    <row r="1270" spans="1:6">
      <c r="A1270">
        <v>2823</v>
      </c>
      <c r="B1270" t="s">
        <v>983</v>
      </c>
      <c r="C1270">
        <v>28</v>
      </c>
      <c r="D1270">
        <f>VLOOKUP(A1270,收盤價!A:C,3,0)</f>
        <v>24.8</v>
      </c>
      <c r="E1270" s="126">
        <v>-0.11428571428571425</v>
      </c>
      <c r="F1270">
        <v>19.47</v>
      </c>
    </row>
    <row r="1271" spans="1:6">
      <c r="A1271">
        <v>2442</v>
      </c>
      <c r="B1271" t="s">
        <v>875</v>
      </c>
      <c r="C1271">
        <v>7.17</v>
      </c>
      <c r="D1271">
        <f>VLOOKUP(A1271,收盤價!A:C,3,0)</f>
        <v>6.35</v>
      </c>
      <c r="E1271" s="126">
        <v>-0.11436541143654118</v>
      </c>
      <c r="F1271">
        <v>19.399999999999999</v>
      </c>
    </row>
    <row r="1272" spans="1:6">
      <c r="A1272">
        <v>8409</v>
      </c>
      <c r="B1272" t="s">
        <v>1805</v>
      </c>
      <c r="C1272">
        <v>35.799999999999997</v>
      </c>
      <c r="D1272">
        <f>VLOOKUP(A1272,收盤價!A:C,3,0)</f>
        <v>31.7</v>
      </c>
      <c r="E1272" s="126">
        <v>-0.11452513966480442</v>
      </c>
      <c r="F1272">
        <v>19.34</v>
      </c>
    </row>
    <row r="1273" spans="1:6">
      <c r="A1273">
        <v>1784</v>
      </c>
      <c r="B1273" t="s">
        <v>1424</v>
      </c>
      <c r="C1273">
        <v>37.1</v>
      </c>
      <c r="D1273">
        <f>VLOOKUP(A1273,收盤價!A:C,3,0)</f>
        <v>32.85</v>
      </c>
      <c r="E1273" s="126">
        <v>-0.11455525606469003</v>
      </c>
      <c r="F1273">
        <v>19.28</v>
      </c>
    </row>
    <row r="1274" spans="1:6">
      <c r="A1274">
        <v>2887</v>
      </c>
      <c r="B1274" t="s">
        <v>1005</v>
      </c>
      <c r="C1274">
        <v>13.05</v>
      </c>
      <c r="D1274">
        <f>VLOOKUP(A1274,收盤價!A:C,3,0)</f>
        <v>11.55</v>
      </c>
      <c r="E1274" s="126">
        <v>-0.11494252873563218</v>
      </c>
      <c r="F1274">
        <v>19.21</v>
      </c>
    </row>
    <row r="1275" spans="1:6">
      <c r="A1275">
        <v>2497</v>
      </c>
      <c r="B1275" t="s">
        <v>917</v>
      </c>
      <c r="C1275">
        <v>43</v>
      </c>
      <c r="D1275">
        <f>VLOOKUP(A1275,收盤價!A:C,3,0)</f>
        <v>38.049999999999997</v>
      </c>
      <c r="E1275" s="126">
        <v>-0.11511627906976751</v>
      </c>
      <c r="F1275">
        <v>19.149999999999999</v>
      </c>
    </row>
    <row r="1276" spans="1:6">
      <c r="A1276">
        <v>4907</v>
      </c>
      <c r="B1276" t="s">
        <v>1599</v>
      </c>
      <c r="C1276">
        <v>11.7</v>
      </c>
      <c r="D1276">
        <f>VLOOKUP(A1276,收盤價!A:C,3,0)</f>
        <v>10.35</v>
      </c>
      <c r="E1276" s="126">
        <v>-0.11538461538461536</v>
      </c>
      <c r="F1276">
        <v>19.09</v>
      </c>
    </row>
    <row r="1277" spans="1:6">
      <c r="A1277">
        <v>6164</v>
      </c>
      <c r="B1277" t="s">
        <v>1255</v>
      </c>
      <c r="C1277">
        <v>11.7</v>
      </c>
      <c r="D1277">
        <f>VLOOKUP(A1277,收盤價!A:C,3,0)</f>
        <v>10.35</v>
      </c>
      <c r="E1277" s="126">
        <v>-0.11538461538461536</v>
      </c>
      <c r="F1277">
        <v>19.02</v>
      </c>
    </row>
    <row r="1278" spans="1:6">
      <c r="A1278">
        <v>6166</v>
      </c>
      <c r="B1278" t="s">
        <v>1257</v>
      </c>
      <c r="C1278">
        <v>88.4</v>
      </c>
      <c r="D1278">
        <f>VLOOKUP(A1278,收盤價!A:C,3,0)</f>
        <v>78.2</v>
      </c>
      <c r="E1278" s="126">
        <v>-0.1153846153846154</v>
      </c>
      <c r="F1278">
        <v>18.96</v>
      </c>
    </row>
    <row r="1279" spans="1:6">
      <c r="A1279">
        <v>5609</v>
      </c>
      <c r="B1279" t="s">
        <v>428</v>
      </c>
      <c r="C1279">
        <v>18.850000000000001</v>
      </c>
      <c r="D1279">
        <f>VLOOKUP(A1279,收盤價!A:C,3,0)</f>
        <v>16.649999999999999</v>
      </c>
      <c r="E1279" s="126">
        <v>-0.11671087533156513</v>
      </c>
      <c r="F1279">
        <v>18.899999999999999</v>
      </c>
    </row>
    <row r="1280" spans="1:6">
      <c r="A1280">
        <v>6274</v>
      </c>
      <c r="B1280" t="s">
        <v>471</v>
      </c>
      <c r="C1280">
        <v>29.9</v>
      </c>
      <c r="D1280">
        <f>VLOOKUP(A1280,收盤價!A:C,3,0)</f>
        <v>26.4</v>
      </c>
      <c r="E1280" s="126">
        <v>-0.11705685618729098</v>
      </c>
      <c r="F1280">
        <v>18.829999999999998</v>
      </c>
    </row>
    <row r="1281" spans="1:6">
      <c r="A1281">
        <v>8016</v>
      </c>
      <c r="B1281" t="s">
        <v>1315</v>
      </c>
      <c r="C1281">
        <v>104</v>
      </c>
      <c r="D1281">
        <f>VLOOKUP(A1281,收盤價!A:C,3,0)</f>
        <v>91.8</v>
      </c>
      <c r="E1281" s="126">
        <v>-0.11730769230769234</v>
      </c>
      <c r="F1281">
        <v>18.77</v>
      </c>
    </row>
    <row r="1282" spans="1:6">
      <c r="A1282">
        <v>9946</v>
      </c>
      <c r="B1282" t="s">
        <v>1409</v>
      </c>
      <c r="C1282">
        <v>16.55</v>
      </c>
      <c r="D1282">
        <f>VLOOKUP(A1282,收盤價!A:C,3,0)</f>
        <v>14.6</v>
      </c>
      <c r="E1282" s="126">
        <v>-0.11782477341389734</v>
      </c>
      <c r="F1282">
        <v>18.71</v>
      </c>
    </row>
    <row r="1283" spans="1:6">
      <c r="A1283">
        <v>2409</v>
      </c>
      <c r="B1283" t="s">
        <v>849</v>
      </c>
      <c r="C1283">
        <v>10.15</v>
      </c>
      <c r="D1283">
        <f>VLOOKUP(A1283,收盤價!A:C,3,0)</f>
        <v>8.9499999999999993</v>
      </c>
      <c r="E1283" s="126">
        <v>-0.11822660098522178</v>
      </c>
      <c r="F1283">
        <v>18.64</v>
      </c>
    </row>
    <row r="1284" spans="1:6">
      <c r="A1284">
        <v>1599</v>
      </c>
      <c r="B1284" t="s">
        <v>1422</v>
      </c>
      <c r="C1284">
        <v>61.6</v>
      </c>
      <c r="D1284">
        <f>VLOOKUP(A1284,收盤價!A:C,3,0)</f>
        <v>54.3</v>
      </c>
      <c r="E1284" s="126">
        <v>-0.11850649350649357</v>
      </c>
      <c r="F1284">
        <v>18.579999999999998</v>
      </c>
    </row>
    <row r="1285" spans="1:6">
      <c r="A1285">
        <v>3687</v>
      </c>
      <c r="B1285" t="s">
        <v>343</v>
      </c>
      <c r="C1285">
        <v>74.900000000000006</v>
      </c>
      <c r="D1285">
        <f>VLOOKUP(A1285,收盤價!A:C,3,0)</f>
        <v>66</v>
      </c>
      <c r="E1285" s="126">
        <v>-0.11882510013351141</v>
      </c>
      <c r="F1285">
        <v>18.52</v>
      </c>
    </row>
    <row r="1286" spans="1:6">
      <c r="A1286">
        <v>3706</v>
      </c>
      <c r="B1286" t="s">
        <v>1157</v>
      </c>
      <c r="C1286">
        <v>26.7</v>
      </c>
      <c r="D1286">
        <f>VLOOKUP(A1286,收盤價!A:C,3,0)</f>
        <v>23.5</v>
      </c>
      <c r="E1286" s="126">
        <v>-0.11985018726591758</v>
      </c>
      <c r="F1286">
        <v>18.45</v>
      </c>
    </row>
    <row r="1287" spans="1:6">
      <c r="A1287">
        <v>2852</v>
      </c>
      <c r="B1287" t="s">
        <v>994</v>
      </c>
      <c r="C1287">
        <v>13.35</v>
      </c>
      <c r="D1287">
        <f>VLOOKUP(A1287,收盤價!A:C,3,0)</f>
        <v>11.75</v>
      </c>
      <c r="E1287" s="126">
        <v>-0.11985018726591758</v>
      </c>
      <c r="F1287">
        <v>18.39</v>
      </c>
    </row>
    <row r="1288" spans="1:6">
      <c r="A1288">
        <v>3521</v>
      </c>
      <c r="B1288" t="s">
        <v>1505</v>
      </c>
      <c r="C1288">
        <v>14.5</v>
      </c>
      <c r="D1288">
        <f>VLOOKUP(A1288,收盤價!A:C,3,0)</f>
        <v>12.75</v>
      </c>
      <c r="E1288" s="126">
        <v>-0.1206896551724138</v>
      </c>
      <c r="F1288">
        <v>18.329999999999998</v>
      </c>
    </row>
    <row r="1289" spans="1:6">
      <c r="A1289">
        <v>2431</v>
      </c>
      <c r="B1289" t="s">
        <v>866</v>
      </c>
      <c r="C1289">
        <v>17.149999999999999</v>
      </c>
      <c r="D1289">
        <f>VLOOKUP(A1289,收盤價!A:C,3,0)</f>
        <v>15.05</v>
      </c>
      <c r="E1289" s="126">
        <v>-0.12244897959183662</v>
      </c>
      <c r="F1289">
        <v>18.260000000000002</v>
      </c>
    </row>
    <row r="1290" spans="1:6">
      <c r="A1290">
        <v>8068</v>
      </c>
      <c r="B1290" t="s">
        <v>484</v>
      </c>
      <c r="C1290">
        <v>16.2</v>
      </c>
      <c r="D1290">
        <f>VLOOKUP(A1290,收盤價!A:C,3,0)</f>
        <v>14.2</v>
      </c>
      <c r="E1290" s="126">
        <v>-0.1234567901234568</v>
      </c>
      <c r="F1290">
        <v>18.2</v>
      </c>
    </row>
    <row r="1291" spans="1:6">
      <c r="A1291">
        <v>2062</v>
      </c>
      <c r="B1291" t="s">
        <v>755</v>
      </c>
      <c r="C1291">
        <v>48.9</v>
      </c>
      <c r="D1291">
        <f>VLOOKUP(A1291,收盤價!A:C,3,0)</f>
        <v>42.85</v>
      </c>
      <c r="E1291" s="126">
        <v>-0.12372188139059299</v>
      </c>
      <c r="F1291">
        <v>18.14</v>
      </c>
    </row>
    <row r="1292" spans="1:6">
      <c r="A1292">
        <v>5324</v>
      </c>
      <c r="B1292" t="s">
        <v>404</v>
      </c>
      <c r="C1292">
        <v>11.3</v>
      </c>
      <c r="D1292">
        <f>VLOOKUP(A1292,收盤價!A:C,3,0)</f>
        <v>9.9</v>
      </c>
      <c r="E1292" s="126">
        <v>-0.12389380530973454</v>
      </c>
      <c r="F1292">
        <v>18.07</v>
      </c>
    </row>
    <row r="1293" spans="1:6">
      <c r="A1293">
        <v>5301</v>
      </c>
      <c r="B1293" t="s">
        <v>399</v>
      </c>
      <c r="C1293">
        <v>43</v>
      </c>
      <c r="D1293">
        <f>VLOOKUP(A1293,收盤價!A:C,3,0)</f>
        <v>37.65</v>
      </c>
      <c r="E1293" s="126">
        <v>-0.12441860465116282</v>
      </c>
      <c r="F1293">
        <v>18.010000000000002</v>
      </c>
    </row>
    <row r="1294" spans="1:6">
      <c r="A1294">
        <v>4402</v>
      </c>
      <c r="B1294" t="s">
        <v>360</v>
      </c>
      <c r="C1294">
        <v>5.05</v>
      </c>
      <c r="D1294">
        <f>VLOOKUP(A1294,收盤價!A:C,3,0)</f>
        <v>4.42</v>
      </c>
      <c r="E1294" s="126">
        <v>-0.12475247524752474</v>
      </c>
      <c r="F1294">
        <v>17.95</v>
      </c>
    </row>
    <row r="1295" spans="1:6">
      <c r="A1295">
        <v>2885</v>
      </c>
      <c r="B1295" t="s">
        <v>1003</v>
      </c>
      <c r="C1295">
        <v>13.6</v>
      </c>
      <c r="D1295">
        <f>VLOOKUP(A1295,收盤價!A:C,3,0)</f>
        <v>11.9</v>
      </c>
      <c r="E1295" s="126">
        <v>-0.12499999999999994</v>
      </c>
      <c r="F1295">
        <v>17.88</v>
      </c>
    </row>
    <row r="1296" spans="1:6">
      <c r="A1296">
        <v>4536</v>
      </c>
      <c r="B1296" t="s">
        <v>1173</v>
      </c>
      <c r="C1296">
        <v>128</v>
      </c>
      <c r="D1296">
        <f>VLOOKUP(A1296,收盤價!A:C,3,0)</f>
        <v>112</v>
      </c>
      <c r="E1296" s="126">
        <v>-0.125</v>
      </c>
      <c r="F1296">
        <v>17.82</v>
      </c>
    </row>
    <row r="1297" spans="1:6">
      <c r="A1297">
        <v>3031</v>
      </c>
      <c r="B1297" t="s">
        <v>1048</v>
      </c>
      <c r="C1297">
        <v>10.55</v>
      </c>
      <c r="D1297">
        <f>VLOOKUP(A1297,收盤價!A:C,3,0)</f>
        <v>9.23</v>
      </c>
      <c r="E1297" s="126">
        <v>-0.12511848341232229</v>
      </c>
      <c r="F1297">
        <v>17.760000000000002</v>
      </c>
    </row>
    <row r="1298" spans="1:6">
      <c r="A1298">
        <v>6214</v>
      </c>
      <c r="B1298" t="s">
        <v>1275</v>
      </c>
      <c r="C1298">
        <v>63.8</v>
      </c>
      <c r="D1298">
        <f>VLOOKUP(A1298,收盤價!A:C,3,0)</f>
        <v>55.8</v>
      </c>
      <c r="E1298" s="126">
        <v>-0.12539184952978058</v>
      </c>
      <c r="F1298">
        <v>17.690000000000001</v>
      </c>
    </row>
    <row r="1299" spans="1:6">
      <c r="A1299">
        <v>4108</v>
      </c>
      <c r="B1299" t="s">
        <v>1160</v>
      </c>
      <c r="C1299">
        <v>31.45</v>
      </c>
      <c r="D1299">
        <f>VLOOKUP(A1299,收盤價!A:C,3,0)</f>
        <v>27.5</v>
      </c>
      <c r="E1299" s="126">
        <v>-0.12559618441971382</v>
      </c>
      <c r="F1299">
        <v>17.63</v>
      </c>
    </row>
    <row r="1300" spans="1:6">
      <c r="A1300">
        <v>5514</v>
      </c>
      <c r="B1300" t="s">
        <v>1666</v>
      </c>
      <c r="C1300">
        <v>11.9</v>
      </c>
      <c r="D1300">
        <f>VLOOKUP(A1300,收盤價!A:C,3,0)</f>
        <v>10.4</v>
      </c>
      <c r="E1300" s="126">
        <v>-0.12605042016806722</v>
      </c>
      <c r="F1300">
        <v>17.559999999999999</v>
      </c>
    </row>
    <row r="1301" spans="1:6">
      <c r="A1301">
        <v>4129</v>
      </c>
      <c r="B1301" t="s">
        <v>1548</v>
      </c>
      <c r="C1301">
        <v>82.4</v>
      </c>
      <c r="D1301">
        <f>VLOOKUP(A1301,收盤價!A:C,3,0)</f>
        <v>72</v>
      </c>
      <c r="E1301" s="126">
        <v>-0.12621359223300976</v>
      </c>
      <c r="F1301">
        <v>17.5</v>
      </c>
    </row>
    <row r="1302" spans="1:6">
      <c r="A1302">
        <v>8048</v>
      </c>
      <c r="B1302" t="s">
        <v>1761</v>
      </c>
      <c r="C1302">
        <v>52.4</v>
      </c>
      <c r="D1302">
        <f>VLOOKUP(A1302,收盤價!A:C,3,0)</f>
        <v>45.75</v>
      </c>
      <c r="E1302" s="126">
        <v>-0.12690839694656486</v>
      </c>
      <c r="F1302">
        <v>17.440000000000001</v>
      </c>
    </row>
    <row r="1303" spans="1:6">
      <c r="A1303">
        <v>6419</v>
      </c>
      <c r="B1303" t="s">
        <v>1747</v>
      </c>
      <c r="C1303">
        <v>23.95</v>
      </c>
      <c r="D1303">
        <f>VLOOKUP(A1303,收盤價!A:C,3,0)</f>
        <v>20.9</v>
      </c>
      <c r="E1303" s="126">
        <v>-0.12734864300626308</v>
      </c>
      <c r="F1303">
        <v>17.37</v>
      </c>
    </row>
    <row r="1304" spans="1:6">
      <c r="A1304">
        <v>5210</v>
      </c>
      <c r="B1304" t="s">
        <v>389</v>
      </c>
      <c r="C1304">
        <v>7.3</v>
      </c>
      <c r="D1304">
        <f>VLOOKUP(A1304,收盤價!A:C,3,0)</f>
        <v>6.37</v>
      </c>
      <c r="E1304" s="126">
        <v>-0.12739726027397258</v>
      </c>
      <c r="F1304">
        <v>17.309999999999999</v>
      </c>
    </row>
    <row r="1305" spans="1:6">
      <c r="A1305">
        <v>2453</v>
      </c>
      <c r="B1305" t="s">
        <v>882</v>
      </c>
      <c r="C1305">
        <v>12.15</v>
      </c>
      <c r="D1305">
        <f>VLOOKUP(A1305,收盤價!A:C,3,0)</f>
        <v>10.6</v>
      </c>
      <c r="E1305" s="126">
        <v>-0.12757201646090541</v>
      </c>
      <c r="F1305">
        <v>17.25</v>
      </c>
    </row>
    <row r="1306" spans="1:6">
      <c r="A1306">
        <v>3490</v>
      </c>
      <c r="B1306" t="s">
        <v>316</v>
      </c>
      <c r="C1306">
        <v>89.1</v>
      </c>
      <c r="D1306">
        <f>VLOOKUP(A1306,收盤價!A:C,3,0)</f>
        <v>77.7</v>
      </c>
      <c r="E1306" s="126">
        <v>-0.12794612794612786</v>
      </c>
      <c r="F1306">
        <v>17.18</v>
      </c>
    </row>
    <row r="1307" spans="1:6">
      <c r="A1307">
        <v>3285</v>
      </c>
      <c r="B1307" t="s">
        <v>294</v>
      </c>
      <c r="C1307">
        <v>34.65</v>
      </c>
      <c r="D1307">
        <f>VLOOKUP(A1307,收盤價!A:C,3,0)</f>
        <v>30.2</v>
      </c>
      <c r="E1307" s="126">
        <v>-0.12842712842712842</v>
      </c>
      <c r="F1307">
        <v>17.12</v>
      </c>
    </row>
    <row r="1308" spans="1:6">
      <c r="A1308">
        <v>3290</v>
      </c>
      <c r="B1308" t="s">
        <v>1478</v>
      </c>
      <c r="C1308">
        <v>16.25</v>
      </c>
      <c r="D1308">
        <f>VLOOKUP(A1308,收盤價!A:C,3,0)</f>
        <v>14.15</v>
      </c>
      <c r="E1308" s="126">
        <v>-0.1292307692307692</v>
      </c>
      <c r="F1308">
        <v>17.059999999999999</v>
      </c>
    </row>
    <row r="1309" spans="1:6">
      <c r="A1309">
        <v>1783</v>
      </c>
      <c r="B1309" t="s">
        <v>711</v>
      </c>
      <c r="C1309">
        <v>26.6</v>
      </c>
      <c r="D1309">
        <f>VLOOKUP(A1309,收盤價!A:C,3,0)</f>
        <v>23.15</v>
      </c>
      <c r="E1309" s="126">
        <v>-0.12969924812030084</v>
      </c>
      <c r="F1309">
        <v>16.989999999999998</v>
      </c>
    </row>
    <row r="1310" spans="1:6">
      <c r="A1310">
        <v>8067</v>
      </c>
      <c r="B1310" t="s">
        <v>1767</v>
      </c>
      <c r="C1310">
        <v>5.61</v>
      </c>
      <c r="D1310">
        <f>VLOOKUP(A1310,收盤價!A:C,3,0)</f>
        <v>4.88</v>
      </c>
      <c r="E1310" s="126">
        <v>-0.13012477718360077</v>
      </c>
      <c r="F1310">
        <v>16.93</v>
      </c>
    </row>
    <row r="1311" spans="1:6">
      <c r="A1311">
        <v>5475</v>
      </c>
      <c r="B1311" t="s">
        <v>1655</v>
      </c>
      <c r="C1311">
        <v>4.38</v>
      </c>
      <c r="D1311">
        <f>VLOOKUP(A1311,收盤價!A:C,3,0)</f>
        <v>3.81</v>
      </c>
      <c r="E1311" s="126">
        <v>-0.13013698630136983</v>
      </c>
      <c r="F1311">
        <v>16.87</v>
      </c>
    </row>
    <row r="1312" spans="1:6">
      <c r="A1312">
        <v>9157</v>
      </c>
      <c r="B1312" t="s">
        <v>1372</v>
      </c>
      <c r="C1312">
        <v>1.53</v>
      </c>
      <c r="D1312">
        <f>VLOOKUP(A1312,收盤價!A:C,3,0)</f>
        <v>1.33</v>
      </c>
      <c r="E1312" s="126">
        <v>-0.13071895424836599</v>
      </c>
      <c r="F1312">
        <v>16.8</v>
      </c>
    </row>
    <row r="1313" spans="1:6">
      <c r="A1313">
        <v>2867</v>
      </c>
      <c r="B1313" t="s">
        <v>997</v>
      </c>
      <c r="C1313">
        <v>19.8</v>
      </c>
      <c r="D1313">
        <f>VLOOKUP(A1313,收盤價!A:C,3,0)</f>
        <v>17.2</v>
      </c>
      <c r="E1313" s="126">
        <v>-0.13131313131313138</v>
      </c>
      <c r="F1313">
        <v>16.739999999999998</v>
      </c>
    </row>
    <row r="1314" spans="1:6">
      <c r="A1314">
        <v>5225</v>
      </c>
      <c r="B1314" t="s">
        <v>1207</v>
      </c>
      <c r="C1314">
        <v>55.2</v>
      </c>
      <c r="D1314">
        <f>VLOOKUP(A1314,收盤價!A:C,3,0)</f>
        <v>47.95</v>
      </c>
      <c r="E1314" s="126">
        <v>-0.13134057971014493</v>
      </c>
      <c r="F1314">
        <v>16.68</v>
      </c>
    </row>
    <row r="1315" spans="1:6">
      <c r="A1315">
        <v>2486</v>
      </c>
      <c r="B1315" t="s">
        <v>909</v>
      </c>
      <c r="C1315">
        <v>11.8</v>
      </c>
      <c r="D1315">
        <f>VLOOKUP(A1315,收盤價!A:C,3,0)</f>
        <v>10.25</v>
      </c>
      <c r="E1315" s="126">
        <v>-0.13135593220338987</v>
      </c>
      <c r="F1315">
        <v>16.61</v>
      </c>
    </row>
    <row r="1316" spans="1:6">
      <c r="A1316">
        <v>9904</v>
      </c>
      <c r="B1316" t="s">
        <v>1376</v>
      </c>
      <c r="C1316">
        <v>48.25</v>
      </c>
      <c r="D1316">
        <f>VLOOKUP(A1316,收盤價!A:C,3,0)</f>
        <v>41.9</v>
      </c>
      <c r="E1316" s="126">
        <v>-0.13160621761658034</v>
      </c>
      <c r="F1316">
        <v>16.55</v>
      </c>
    </row>
    <row r="1317" spans="1:6">
      <c r="A1317">
        <v>1339</v>
      </c>
      <c r="B1317" t="s">
        <v>574</v>
      </c>
      <c r="C1317">
        <v>67.599999999999994</v>
      </c>
      <c r="D1317">
        <f>VLOOKUP(A1317,收盤價!A:C,3,0)</f>
        <v>58.7</v>
      </c>
      <c r="E1317" s="126">
        <v>-0.13165680473372771</v>
      </c>
      <c r="F1317">
        <v>16.489999999999998</v>
      </c>
    </row>
    <row r="1318" spans="1:6">
      <c r="A1318">
        <v>3048</v>
      </c>
      <c r="B1318" t="s">
        <v>1064</v>
      </c>
      <c r="C1318">
        <v>21.85</v>
      </c>
      <c r="D1318">
        <f>VLOOKUP(A1318,收盤價!A:C,3,0)</f>
        <v>18.95</v>
      </c>
      <c r="E1318" s="126">
        <v>-0.13272311212814655</v>
      </c>
      <c r="F1318">
        <v>16.420000000000002</v>
      </c>
    </row>
    <row r="1319" spans="1:6">
      <c r="A1319">
        <v>2201</v>
      </c>
      <c r="B1319" t="s">
        <v>767</v>
      </c>
      <c r="C1319">
        <v>35.75</v>
      </c>
      <c r="D1319">
        <f>VLOOKUP(A1319,收盤價!A:C,3,0)</f>
        <v>31</v>
      </c>
      <c r="E1319" s="126">
        <v>-0.13286713286713286</v>
      </c>
      <c r="F1319">
        <v>16.36</v>
      </c>
    </row>
    <row r="1320" spans="1:6">
      <c r="A1320">
        <v>8033</v>
      </c>
      <c r="B1320" t="s">
        <v>1317</v>
      </c>
      <c r="C1320">
        <v>10.5</v>
      </c>
      <c r="D1320">
        <f>VLOOKUP(A1320,收盤價!A:C,3,0)</f>
        <v>9.1</v>
      </c>
      <c r="E1320" s="126">
        <v>-0.13333333333333336</v>
      </c>
      <c r="F1320">
        <v>16.3</v>
      </c>
    </row>
    <row r="1321" spans="1:6">
      <c r="A1321">
        <v>2353</v>
      </c>
      <c r="B1321" t="s">
        <v>808</v>
      </c>
      <c r="C1321">
        <v>14.2</v>
      </c>
      <c r="D1321">
        <f>VLOOKUP(A1321,收盤價!A:C,3,0)</f>
        <v>12.3</v>
      </c>
      <c r="E1321" s="126">
        <v>-0.13380281690140836</v>
      </c>
      <c r="F1321">
        <v>16.23</v>
      </c>
    </row>
    <row r="1322" spans="1:6">
      <c r="A1322">
        <v>2475</v>
      </c>
      <c r="B1322" t="s">
        <v>899</v>
      </c>
      <c r="C1322">
        <v>0.82</v>
      </c>
      <c r="D1322">
        <f>VLOOKUP(A1322,收盤價!A:C,3,0)</f>
        <v>0.71</v>
      </c>
      <c r="E1322" s="126">
        <v>-0.13414634146341461</v>
      </c>
      <c r="F1322">
        <v>16.170000000000002</v>
      </c>
    </row>
    <row r="1323" spans="1:6">
      <c r="A1323">
        <v>2888</v>
      </c>
      <c r="B1323" t="s">
        <v>1006</v>
      </c>
      <c r="C1323">
        <v>7.88</v>
      </c>
      <c r="D1323">
        <f>VLOOKUP(A1323,收盤價!A:C,3,0)</f>
        <v>6.82</v>
      </c>
      <c r="E1323" s="126">
        <v>-0.13451776649746189</v>
      </c>
      <c r="F1323">
        <v>16.11</v>
      </c>
    </row>
    <row r="1324" spans="1:6">
      <c r="A1324">
        <v>8418</v>
      </c>
      <c r="B1324" t="s">
        <v>1806</v>
      </c>
      <c r="C1324">
        <v>17.45</v>
      </c>
      <c r="D1324">
        <f>VLOOKUP(A1324,收盤價!A:C,3,0)</f>
        <v>15.1</v>
      </c>
      <c r="E1324" s="126">
        <v>-0.13467048710601717</v>
      </c>
      <c r="F1324">
        <v>16.04</v>
      </c>
    </row>
    <row r="1325" spans="1:6">
      <c r="A1325">
        <v>2305</v>
      </c>
      <c r="B1325" t="s">
        <v>779</v>
      </c>
      <c r="C1325">
        <v>7.18</v>
      </c>
      <c r="D1325">
        <f>VLOOKUP(A1325,收盤價!A:C,3,0)</f>
        <v>6.21</v>
      </c>
      <c r="E1325" s="126">
        <v>-0.13509749303621166</v>
      </c>
      <c r="F1325">
        <v>15.98</v>
      </c>
    </row>
    <row r="1326" spans="1:6">
      <c r="A1326">
        <v>6275</v>
      </c>
      <c r="B1326" t="s">
        <v>1738</v>
      </c>
      <c r="C1326">
        <v>13.65</v>
      </c>
      <c r="D1326">
        <f>VLOOKUP(A1326,收盤價!A:C,3,0)</f>
        <v>11.8</v>
      </c>
      <c r="E1326" s="126">
        <v>-0.13553113553113549</v>
      </c>
      <c r="F1326">
        <v>15.92</v>
      </c>
    </row>
    <row r="1327" spans="1:6">
      <c r="A1327">
        <v>2491</v>
      </c>
      <c r="B1327" t="s">
        <v>912</v>
      </c>
      <c r="C1327">
        <v>8.1</v>
      </c>
      <c r="D1327">
        <f>VLOOKUP(A1327,收盤價!A:C,3,0)</f>
        <v>7</v>
      </c>
      <c r="E1327" s="126">
        <v>-0.13580246913580243</v>
      </c>
      <c r="F1327">
        <v>15.85</v>
      </c>
    </row>
    <row r="1328" spans="1:6">
      <c r="A1328">
        <v>6220</v>
      </c>
      <c r="B1328" t="s">
        <v>454</v>
      </c>
      <c r="C1328">
        <v>17.3</v>
      </c>
      <c r="D1328">
        <f>VLOOKUP(A1328,收盤價!A:C,3,0)</f>
        <v>14.95</v>
      </c>
      <c r="E1328" s="126">
        <v>-0.13583815028901741</v>
      </c>
      <c r="F1328">
        <v>15.79</v>
      </c>
    </row>
    <row r="1329" spans="1:6">
      <c r="A1329">
        <v>6451</v>
      </c>
      <c r="B1329" t="s">
        <v>1307</v>
      </c>
      <c r="C1329">
        <v>124</v>
      </c>
      <c r="D1329">
        <f>VLOOKUP(A1329,收盤價!A:C,3,0)</f>
        <v>107</v>
      </c>
      <c r="E1329" s="126">
        <v>-0.13709677419354838</v>
      </c>
      <c r="F1329">
        <v>15.73</v>
      </c>
    </row>
    <row r="1330" spans="1:6">
      <c r="A1330">
        <v>9924</v>
      </c>
      <c r="B1330" t="s">
        <v>1389</v>
      </c>
      <c r="C1330">
        <v>53.2</v>
      </c>
      <c r="D1330">
        <f>VLOOKUP(A1330,收盤價!A:C,3,0)</f>
        <v>45.9</v>
      </c>
      <c r="E1330" s="126">
        <v>-0.13721804511278202</v>
      </c>
      <c r="F1330">
        <v>15.66</v>
      </c>
    </row>
    <row r="1331" spans="1:6">
      <c r="A1331">
        <v>3450</v>
      </c>
      <c r="B1331" t="s">
        <v>1107</v>
      </c>
      <c r="C1331">
        <v>156</v>
      </c>
      <c r="D1331">
        <f>VLOOKUP(A1331,收盤價!A:C,3,0)</f>
        <v>134.5</v>
      </c>
      <c r="E1331" s="126">
        <v>-0.13782051282051283</v>
      </c>
      <c r="F1331">
        <v>15.6</v>
      </c>
    </row>
    <row r="1332" spans="1:6">
      <c r="A1332">
        <v>8443</v>
      </c>
      <c r="B1332" t="s">
        <v>1347</v>
      </c>
      <c r="C1332">
        <v>24.65</v>
      </c>
      <c r="D1332">
        <f>VLOOKUP(A1332,收盤價!A:C,3,0)</f>
        <v>21.25</v>
      </c>
      <c r="E1332" s="126">
        <v>-0.13793103448275856</v>
      </c>
      <c r="F1332">
        <v>15.54</v>
      </c>
    </row>
    <row r="1333" spans="1:6">
      <c r="A1333">
        <v>3498</v>
      </c>
      <c r="B1333" t="s">
        <v>1501</v>
      </c>
      <c r="C1333">
        <v>77.900000000000006</v>
      </c>
      <c r="D1333">
        <f>VLOOKUP(A1333,收盤價!A:C,3,0)</f>
        <v>67.099999999999994</v>
      </c>
      <c r="E1333" s="126">
        <v>-0.13863928112965354</v>
      </c>
      <c r="F1333">
        <v>15.47</v>
      </c>
    </row>
    <row r="1334" spans="1:6">
      <c r="A1334">
        <v>2719</v>
      </c>
      <c r="B1334" t="s">
        <v>264</v>
      </c>
      <c r="C1334">
        <v>19.8</v>
      </c>
      <c r="D1334">
        <f>VLOOKUP(A1334,收盤價!A:C,3,0)</f>
        <v>17.05</v>
      </c>
      <c r="E1334" s="126">
        <v>-0.1388888888888889</v>
      </c>
      <c r="F1334">
        <v>15.41</v>
      </c>
    </row>
    <row r="1335" spans="1:6">
      <c r="A1335">
        <v>2890</v>
      </c>
      <c r="B1335" t="s">
        <v>1008</v>
      </c>
      <c r="C1335">
        <v>11.15</v>
      </c>
      <c r="D1335">
        <f>VLOOKUP(A1335,收盤價!A:C,3,0)</f>
        <v>9.6</v>
      </c>
      <c r="E1335" s="126">
        <v>-0.13901345291479827</v>
      </c>
      <c r="F1335">
        <v>15.35</v>
      </c>
    </row>
    <row r="1336" spans="1:6">
      <c r="A1336">
        <v>3511</v>
      </c>
      <c r="B1336" t="s">
        <v>1502</v>
      </c>
      <c r="C1336">
        <v>37.9</v>
      </c>
      <c r="D1336">
        <f>VLOOKUP(A1336,收盤價!A:C,3,0)</f>
        <v>32.6</v>
      </c>
      <c r="E1336" s="126">
        <v>-0.13984168865435348</v>
      </c>
      <c r="F1336">
        <v>15.28</v>
      </c>
    </row>
    <row r="1337" spans="1:6">
      <c r="A1337">
        <v>3296</v>
      </c>
      <c r="B1337" t="s">
        <v>1089</v>
      </c>
      <c r="C1337">
        <v>16</v>
      </c>
      <c r="D1337">
        <f>VLOOKUP(A1337,收盤價!A:C,3,0)</f>
        <v>13.75</v>
      </c>
      <c r="E1337" s="126">
        <v>-0.140625</v>
      </c>
      <c r="F1337">
        <v>15.22</v>
      </c>
    </row>
    <row r="1338" spans="1:6">
      <c r="A1338">
        <v>2515</v>
      </c>
      <c r="B1338" t="s">
        <v>927</v>
      </c>
      <c r="C1338">
        <v>7.74</v>
      </c>
      <c r="D1338">
        <f>VLOOKUP(A1338,收盤價!A:C,3,0)</f>
        <v>6.65</v>
      </c>
      <c r="E1338" s="126">
        <v>-0.1408268733850129</v>
      </c>
      <c r="F1338">
        <v>15.16</v>
      </c>
    </row>
    <row r="1339" spans="1:6">
      <c r="A1339">
        <v>5530</v>
      </c>
      <c r="B1339" t="s">
        <v>1670</v>
      </c>
      <c r="C1339">
        <v>67.400000000000006</v>
      </c>
      <c r="D1339">
        <f>VLOOKUP(A1339,收盤價!A:C,3,0)</f>
        <v>57.9</v>
      </c>
      <c r="E1339" s="126">
        <v>-0.14094955489614253</v>
      </c>
      <c r="F1339">
        <v>15.09</v>
      </c>
    </row>
    <row r="1340" spans="1:6">
      <c r="A1340">
        <v>3046</v>
      </c>
      <c r="B1340" t="s">
        <v>1062</v>
      </c>
      <c r="C1340">
        <v>10.3</v>
      </c>
      <c r="D1340">
        <f>VLOOKUP(A1340,收盤價!A:C,3,0)</f>
        <v>8.84</v>
      </c>
      <c r="E1340" s="126">
        <v>-0.14174757281553405</v>
      </c>
      <c r="F1340">
        <v>15.03</v>
      </c>
    </row>
    <row r="1341" spans="1:6">
      <c r="A1341">
        <v>2547</v>
      </c>
      <c r="B1341" t="s">
        <v>945</v>
      </c>
      <c r="C1341">
        <v>13.05</v>
      </c>
      <c r="D1341">
        <f>VLOOKUP(A1341,收盤價!A:C,3,0)</f>
        <v>11.2</v>
      </c>
      <c r="E1341" s="126">
        <v>-0.14176245210727981</v>
      </c>
      <c r="F1341">
        <v>14.97</v>
      </c>
    </row>
    <row r="1342" spans="1:6">
      <c r="A1342">
        <v>8429</v>
      </c>
      <c r="B1342" t="s">
        <v>1346</v>
      </c>
      <c r="C1342">
        <v>71.7</v>
      </c>
      <c r="D1342">
        <f>VLOOKUP(A1342,收盤價!A:C,3,0)</f>
        <v>61.5</v>
      </c>
      <c r="E1342" s="126">
        <v>-0.14225941422594146</v>
      </c>
      <c r="F1342">
        <v>14.9</v>
      </c>
    </row>
    <row r="1343" spans="1:6">
      <c r="A1343">
        <v>3035</v>
      </c>
      <c r="B1343" t="s">
        <v>1052</v>
      </c>
      <c r="C1343">
        <v>54.8</v>
      </c>
      <c r="D1343">
        <f>VLOOKUP(A1343,收盤價!A:C,3,0)</f>
        <v>47</v>
      </c>
      <c r="E1343" s="126">
        <v>-0.14233576642335763</v>
      </c>
      <c r="F1343">
        <v>14.84</v>
      </c>
    </row>
    <row r="1344" spans="1:6">
      <c r="A1344">
        <v>3230</v>
      </c>
      <c r="B1344" t="s">
        <v>1470</v>
      </c>
      <c r="C1344">
        <v>6.93</v>
      </c>
      <c r="D1344">
        <f>VLOOKUP(A1344,收盤價!A:C,3,0)</f>
        <v>5.94</v>
      </c>
      <c r="E1344" s="126">
        <v>-0.14285714285714277</v>
      </c>
      <c r="F1344">
        <v>14.77</v>
      </c>
    </row>
    <row r="1345" spans="1:6">
      <c r="A1345">
        <v>5288</v>
      </c>
      <c r="B1345" t="s">
        <v>1214</v>
      </c>
      <c r="C1345">
        <v>122.5</v>
      </c>
      <c r="D1345">
        <f>VLOOKUP(A1345,收盤價!A:C,3,0)</f>
        <v>105</v>
      </c>
      <c r="E1345" s="126">
        <v>-0.14285714285714285</v>
      </c>
      <c r="F1345">
        <v>14.71</v>
      </c>
    </row>
    <row r="1346" spans="1:6">
      <c r="A1346">
        <v>9921</v>
      </c>
      <c r="B1346" t="s">
        <v>1388</v>
      </c>
      <c r="C1346">
        <v>252</v>
      </c>
      <c r="D1346">
        <f>VLOOKUP(A1346,收盤價!A:C,3,0)</f>
        <v>216</v>
      </c>
      <c r="E1346" s="126">
        <v>-0.14285714285714285</v>
      </c>
      <c r="F1346">
        <v>14.65</v>
      </c>
    </row>
    <row r="1347" spans="1:6">
      <c r="A1347">
        <v>6284</v>
      </c>
      <c r="B1347" t="s">
        <v>1740</v>
      </c>
      <c r="C1347">
        <v>25.5</v>
      </c>
      <c r="D1347">
        <f>VLOOKUP(A1347,收盤價!A:C,3,0)</f>
        <v>21.85</v>
      </c>
      <c r="E1347" s="126">
        <v>-0.14313725490196072</v>
      </c>
      <c r="F1347">
        <v>14.58</v>
      </c>
    </row>
    <row r="1348" spans="1:6">
      <c r="A1348">
        <v>1459</v>
      </c>
      <c r="B1348" t="s">
        <v>609</v>
      </c>
      <c r="C1348">
        <v>12.5</v>
      </c>
      <c r="D1348">
        <f>VLOOKUP(A1348,收盤價!A:C,3,0)</f>
        <v>10.7</v>
      </c>
      <c r="E1348" s="126">
        <v>-0.14400000000000004</v>
      </c>
      <c r="F1348">
        <v>14.52</v>
      </c>
    </row>
    <row r="1349" spans="1:6">
      <c r="A1349">
        <v>6244</v>
      </c>
      <c r="B1349" t="s">
        <v>464</v>
      </c>
      <c r="C1349">
        <v>45.4</v>
      </c>
      <c r="D1349">
        <f>VLOOKUP(A1349,收盤價!A:C,3,0)</f>
        <v>38.85</v>
      </c>
      <c r="E1349" s="126">
        <v>-0.14427312775330392</v>
      </c>
      <c r="F1349">
        <v>14.46</v>
      </c>
    </row>
    <row r="1350" spans="1:6">
      <c r="A1350">
        <v>3664</v>
      </c>
      <c r="B1350" t="s">
        <v>1530</v>
      </c>
      <c r="C1350">
        <v>17.3</v>
      </c>
      <c r="D1350">
        <f>VLOOKUP(A1350,收盤價!A:C,3,0)</f>
        <v>14.8</v>
      </c>
      <c r="E1350" s="126">
        <v>-0.1445086705202312</v>
      </c>
      <c r="F1350">
        <v>14.39</v>
      </c>
    </row>
    <row r="1351" spans="1:6">
      <c r="A1351">
        <v>3040</v>
      </c>
      <c r="B1351" t="s">
        <v>1056</v>
      </c>
      <c r="C1351">
        <v>38.049999999999997</v>
      </c>
      <c r="D1351">
        <f>VLOOKUP(A1351,收盤價!A:C,3,0)</f>
        <v>32.549999999999997</v>
      </c>
      <c r="E1351" s="126">
        <v>-0.14454664914586071</v>
      </c>
      <c r="F1351">
        <v>14.33</v>
      </c>
    </row>
    <row r="1352" spans="1:6">
      <c r="A1352">
        <v>8291</v>
      </c>
      <c r="B1352" t="s">
        <v>1796</v>
      </c>
      <c r="C1352">
        <v>5.5</v>
      </c>
      <c r="D1352">
        <f>VLOOKUP(A1352,收盤價!A:C,3,0)</f>
        <v>4.7</v>
      </c>
      <c r="E1352" s="126">
        <v>-0.14545454545454542</v>
      </c>
      <c r="F1352">
        <v>14.27</v>
      </c>
    </row>
    <row r="1353" spans="1:6">
      <c r="A1353">
        <v>1626</v>
      </c>
      <c r="B1353" t="s">
        <v>677</v>
      </c>
      <c r="C1353">
        <v>27</v>
      </c>
      <c r="D1353">
        <f>VLOOKUP(A1353,收盤價!A:C,3,0)</f>
        <v>23.05</v>
      </c>
      <c r="E1353" s="126">
        <v>-0.14629629629629626</v>
      </c>
      <c r="F1353">
        <v>14.2</v>
      </c>
    </row>
    <row r="1354" spans="1:6">
      <c r="A1354">
        <v>3558</v>
      </c>
      <c r="B1354" t="s">
        <v>328</v>
      </c>
      <c r="C1354">
        <v>245</v>
      </c>
      <c r="D1354">
        <f>VLOOKUP(A1354,收盤價!A:C,3,0)</f>
        <v>209</v>
      </c>
      <c r="E1354" s="126">
        <v>-0.14693877551020409</v>
      </c>
      <c r="F1354">
        <v>14.14</v>
      </c>
    </row>
    <row r="1355" spans="1:6">
      <c r="A1355">
        <v>9136</v>
      </c>
      <c r="B1355" t="s">
        <v>1371</v>
      </c>
      <c r="C1355">
        <v>16.95</v>
      </c>
      <c r="D1355">
        <f>VLOOKUP(A1355,收盤價!A:C,3,0)</f>
        <v>14.45</v>
      </c>
      <c r="E1355" s="126">
        <v>-0.14749262536873156</v>
      </c>
      <c r="F1355">
        <v>14.08</v>
      </c>
    </row>
    <row r="1356" spans="1:6">
      <c r="A1356">
        <v>3630</v>
      </c>
      <c r="B1356" t="s">
        <v>337</v>
      </c>
      <c r="C1356">
        <v>19.95</v>
      </c>
      <c r="D1356">
        <f>VLOOKUP(A1356,收盤價!A:C,3,0)</f>
        <v>17</v>
      </c>
      <c r="E1356" s="126">
        <v>-0.14786967418546362</v>
      </c>
      <c r="F1356">
        <v>14.01</v>
      </c>
    </row>
    <row r="1357" spans="1:6">
      <c r="A1357">
        <v>2439</v>
      </c>
      <c r="B1357" t="s">
        <v>872</v>
      </c>
      <c r="C1357">
        <v>67.5</v>
      </c>
      <c r="D1357">
        <f>VLOOKUP(A1357,收盤價!A:C,3,0)</f>
        <v>57.5</v>
      </c>
      <c r="E1357" s="126">
        <v>-0.14814814814814814</v>
      </c>
      <c r="F1357">
        <v>13.95</v>
      </c>
    </row>
    <row r="1358" spans="1:6">
      <c r="A1358">
        <v>8011</v>
      </c>
      <c r="B1358" t="s">
        <v>1314</v>
      </c>
      <c r="C1358">
        <v>24.2</v>
      </c>
      <c r="D1358">
        <f>VLOOKUP(A1358,收盤價!A:C,3,0)</f>
        <v>20.6</v>
      </c>
      <c r="E1358" s="126">
        <v>-0.14876033057851232</v>
      </c>
      <c r="F1358">
        <v>13.89</v>
      </c>
    </row>
    <row r="1359" spans="1:6">
      <c r="A1359">
        <v>1472</v>
      </c>
      <c r="B1359" t="s">
        <v>620</v>
      </c>
      <c r="C1359">
        <v>14.45</v>
      </c>
      <c r="D1359">
        <f>VLOOKUP(A1359,收盤價!A:C,3,0)</f>
        <v>12.3</v>
      </c>
      <c r="E1359" s="126">
        <v>-0.14878892733564006</v>
      </c>
      <c r="F1359">
        <v>13.82</v>
      </c>
    </row>
    <row r="1360" spans="1:6">
      <c r="A1360">
        <v>2642</v>
      </c>
      <c r="B1360" t="s">
        <v>966</v>
      </c>
      <c r="C1360">
        <v>34.200000000000003</v>
      </c>
      <c r="D1360">
        <f>VLOOKUP(A1360,收盤價!A:C,3,0)</f>
        <v>29.1</v>
      </c>
      <c r="E1360" s="126">
        <v>-0.14912280701754388</v>
      </c>
      <c r="F1360">
        <v>13.76</v>
      </c>
    </row>
    <row r="1361" spans="1:6">
      <c r="A1361">
        <v>3591</v>
      </c>
      <c r="B1361" t="s">
        <v>1133</v>
      </c>
      <c r="C1361">
        <v>19.7</v>
      </c>
      <c r="D1361">
        <f>VLOOKUP(A1361,收盤價!A:C,3,0)</f>
        <v>16.75</v>
      </c>
      <c r="E1361" s="126">
        <v>-0.14974619289340099</v>
      </c>
      <c r="F1361">
        <v>13.7</v>
      </c>
    </row>
    <row r="1362" spans="1:6">
      <c r="A1362">
        <v>6197</v>
      </c>
      <c r="B1362" t="s">
        <v>1268</v>
      </c>
      <c r="C1362">
        <v>33.9</v>
      </c>
      <c r="D1362">
        <f>VLOOKUP(A1362,收盤價!A:C,3,0)</f>
        <v>28.8</v>
      </c>
      <c r="E1362" s="126">
        <v>-0.15044247787610615</v>
      </c>
      <c r="F1362">
        <v>13.63</v>
      </c>
    </row>
    <row r="1363" spans="1:6">
      <c r="A1363">
        <v>6247</v>
      </c>
      <c r="B1363" t="s">
        <v>1734</v>
      </c>
      <c r="C1363">
        <v>15.6</v>
      </c>
      <c r="D1363">
        <f>VLOOKUP(A1363,收盤價!A:C,3,0)</f>
        <v>13.25</v>
      </c>
      <c r="E1363" s="126">
        <v>-0.15064102564102563</v>
      </c>
      <c r="F1363">
        <v>13.57</v>
      </c>
    </row>
    <row r="1364" spans="1:6">
      <c r="A1364">
        <v>6021</v>
      </c>
      <c r="B1364" t="s">
        <v>433</v>
      </c>
      <c r="C1364">
        <v>12.6</v>
      </c>
      <c r="D1364">
        <f>VLOOKUP(A1364,收盤價!A:C,3,0)</f>
        <v>10.7</v>
      </c>
      <c r="E1364" s="126">
        <v>-0.15079365079365081</v>
      </c>
      <c r="F1364">
        <v>13.51</v>
      </c>
    </row>
    <row r="1365" spans="1:6">
      <c r="A1365">
        <v>911868</v>
      </c>
      <c r="B1365" t="s">
        <v>1368</v>
      </c>
      <c r="C1365">
        <v>2.4500000000000002</v>
      </c>
      <c r="D1365">
        <f>VLOOKUP(A1365,收盤價!A:C,3,0)</f>
        <v>2.08</v>
      </c>
      <c r="E1365" s="126">
        <v>-0.15102040816326534</v>
      </c>
      <c r="F1365">
        <v>13.44</v>
      </c>
    </row>
    <row r="1366" spans="1:6">
      <c r="A1366">
        <v>8021</v>
      </c>
      <c r="B1366" t="s">
        <v>1316</v>
      </c>
      <c r="C1366">
        <v>27.45</v>
      </c>
      <c r="D1366">
        <f>VLOOKUP(A1366,收盤價!A:C,3,0)</f>
        <v>23.3</v>
      </c>
      <c r="E1366" s="126">
        <v>-0.15118397085610197</v>
      </c>
      <c r="F1366">
        <v>13.38</v>
      </c>
    </row>
    <row r="1367" spans="1:6">
      <c r="A1367">
        <v>4953</v>
      </c>
      <c r="B1367" t="s">
        <v>1605</v>
      </c>
      <c r="C1367">
        <v>26</v>
      </c>
      <c r="D1367">
        <f>VLOOKUP(A1367,收盤價!A:C,3,0)</f>
        <v>22.05</v>
      </c>
      <c r="E1367" s="126">
        <v>-0.15192307692307688</v>
      </c>
      <c r="F1367">
        <v>13.32</v>
      </c>
    </row>
    <row r="1368" spans="1:6">
      <c r="A1368">
        <v>3060</v>
      </c>
      <c r="B1368" t="s">
        <v>1075</v>
      </c>
      <c r="C1368">
        <v>64.400000000000006</v>
      </c>
      <c r="D1368">
        <f>VLOOKUP(A1368,收盤價!A:C,3,0)</f>
        <v>54.6</v>
      </c>
      <c r="E1368" s="126">
        <v>-0.15217391304347833</v>
      </c>
      <c r="F1368">
        <v>13.25</v>
      </c>
    </row>
    <row r="1369" spans="1:6">
      <c r="A1369">
        <v>3553</v>
      </c>
      <c r="B1369" t="s">
        <v>326</v>
      </c>
      <c r="C1369">
        <v>16.05</v>
      </c>
      <c r="D1369">
        <f>VLOOKUP(A1369,收盤價!A:C,3,0)</f>
        <v>13.6</v>
      </c>
      <c r="E1369" s="126">
        <v>-0.15264797507788169</v>
      </c>
      <c r="F1369">
        <v>13.19</v>
      </c>
    </row>
    <row r="1370" spans="1:6">
      <c r="A1370">
        <v>1476</v>
      </c>
      <c r="B1370" t="s">
        <v>624</v>
      </c>
      <c r="C1370">
        <v>484</v>
      </c>
      <c r="D1370">
        <f>VLOOKUP(A1370,收盤價!A:C,3,0)</f>
        <v>410</v>
      </c>
      <c r="E1370" s="126">
        <v>-0.15289256198347106</v>
      </c>
      <c r="F1370">
        <v>13.13</v>
      </c>
    </row>
    <row r="1371" spans="1:6">
      <c r="A1371">
        <v>3383</v>
      </c>
      <c r="B1371" t="s">
        <v>1099</v>
      </c>
      <c r="C1371">
        <v>9.1199999999999992</v>
      </c>
      <c r="D1371">
        <f>VLOOKUP(A1371,收盤價!A:C,3,0)</f>
        <v>7.72</v>
      </c>
      <c r="E1371" s="126">
        <v>-0.15350877192982451</v>
      </c>
      <c r="F1371">
        <v>13.06</v>
      </c>
    </row>
    <row r="1372" spans="1:6">
      <c r="A1372">
        <v>3294</v>
      </c>
      <c r="B1372" t="s">
        <v>296</v>
      </c>
      <c r="C1372">
        <v>17.55</v>
      </c>
      <c r="D1372">
        <f>VLOOKUP(A1372,收盤價!A:C,3,0)</f>
        <v>14.85</v>
      </c>
      <c r="E1372" s="126">
        <v>-0.15384615384615391</v>
      </c>
      <c r="F1372">
        <v>13</v>
      </c>
    </row>
    <row r="1373" spans="1:6">
      <c r="A1373">
        <v>6228</v>
      </c>
      <c r="B1373" t="s">
        <v>1728</v>
      </c>
      <c r="C1373">
        <v>12.65</v>
      </c>
      <c r="D1373">
        <f>VLOOKUP(A1373,收盤價!A:C,3,0)</f>
        <v>10.7</v>
      </c>
      <c r="E1373" s="126">
        <v>-0.15415019762845858</v>
      </c>
      <c r="F1373">
        <v>12.94</v>
      </c>
    </row>
    <row r="1374" spans="1:6">
      <c r="A1374">
        <v>3276</v>
      </c>
      <c r="B1374" t="s">
        <v>1474</v>
      </c>
      <c r="C1374">
        <v>9.7899999999999991</v>
      </c>
      <c r="D1374">
        <f>VLOOKUP(A1374,收盤價!A:C,3,0)</f>
        <v>8.2799999999999994</v>
      </c>
      <c r="E1374" s="126">
        <v>-0.15423901940755871</v>
      </c>
      <c r="F1374">
        <v>12.87</v>
      </c>
    </row>
    <row r="1375" spans="1:6">
      <c r="A1375">
        <v>4506</v>
      </c>
      <c r="B1375" t="s">
        <v>364</v>
      </c>
      <c r="C1375">
        <v>32.6</v>
      </c>
      <c r="D1375">
        <f>VLOOKUP(A1375,收盤價!A:C,3,0)</f>
        <v>27.55</v>
      </c>
      <c r="E1375" s="126">
        <v>-0.15490797546012272</v>
      </c>
      <c r="F1375">
        <v>12.81</v>
      </c>
    </row>
    <row r="1376" spans="1:6">
      <c r="A1376">
        <v>3287</v>
      </c>
      <c r="B1376" t="s">
        <v>1475</v>
      </c>
      <c r="C1376">
        <v>9.0500000000000007</v>
      </c>
      <c r="D1376">
        <f>VLOOKUP(A1376,收盤價!A:C,3,0)</f>
        <v>7.63</v>
      </c>
      <c r="E1376" s="126">
        <v>-0.15690607734806639</v>
      </c>
      <c r="F1376">
        <v>12.75</v>
      </c>
    </row>
    <row r="1377" spans="1:6">
      <c r="A1377">
        <v>3564</v>
      </c>
      <c r="B1377" t="s">
        <v>1515</v>
      </c>
      <c r="C1377">
        <v>71.3</v>
      </c>
      <c r="D1377">
        <f>VLOOKUP(A1377,收盤價!A:C,3,0)</f>
        <v>60.1</v>
      </c>
      <c r="E1377" s="126">
        <v>-0.15708274894810653</v>
      </c>
      <c r="F1377">
        <v>12.68</v>
      </c>
    </row>
    <row r="1378" spans="1:6">
      <c r="A1378">
        <v>4994</v>
      </c>
      <c r="B1378" t="s">
        <v>1202</v>
      </c>
      <c r="C1378">
        <v>89</v>
      </c>
      <c r="D1378">
        <f>VLOOKUP(A1378,收盤價!A:C,3,0)</f>
        <v>75</v>
      </c>
      <c r="E1378" s="126">
        <v>-0.15730337078651685</v>
      </c>
      <c r="F1378">
        <v>12.62</v>
      </c>
    </row>
    <row r="1379" spans="1:6">
      <c r="A1379">
        <v>6171</v>
      </c>
      <c r="B1379" t="s">
        <v>444</v>
      </c>
      <c r="C1379">
        <v>13.95</v>
      </c>
      <c r="D1379">
        <f>VLOOKUP(A1379,收盤價!A:C,3,0)</f>
        <v>11.75</v>
      </c>
      <c r="E1379" s="126">
        <v>-0.15770609318996412</v>
      </c>
      <c r="F1379">
        <v>12.56</v>
      </c>
    </row>
    <row r="1380" spans="1:6">
      <c r="A1380">
        <v>1102</v>
      </c>
      <c r="B1380" t="s">
        <v>527</v>
      </c>
      <c r="C1380">
        <v>34.450000000000003</v>
      </c>
      <c r="D1380">
        <f>VLOOKUP(A1380,收盤價!A:C,3,0)</f>
        <v>29</v>
      </c>
      <c r="E1380" s="126">
        <v>-0.15820029027576205</v>
      </c>
      <c r="F1380">
        <v>12.49</v>
      </c>
    </row>
    <row r="1381" spans="1:6">
      <c r="A1381">
        <v>5306</v>
      </c>
      <c r="B1381" t="s">
        <v>1629</v>
      </c>
      <c r="C1381">
        <v>148.5</v>
      </c>
      <c r="D1381">
        <f>VLOOKUP(A1381,收盤價!A:C,3,0)</f>
        <v>125</v>
      </c>
      <c r="E1381" s="126">
        <v>-0.15824915824915825</v>
      </c>
      <c r="F1381">
        <v>12.43</v>
      </c>
    </row>
    <row r="1382" spans="1:6">
      <c r="A1382">
        <v>1742</v>
      </c>
      <c r="B1382" t="s">
        <v>519</v>
      </c>
      <c r="C1382">
        <v>14.6</v>
      </c>
      <c r="D1382">
        <f>VLOOKUP(A1382,收盤價!A:C,3,0)</f>
        <v>12.25</v>
      </c>
      <c r="E1382" s="126">
        <v>-0.16095890410958902</v>
      </c>
      <c r="F1382">
        <v>12.37</v>
      </c>
    </row>
    <row r="1383" spans="1:6">
      <c r="A1383">
        <v>2369</v>
      </c>
      <c r="B1383" t="s">
        <v>823</v>
      </c>
      <c r="C1383">
        <v>10.8</v>
      </c>
      <c r="D1383">
        <f>VLOOKUP(A1383,收盤價!A:C,3,0)</f>
        <v>9.06</v>
      </c>
      <c r="E1383" s="126">
        <v>-0.16111111111111112</v>
      </c>
      <c r="F1383">
        <v>12.3</v>
      </c>
    </row>
    <row r="1384" spans="1:6">
      <c r="A1384">
        <v>3379</v>
      </c>
      <c r="B1384" t="s">
        <v>1489</v>
      </c>
      <c r="C1384">
        <v>16.7</v>
      </c>
      <c r="D1384">
        <f>VLOOKUP(A1384,收盤價!A:C,3,0)</f>
        <v>14</v>
      </c>
      <c r="E1384" s="126">
        <v>-0.1616766467065868</v>
      </c>
      <c r="F1384">
        <v>12.24</v>
      </c>
    </row>
    <row r="1385" spans="1:6">
      <c r="A1385">
        <v>4550</v>
      </c>
      <c r="B1385" t="s">
        <v>367</v>
      </c>
      <c r="C1385">
        <v>23.8</v>
      </c>
      <c r="D1385">
        <f>VLOOKUP(A1385,收盤價!A:C,3,0)</f>
        <v>19.95</v>
      </c>
      <c r="E1385" s="126">
        <v>-0.161764705882353</v>
      </c>
      <c r="F1385">
        <v>12.18</v>
      </c>
    </row>
    <row r="1386" spans="1:6">
      <c r="A1386">
        <v>3504</v>
      </c>
      <c r="B1386" t="s">
        <v>1113</v>
      </c>
      <c r="C1386">
        <v>41.65</v>
      </c>
      <c r="D1386">
        <f>VLOOKUP(A1386,收盤價!A:C,3,0)</f>
        <v>34.9</v>
      </c>
      <c r="E1386" s="126">
        <v>-0.16206482593037216</v>
      </c>
      <c r="F1386">
        <v>12.11</v>
      </c>
    </row>
    <row r="1387" spans="1:6">
      <c r="A1387">
        <v>3067</v>
      </c>
      <c r="B1387" t="s">
        <v>266</v>
      </c>
      <c r="C1387">
        <v>14.8</v>
      </c>
      <c r="D1387">
        <f>VLOOKUP(A1387,收盤價!A:C,3,0)</f>
        <v>12.4</v>
      </c>
      <c r="E1387" s="126">
        <v>-0.16216216216216217</v>
      </c>
      <c r="F1387">
        <v>12.05</v>
      </c>
    </row>
    <row r="1388" spans="1:6">
      <c r="A1388">
        <v>4930</v>
      </c>
      <c r="B1388" t="s">
        <v>1190</v>
      </c>
      <c r="C1388">
        <v>18.7</v>
      </c>
      <c r="D1388">
        <f>VLOOKUP(A1388,收盤價!A:C,3,0)</f>
        <v>15.65</v>
      </c>
      <c r="E1388" s="126">
        <v>-0.16310160427807482</v>
      </c>
      <c r="F1388">
        <v>11.98</v>
      </c>
    </row>
    <row r="1389" spans="1:6">
      <c r="A1389">
        <v>3406</v>
      </c>
      <c r="B1389" t="s">
        <v>1100</v>
      </c>
      <c r="C1389">
        <v>72.5</v>
      </c>
      <c r="D1389">
        <f>VLOOKUP(A1389,收盤價!A:C,3,0)</f>
        <v>60.6</v>
      </c>
      <c r="E1389" s="126">
        <v>-0.16413793103448274</v>
      </c>
      <c r="F1389">
        <v>11.92</v>
      </c>
    </row>
    <row r="1390" spans="1:6">
      <c r="A1390">
        <v>2809</v>
      </c>
      <c r="B1390" t="s">
        <v>979</v>
      </c>
      <c r="C1390">
        <v>26.1</v>
      </c>
      <c r="D1390">
        <f>VLOOKUP(A1390,收盤價!A:C,3,0)</f>
        <v>21.8</v>
      </c>
      <c r="E1390" s="126">
        <v>-0.16475095785440616</v>
      </c>
      <c r="F1390">
        <v>11.86</v>
      </c>
    </row>
    <row r="1391" spans="1:6">
      <c r="A1391">
        <v>3380</v>
      </c>
      <c r="B1391" t="s">
        <v>1098</v>
      </c>
      <c r="C1391">
        <v>19.399999999999999</v>
      </c>
      <c r="D1391">
        <f>VLOOKUP(A1391,收盤價!A:C,3,0)</f>
        <v>16.2</v>
      </c>
      <c r="E1391" s="126">
        <v>-0.16494845360824739</v>
      </c>
      <c r="F1391">
        <v>11.79</v>
      </c>
    </row>
    <row r="1392" spans="1:6">
      <c r="A1392">
        <v>9103</v>
      </c>
      <c r="B1392" t="s">
        <v>1353</v>
      </c>
      <c r="C1392">
        <v>2.12</v>
      </c>
      <c r="D1392">
        <f>VLOOKUP(A1392,收盤價!A:C,3,0)</f>
        <v>1.77</v>
      </c>
      <c r="E1392" s="126">
        <v>-0.16509433962264156</v>
      </c>
      <c r="F1392">
        <v>11.73</v>
      </c>
    </row>
    <row r="1393" spans="1:6">
      <c r="A1393">
        <v>6456</v>
      </c>
      <c r="B1393" t="s">
        <v>1309</v>
      </c>
      <c r="C1393">
        <v>139</v>
      </c>
      <c r="D1393">
        <f>VLOOKUP(A1393,收盤價!A:C,3,0)</f>
        <v>116</v>
      </c>
      <c r="E1393" s="126">
        <v>-0.16546762589928057</v>
      </c>
      <c r="F1393">
        <v>11.67</v>
      </c>
    </row>
    <row r="1394" spans="1:6">
      <c r="A1394">
        <v>5701</v>
      </c>
      <c r="B1394" t="s">
        <v>1673</v>
      </c>
      <c r="C1394">
        <v>3.74</v>
      </c>
      <c r="D1394">
        <f>VLOOKUP(A1394,收盤價!A:C,3,0)</f>
        <v>3.12</v>
      </c>
      <c r="E1394" s="126">
        <v>-0.16577540106951874</v>
      </c>
      <c r="F1394">
        <v>11.6</v>
      </c>
    </row>
    <row r="1395" spans="1:6">
      <c r="A1395">
        <v>3024</v>
      </c>
      <c r="B1395" t="s">
        <v>1041</v>
      </c>
      <c r="C1395">
        <v>4.58</v>
      </c>
      <c r="D1395">
        <f>VLOOKUP(A1395,收盤價!A:C,3,0)</f>
        <v>3.82</v>
      </c>
      <c r="E1395" s="126">
        <v>-0.16593886462882101</v>
      </c>
      <c r="F1395">
        <v>11.54</v>
      </c>
    </row>
    <row r="1396" spans="1:6">
      <c r="A1396">
        <v>4939</v>
      </c>
      <c r="B1396" t="s">
        <v>379</v>
      </c>
      <c r="C1396">
        <v>8.99</v>
      </c>
      <c r="D1396">
        <f>VLOOKUP(A1396,收盤價!A:C,3,0)</f>
        <v>7.49</v>
      </c>
      <c r="E1396" s="126">
        <v>-0.16685205784204671</v>
      </c>
      <c r="F1396">
        <v>11.48</v>
      </c>
    </row>
    <row r="1397" spans="1:6">
      <c r="A1397">
        <v>4528</v>
      </c>
      <c r="B1397" t="s">
        <v>1580</v>
      </c>
      <c r="C1397">
        <v>70</v>
      </c>
      <c r="D1397">
        <f>VLOOKUP(A1397,收盤價!A:C,3,0)</f>
        <v>58.3</v>
      </c>
      <c r="E1397" s="126">
        <v>-0.16714285714285718</v>
      </c>
      <c r="F1397">
        <v>11.41</v>
      </c>
    </row>
    <row r="1398" spans="1:6">
      <c r="A1398">
        <v>2542</v>
      </c>
      <c r="B1398" t="s">
        <v>941</v>
      </c>
      <c r="C1398">
        <v>47.55</v>
      </c>
      <c r="D1398">
        <f>VLOOKUP(A1398,收盤價!A:C,3,0)</f>
        <v>39.6</v>
      </c>
      <c r="E1398" s="126">
        <v>-0.16719242902208195</v>
      </c>
      <c r="F1398">
        <v>11.35</v>
      </c>
    </row>
    <row r="1399" spans="1:6">
      <c r="A1399">
        <v>4433</v>
      </c>
      <c r="B1399" t="s">
        <v>1574</v>
      </c>
      <c r="C1399">
        <v>40.9</v>
      </c>
      <c r="D1399">
        <f>VLOOKUP(A1399,收盤價!A:C,3,0)</f>
        <v>34.049999999999997</v>
      </c>
      <c r="E1399" s="126">
        <v>-0.16748166259168709</v>
      </c>
      <c r="F1399">
        <v>11.29</v>
      </c>
    </row>
    <row r="1400" spans="1:6">
      <c r="A1400">
        <v>2227</v>
      </c>
      <c r="B1400" t="s">
        <v>772</v>
      </c>
      <c r="C1400">
        <v>292.5</v>
      </c>
      <c r="D1400">
        <f>VLOOKUP(A1400,收盤價!A:C,3,0)</f>
        <v>243</v>
      </c>
      <c r="E1400" s="126">
        <v>-0.16923076923076924</v>
      </c>
      <c r="F1400">
        <v>11.22</v>
      </c>
    </row>
    <row r="1401" spans="1:6">
      <c r="A1401">
        <v>8215</v>
      </c>
      <c r="B1401" t="s">
        <v>1335</v>
      </c>
      <c r="C1401">
        <v>24.8</v>
      </c>
      <c r="D1401">
        <f>VLOOKUP(A1401,收盤價!A:C,3,0)</f>
        <v>20.6</v>
      </c>
      <c r="E1401" s="126">
        <v>-0.16935483870967738</v>
      </c>
      <c r="F1401">
        <v>11.16</v>
      </c>
    </row>
    <row r="1402" spans="1:6">
      <c r="A1402">
        <v>4180</v>
      </c>
      <c r="B1402" t="s">
        <v>1558</v>
      </c>
      <c r="C1402">
        <v>180</v>
      </c>
      <c r="D1402">
        <f>VLOOKUP(A1402,收盤價!A:C,3,0)</f>
        <v>149.5</v>
      </c>
      <c r="E1402" s="126">
        <v>-0.16944444444444445</v>
      </c>
      <c r="F1402">
        <v>11.1</v>
      </c>
    </row>
    <row r="1403" spans="1:6">
      <c r="A1403">
        <v>3094</v>
      </c>
      <c r="B1403" t="s">
        <v>1078</v>
      </c>
      <c r="C1403">
        <v>31.25</v>
      </c>
      <c r="D1403">
        <f>VLOOKUP(A1403,收盤價!A:C,3,0)</f>
        <v>25.95</v>
      </c>
      <c r="E1403" s="126">
        <v>-0.16960000000000003</v>
      </c>
      <c r="F1403">
        <v>11.03</v>
      </c>
    </row>
    <row r="1404" spans="1:6">
      <c r="A1404">
        <v>1569</v>
      </c>
      <c r="B1404" t="s">
        <v>249</v>
      </c>
      <c r="C1404">
        <v>12.05</v>
      </c>
      <c r="D1404">
        <f>VLOOKUP(A1404,收盤價!A:C,3,0)</f>
        <v>10</v>
      </c>
      <c r="E1404" s="126">
        <v>-0.17012448132780089</v>
      </c>
      <c r="F1404">
        <v>10.97</v>
      </c>
    </row>
    <row r="1405" spans="1:6">
      <c r="A1405">
        <v>2816</v>
      </c>
      <c r="B1405" t="s">
        <v>981</v>
      </c>
      <c r="C1405">
        <v>18.8</v>
      </c>
      <c r="D1405">
        <f>VLOOKUP(A1405,收盤價!A:C,3,0)</f>
        <v>15.6</v>
      </c>
      <c r="E1405" s="126">
        <v>-0.17021276595744686</v>
      </c>
      <c r="F1405">
        <v>10.91</v>
      </c>
    </row>
    <row r="1406" spans="1:6">
      <c r="A1406">
        <v>2731</v>
      </c>
      <c r="B1406" t="s">
        <v>977</v>
      </c>
      <c r="C1406">
        <v>138</v>
      </c>
      <c r="D1406">
        <f>VLOOKUP(A1406,收盤價!A:C,3,0)</f>
        <v>114.5</v>
      </c>
      <c r="E1406" s="126">
        <v>-0.17028985507246377</v>
      </c>
      <c r="F1406">
        <v>10.84</v>
      </c>
    </row>
    <row r="1407" spans="1:6">
      <c r="A1407">
        <v>3149</v>
      </c>
      <c r="B1407" t="s">
        <v>1080</v>
      </c>
      <c r="C1407">
        <v>15.55</v>
      </c>
      <c r="D1407">
        <f>VLOOKUP(A1407,收盤價!A:C,3,0)</f>
        <v>12.9</v>
      </c>
      <c r="E1407" s="126">
        <v>-0.17041800643086819</v>
      </c>
      <c r="F1407">
        <v>10.78</v>
      </c>
    </row>
    <row r="1408" spans="1:6">
      <c r="A1408">
        <v>6180</v>
      </c>
      <c r="B1408" t="s">
        <v>1713</v>
      </c>
      <c r="C1408">
        <v>46.6</v>
      </c>
      <c r="D1408">
        <f>VLOOKUP(A1408,收盤價!A:C,3,0)</f>
        <v>38.65</v>
      </c>
      <c r="E1408" s="126">
        <v>-0.17060085836909877</v>
      </c>
      <c r="F1408">
        <v>10.72</v>
      </c>
    </row>
    <row r="1409" spans="1:6">
      <c r="A1409">
        <v>4944</v>
      </c>
      <c r="B1409" t="s">
        <v>1602</v>
      </c>
      <c r="C1409">
        <v>13.75</v>
      </c>
      <c r="D1409">
        <f>VLOOKUP(A1409,收盤價!A:C,3,0)</f>
        <v>11.4</v>
      </c>
      <c r="E1409" s="126">
        <v>-0.17090909090909087</v>
      </c>
      <c r="F1409">
        <v>10.65</v>
      </c>
    </row>
    <row r="1410" spans="1:6">
      <c r="A1410">
        <v>8101</v>
      </c>
      <c r="B1410" t="s">
        <v>1323</v>
      </c>
      <c r="C1410">
        <v>9.5299999999999994</v>
      </c>
      <c r="D1410">
        <f>VLOOKUP(A1410,收盤價!A:C,3,0)</f>
        <v>7.9</v>
      </c>
      <c r="E1410" s="126">
        <v>-0.17103882476390336</v>
      </c>
      <c r="F1410">
        <v>10.59</v>
      </c>
    </row>
    <row r="1411" spans="1:6">
      <c r="A1411">
        <v>4958</v>
      </c>
      <c r="B1411" t="s">
        <v>1197</v>
      </c>
      <c r="C1411">
        <v>95.5</v>
      </c>
      <c r="D1411">
        <f>VLOOKUP(A1411,收盤價!A:C,3,0)</f>
        <v>79.099999999999994</v>
      </c>
      <c r="E1411" s="126">
        <v>-0.17172774869109952</v>
      </c>
      <c r="F1411">
        <v>10.53</v>
      </c>
    </row>
    <row r="1412" spans="1:6">
      <c r="A1412">
        <v>2383</v>
      </c>
      <c r="B1412" t="s">
        <v>833</v>
      </c>
      <c r="C1412">
        <v>71</v>
      </c>
      <c r="D1412">
        <f>VLOOKUP(A1412,收盤價!A:C,3,0)</f>
        <v>58.8</v>
      </c>
      <c r="E1412" s="126">
        <v>-0.17183098591549301</v>
      </c>
      <c r="F1412">
        <v>10.46</v>
      </c>
    </row>
    <row r="1413" spans="1:6">
      <c r="A1413">
        <v>2641</v>
      </c>
      <c r="B1413" t="s">
        <v>1435</v>
      </c>
      <c r="C1413">
        <v>9.06</v>
      </c>
      <c r="D1413">
        <f>VLOOKUP(A1413,收盤價!A:C,3,0)</f>
        <v>7.5</v>
      </c>
      <c r="E1413" s="126">
        <v>-0.17218543046357621</v>
      </c>
      <c r="F1413">
        <v>10.4</v>
      </c>
    </row>
    <row r="1414" spans="1:6">
      <c r="A1414">
        <v>1541</v>
      </c>
      <c r="B1414" t="s">
        <v>655</v>
      </c>
      <c r="C1414">
        <v>65.5</v>
      </c>
      <c r="D1414">
        <f>VLOOKUP(A1414,收盤價!A:C,3,0)</f>
        <v>54.2</v>
      </c>
      <c r="E1414" s="126">
        <v>-0.17251908396946561</v>
      </c>
      <c r="F1414">
        <v>10.34</v>
      </c>
    </row>
    <row r="1415" spans="1:6">
      <c r="A1415">
        <v>3234</v>
      </c>
      <c r="B1415" t="s">
        <v>287</v>
      </c>
      <c r="C1415">
        <v>117</v>
      </c>
      <c r="D1415">
        <f>VLOOKUP(A1415,收盤價!A:C,3,0)</f>
        <v>96.8</v>
      </c>
      <c r="E1415" s="126">
        <v>-0.17264957264957267</v>
      </c>
      <c r="F1415">
        <v>10.27</v>
      </c>
    </row>
    <row r="1416" spans="1:6">
      <c r="A1416">
        <v>2308</v>
      </c>
      <c r="B1416" t="s">
        <v>780</v>
      </c>
      <c r="C1416">
        <v>170</v>
      </c>
      <c r="D1416">
        <f>VLOOKUP(A1416,收盤價!A:C,3,0)</f>
        <v>140.5</v>
      </c>
      <c r="E1416" s="126">
        <v>-0.17352941176470588</v>
      </c>
      <c r="F1416">
        <v>10.210000000000001</v>
      </c>
    </row>
    <row r="1417" spans="1:6">
      <c r="A1417">
        <v>4987</v>
      </c>
      <c r="B1417" t="s">
        <v>1610</v>
      </c>
      <c r="C1417">
        <v>84.7</v>
      </c>
      <c r="D1417">
        <f>VLOOKUP(A1417,收盤價!A:C,3,0)</f>
        <v>70</v>
      </c>
      <c r="E1417" s="126">
        <v>-0.1735537190082645</v>
      </c>
      <c r="F1417">
        <v>10.15</v>
      </c>
    </row>
    <row r="1418" spans="1:6">
      <c r="A1418">
        <v>4304</v>
      </c>
      <c r="B1418" t="s">
        <v>359</v>
      </c>
      <c r="C1418">
        <v>13.2</v>
      </c>
      <c r="D1418">
        <f>VLOOKUP(A1418,收盤價!A:C,3,0)</f>
        <v>10.9</v>
      </c>
      <c r="E1418" s="126">
        <v>-0.17424242424242417</v>
      </c>
      <c r="F1418">
        <v>10.08</v>
      </c>
    </row>
    <row r="1419" spans="1:6">
      <c r="A1419">
        <v>8261</v>
      </c>
      <c r="B1419" t="s">
        <v>1338</v>
      </c>
      <c r="C1419">
        <v>31.5</v>
      </c>
      <c r="D1419">
        <f>VLOOKUP(A1419,收盤價!A:C,3,0)</f>
        <v>26</v>
      </c>
      <c r="E1419" s="126">
        <v>-0.17460317460317459</v>
      </c>
      <c r="F1419">
        <v>10.02</v>
      </c>
    </row>
    <row r="1420" spans="1:6">
      <c r="A1420">
        <v>4942</v>
      </c>
      <c r="B1420" t="s">
        <v>1194</v>
      </c>
      <c r="C1420">
        <v>25.15</v>
      </c>
      <c r="D1420">
        <f>VLOOKUP(A1420,收盤價!A:C,3,0)</f>
        <v>20.75</v>
      </c>
      <c r="E1420" s="126">
        <v>-0.17495029821073554</v>
      </c>
      <c r="F1420">
        <v>9.9600000000000009</v>
      </c>
    </row>
    <row r="1421" spans="1:6">
      <c r="A1421">
        <v>3043</v>
      </c>
      <c r="B1421" t="s">
        <v>1059</v>
      </c>
      <c r="C1421">
        <v>3.36</v>
      </c>
      <c r="D1421">
        <f>VLOOKUP(A1421,收盤價!A:C,3,0)</f>
        <v>2.77</v>
      </c>
      <c r="E1421" s="126">
        <v>-0.17559523809523805</v>
      </c>
      <c r="F1421">
        <v>9.89</v>
      </c>
    </row>
    <row r="1422" spans="1:6">
      <c r="A1422">
        <v>4529</v>
      </c>
      <c r="B1422" t="s">
        <v>1581</v>
      </c>
      <c r="C1422">
        <v>56.2</v>
      </c>
      <c r="D1422">
        <f>VLOOKUP(A1422,收盤價!A:C,3,0)</f>
        <v>46.3</v>
      </c>
      <c r="E1422" s="126">
        <v>-0.17615658362989334</v>
      </c>
      <c r="F1422">
        <v>9.83</v>
      </c>
    </row>
    <row r="1423" spans="1:6">
      <c r="A1423">
        <v>4192</v>
      </c>
      <c r="B1423" t="s">
        <v>1560</v>
      </c>
      <c r="C1423">
        <v>48.65</v>
      </c>
      <c r="D1423">
        <f>VLOOKUP(A1423,收盤價!A:C,3,0)</f>
        <v>40.049999999999997</v>
      </c>
      <c r="E1423" s="126">
        <v>-0.17677286742034948</v>
      </c>
      <c r="F1423">
        <v>9.77</v>
      </c>
    </row>
    <row r="1424" spans="1:6">
      <c r="A1424">
        <v>1101</v>
      </c>
      <c r="B1424" t="s">
        <v>526</v>
      </c>
      <c r="C1424">
        <v>37</v>
      </c>
      <c r="D1424">
        <f>VLOOKUP(A1424,收盤價!A:C,3,0)</f>
        <v>30.45</v>
      </c>
      <c r="E1424" s="126">
        <v>-0.17702702702702705</v>
      </c>
      <c r="F1424">
        <v>9.6999999999999993</v>
      </c>
    </row>
    <row r="1425" spans="1:6">
      <c r="A1425">
        <v>4161</v>
      </c>
      <c r="B1425" t="s">
        <v>1555</v>
      </c>
      <c r="C1425">
        <v>72.599999999999994</v>
      </c>
      <c r="D1425">
        <f>VLOOKUP(A1425,收盤價!A:C,3,0)</f>
        <v>59.7</v>
      </c>
      <c r="E1425" s="126">
        <v>-0.17768595041322305</v>
      </c>
      <c r="F1425">
        <v>9.64</v>
      </c>
    </row>
    <row r="1426" spans="1:6">
      <c r="A1426">
        <v>6120</v>
      </c>
      <c r="B1426" t="s">
        <v>1243</v>
      </c>
      <c r="C1426">
        <v>13.2</v>
      </c>
      <c r="D1426">
        <f>VLOOKUP(A1426,收盤價!A:C,3,0)</f>
        <v>10.85</v>
      </c>
      <c r="E1426" s="126">
        <v>-0.17803030303030301</v>
      </c>
      <c r="F1426">
        <v>9.58</v>
      </c>
    </row>
    <row r="1427" spans="1:6">
      <c r="A1427">
        <v>8076</v>
      </c>
      <c r="B1427" t="s">
        <v>1770</v>
      </c>
      <c r="C1427">
        <v>104</v>
      </c>
      <c r="D1427">
        <f>VLOOKUP(A1427,收盤價!A:C,3,0)</f>
        <v>85.4</v>
      </c>
      <c r="E1427" s="126">
        <v>-0.17884615384615379</v>
      </c>
      <c r="F1427">
        <v>9.51</v>
      </c>
    </row>
    <row r="1428" spans="1:6">
      <c r="A1428">
        <v>4139</v>
      </c>
      <c r="B1428" t="s">
        <v>1551</v>
      </c>
      <c r="C1428">
        <v>75</v>
      </c>
      <c r="D1428">
        <f>VLOOKUP(A1428,收盤價!A:C,3,0)</f>
        <v>61.5</v>
      </c>
      <c r="E1428" s="126">
        <v>-0.18</v>
      </c>
      <c r="F1428">
        <v>9.4499999999999993</v>
      </c>
    </row>
    <row r="1429" spans="1:6">
      <c r="A1429">
        <v>5304</v>
      </c>
      <c r="B1429" t="s">
        <v>401</v>
      </c>
      <c r="C1429">
        <v>3.38</v>
      </c>
      <c r="D1429">
        <f>VLOOKUP(A1429,收盤價!A:C,3,0)</f>
        <v>2.77</v>
      </c>
      <c r="E1429" s="126">
        <v>-0.18047337278106507</v>
      </c>
      <c r="F1429">
        <v>9.3800000000000008</v>
      </c>
    </row>
    <row r="1430" spans="1:6">
      <c r="A1430">
        <v>6153</v>
      </c>
      <c r="B1430" t="s">
        <v>1253</v>
      </c>
      <c r="C1430">
        <v>27.6</v>
      </c>
      <c r="D1430">
        <f>VLOOKUP(A1430,收盤價!A:C,3,0)</f>
        <v>22.6</v>
      </c>
      <c r="E1430" s="126">
        <v>-0.18115942028985507</v>
      </c>
      <c r="F1430">
        <v>9.32</v>
      </c>
    </row>
    <row r="1431" spans="1:6">
      <c r="A1431">
        <v>2499</v>
      </c>
      <c r="B1431" t="s">
        <v>919</v>
      </c>
      <c r="C1431">
        <v>23.05</v>
      </c>
      <c r="D1431">
        <f>VLOOKUP(A1431,收盤價!A:C,3,0)</f>
        <v>18.850000000000001</v>
      </c>
      <c r="E1431" s="126">
        <v>-0.18221258134490234</v>
      </c>
      <c r="F1431">
        <v>9.26</v>
      </c>
    </row>
    <row r="1432" spans="1:6">
      <c r="A1432">
        <v>3313</v>
      </c>
      <c r="B1432" t="s">
        <v>300</v>
      </c>
      <c r="C1432">
        <v>8.06</v>
      </c>
      <c r="D1432">
        <f>VLOOKUP(A1432,收盤價!A:C,3,0)</f>
        <v>6.59</v>
      </c>
      <c r="E1432" s="126">
        <v>-0.18238213399503728</v>
      </c>
      <c r="F1432">
        <v>9.19</v>
      </c>
    </row>
    <row r="1433" spans="1:6">
      <c r="A1433">
        <v>3291</v>
      </c>
      <c r="B1433" t="s">
        <v>295</v>
      </c>
      <c r="C1433">
        <v>17.399999999999999</v>
      </c>
      <c r="D1433">
        <f>VLOOKUP(A1433,收盤價!A:C,3,0)</f>
        <v>14.2</v>
      </c>
      <c r="E1433" s="126">
        <v>-0.18390804597701146</v>
      </c>
      <c r="F1433">
        <v>9.1300000000000008</v>
      </c>
    </row>
    <row r="1434" spans="1:6">
      <c r="A1434">
        <v>3607</v>
      </c>
      <c r="B1434" t="s">
        <v>1138</v>
      </c>
      <c r="C1434">
        <v>59.2</v>
      </c>
      <c r="D1434">
        <f>VLOOKUP(A1434,收盤價!A:C,3,0)</f>
        <v>48.3</v>
      </c>
      <c r="E1434" s="126">
        <v>-0.18412162162162171</v>
      </c>
      <c r="F1434">
        <v>9.07</v>
      </c>
    </row>
    <row r="1435" spans="1:6">
      <c r="A1435">
        <v>4979</v>
      </c>
      <c r="B1435" t="s">
        <v>383</v>
      </c>
      <c r="C1435">
        <v>94.5</v>
      </c>
      <c r="D1435">
        <f>VLOOKUP(A1435,收盤價!A:C,3,0)</f>
        <v>77.099999999999994</v>
      </c>
      <c r="E1435" s="126">
        <v>-0.18412698412698419</v>
      </c>
      <c r="F1435">
        <v>9</v>
      </c>
    </row>
    <row r="1436" spans="1:6">
      <c r="A1436">
        <v>3339</v>
      </c>
      <c r="B1436" t="s">
        <v>1486</v>
      </c>
      <c r="C1436">
        <v>4.5599999999999996</v>
      </c>
      <c r="D1436">
        <f>VLOOKUP(A1436,收盤價!A:C,3,0)</f>
        <v>3.72</v>
      </c>
      <c r="E1436" s="126">
        <v>-0.18421052631578935</v>
      </c>
      <c r="F1436">
        <v>8.94</v>
      </c>
    </row>
    <row r="1437" spans="1:6">
      <c r="A1437">
        <v>8933</v>
      </c>
      <c r="B1437" t="s">
        <v>1819</v>
      </c>
      <c r="C1437">
        <v>18.45</v>
      </c>
      <c r="D1437">
        <f>VLOOKUP(A1437,收盤價!A:C,3,0)</f>
        <v>15.05</v>
      </c>
      <c r="E1437" s="126">
        <v>-0.1842818428184281</v>
      </c>
      <c r="F1437">
        <v>8.8800000000000008</v>
      </c>
    </row>
    <row r="1438" spans="1:6">
      <c r="A1438">
        <v>5255</v>
      </c>
      <c r="B1438" t="s">
        <v>394</v>
      </c>
      <c r="C1438">
        <v>19.399999999999999</v>
      </c>
      <c r="D1438">
        <f>VLOOKUP(A1438,收盤價!A:C,3,0)</f>
        <v>15.8</v>
      </c>
      <c r="E1438" s="126">
        <v>-0.18556701030927825</v>
      </c>
      <c r="F1438">
        <v>8.81</v>
      </c>
    </row>
    <row r="1439" spans="1:6">
      <c r="A1439">
        <v>3661</v>
      </c>
      <c r="B1439" t="s">
        <v>1143</v>
      </c>
      <c r="C1439">
        <v>46</v>
      </c>
      <c r="D1439">
        <f>VLOOKUP(A1439,收盤價!A:C,3,0)</f>
        <v>37.4</v>
      </c>
      <c r="E1439" s="126">
        <v>-0.18695652173913047</v>
      </c>
      <c r="F1439">
        <v>8.75</v>
      </c>
    </row>
    <row r="1440" spans="1:6">
      <c r="A1440">
        <v>3232</v>
      </c>
      <c r="B1440" t="s">
        <v>286</v>
      </c>
      <c r="C1440">
        <v>30.1</v>
      </c>
      <c r="D1440">
        <f>VLOOKUP(A1440,收盤價!A:C,3,0)</f>
        <v>24.45</v>
      </c>
      <c r="E1440" s="126">
        <v>-0.18770764119601335</v>
      </c>
      <c r="F1440">
        <v>8.69</v>
      </c>
    </row>
    <row r="1441" spans="1:6">
      <c r="A1441">
        <v>3228</v>
      </c>
      <c r="B1441" t="s">
        <v>285</v>
      </c>
      <c r="C1441">
        <v>23.4</v>
      </c>
      <c r="D1441">
        <f>VLOOKUP(A1441,收盤價!A:C,3,0)</f>
        <v>19</v>
      </c>
      <c r="E1441" s="126">
        <v>-0.18803418803418798</v>
      </c>
      <c r="F1441">
        <v>8.6199999999999992</v>
      </c>
    </row>
    <row r="1442" spans="1:6">
      <c r="A1442">
        <v>8936</v>
      </c>
      <c r="B1442" t="s">
        <v>1821</v>
      </c>
      <c r="C1442">
        <v>38</v>
      </c>
      <c r="D1442">
        <f>VLOOKUP(A1442,收盤價!A:C,3,0)</f>
        <v>30.85</v>
      </c>
      <c r="E1442" s="126">
        <v>-0.18815789473684208</v>
      </c>
      <c r="F1442">
        <v>8.56</v>
      </c>
    </row>
    <row r="1443" spans="1:6">
      <c r="A1443">
        <v>6145</v>
      </c>
      <c r="B1443" t="s">
        <v>1251</v>
      </c>
      <c r="C1443">
        <v>13.55</v>
      </c>
      <c r="D1443">
        <f>VLOOKUP(A1443,收盤價!A:C,3,0)</f>
        <v>11</v>
      </c>
      <c r="E1443" s="126">
        <v>-0.18819188191881922</v>
      </c>
      <c r="F1443">
        <v>8.5</v>
      </c>
    </row>
    <row r="1444" spans="1:6">
      <c r="A1444">
        <v>3164</v>
      </c>
      <c r="B1444" t="s">
        <v>1081</v>
      </c>
      <c r="C1444">
        <v>33</v>
      </c>
      <c r="D1444">
        <f>VLOOKUP(A1444,收盤價!A:C,3,0)</f>
        <v>26.75</v>
      </c>
      <c r="E1444" s="126">
        <v>-0.18939393939393939</v>
      </c>
      <c r="F1444">
        <v>8.43</v>
      </c>
    </row>
    <row r="1445" spans="1:6">
      <c r="A1445">
        <v>4609</v>
      </c>
      <c r="B1445" t="s">
        <v>1587</v>
      </c>
      <c r="C1445">
        <v>10</v>
      </c>
      <c r="D1445">
        <f>VLOOKUP(A1445,收盤價!A:C,3,0)</f>
        <v>8.09</v>
      </c>
      <c r="E1445" s="126">
        <v>-0.191</v>
      </c>
      <c r="F1445">
        <v>8.3699999999999992</v>
      </c>
    </row>
    <row r="1446" spans="1:6">
      <c r="A1446">
        <v>4417</v>
      </c>
      <c r="B1446" t="s">
        <v>1569</v>
      </c>
      <c r="C1446">
        <v>42.1</v>
      </c>
      <c r="D1446">
        <f>VLOOKUP(A1446,收盤價!A:C,3,0)</f>
        <v>34.049999999999997</v>
      </c>
      <c r="E1446" s="126">
        <v>-0.19121140142517823</v>
      </c>
      <c r="F1446">
        <v>8.31</v>
      </c>
    </row>
    <row r="1447" spans="1:6">
      <c r="A1447">
        <v>4198</v>
      </c>
      <c r="B1447" t="s">
        <v>358</v>
      </c>
      <c r="C1447">
        <v>38.15</v>
      </c>
      <c r="D1447">
        <f>VLOOKUP(A1447,收盤價!A:C,3,0)</f>
        <v>30.85</v>
      </c>
      <c r="E1447" s="126">
        <v>-0.19134993446920046</v>
      </c>
      <c r="F1447">
        <v>8.24</v>
      </c>
    </row>
    <row r="1448" spans="1:6">
      <c r="A1448">
        <v>5474</v>
      </c>
      <c r="B1448" t="s">
        <v>1654</v>
      </c>
      <c r="C1448">
        <v>79.400000000000006</v>
      </c>
      <c r="D1448">
        <f>VLOOKUP(A1448,收盤價!A:C,3,0)</f>
        <v>64.2</v>
      </c>
      <c r="E1448" s="126">
        <v>-0.19143576826196476</v>
      </c>
      <c r="F1448">
        <v>8.18</v>
      </c>
    </row>
    <row r="1449" spans="1:6">
      <c r="A1449">
        <v>2028</v>
      </c>
      <c r="B1449" t="s">
        <v>745</v>
      </c>
      <c r="C1449">
        <v>2.29</v>
      </c>
      <c r="D1449">
        <f>VLOOKUP(A1449,收盤價!A:C,3,0)</f>
        <v>1.85</v>
      </c>
      <c r="E1449" s="126">
        <v>-0.19213973799126635</v>
      </c>
      <c r="F1449">
        <v>8.1199999999999992</v>
      </c>
    </row>
    <row r="1450" spans="1:6">
      <c r="A1450">
        <v>3466</v>
      </c>
      <c r="B1450" t="s">
        <v>312</v>
      </c>
      <c r="C1450">
        <v>26.25</v>
      </c>
      <c r="D1450">
        <f>VLOOKUP(A1450,收盤價!A:C,3,0)</f>
        <v>21.2</v>
      </c>
      <c r="E1450" s="126">
        <v>-0.1923809523809524</v>
      </c>
      <c r="F1450">
        <v>8.0500000000000007</v>
      </c>
    </row>
    <row r="1451" spans="1:6">
      <c r="A1451">
        <v>2354</v>
      </c>
      <c r="B1451" t="s">
        <v>809</v>
      </c>
      <c r="C1451">
        <v>87.5</v>
      </c>
      <c r="D1451">
        <f>VLOOKUP(A1451,收盤價!A:C,3,0)</f>
        <v>70.599999999999994</v>
      </c>
      <c r="E1451" s="126">
        <v>-0.1931428571428572</v>
      </c>
      <c r="F1451">
        <v>7.99</v>
      </c>
    </row>
    <row r="1452" spans="1:6">
      <c r="A1452">
        <v>2474</v>
      </c>
      <c r="B1452" t="s">
        <v>898</v>
      </c>
      <c r="C1452">
        <v>338</v>
      </c>
      <c r="D1452">
        <f>VLOOKUP(A1452,收盤價!A:C,3,0)</f>
        <v>272.5</v>
      </c>
      <c r="E1452" s="126">
        <v>-0.1937869822485207</v>
      </c>
      <c r="F1452">
        <v>7.93</v>
      </c>
    </row>
    <row r="1453" spans="1:6">
      <c r="A1453">
        <v>8097</v>
      </c>
      <c r="B1453" t="s">
        <v>1779</v>
      </c>
      <c r="C1453">
        <v>13.1</v>
      </c>
      <c r="D1453">
        <f>VLOOKUP(A1453,收盤價!A:C,3,0)</f>
        <v>10.55</v>
      </c>
      <c r="E1453" s="126">
        <v>-0.19465648854961826</v>
      </c>
      <c r="F1453">
        <v>7.86</v>
      </c>
    </row>
    <row r="1454" spans="1:6">
      <c r="A1454">
        <v>4153</v>
      </c>
      <c r="B1454" t="s">
        <v>351</v>
      </c>
      <c r="C1454">
        <v>87.6</v>
      </c>
      <c r="D1454">
        <f>VLOOKUP(A1454,收盤價!A:C,3,0)</f>
        <v>70.5</v>
      </c>
      <c r="E1454" s="126">
        <v>-0.19520547945205474</v>
      </c>
      <c r="F1454">
        <v>7.8</v>
      </c>
    </row>
    <row r="1455" spans="1:6">
      <c r="A1455">
        <v>1413</v>
      </c>
      <c r="B1455" t="s">
        <v>579</v>
      </c>
      <c r="C1455">
        <v>8.8000000000000007</v>
      </c>
      <c r="D1455">
        <f>VLOOKUP(A1455,收盤價!A:C,3,0)</f>
        <v>7.07</v>
      </c>
      <c r="E1455" s="126">
        <v>-0.19659090909090912</v>
      </c>
      <c r="F1455">
        <v>7.74</v>
      </c>
    </row>
    <row r="1456" spans="1:6">
      <c r="A1456">
        <v>4745</v>
      </c>
      <c r="B1456" t="s">
        <v>1595</v>
      </c>
      <c r="C1456">
        <v>73.099999999999994</v>
      </c>
      <c r="D1456">
        <f>VLOOKUP(A1456,收盤價!A:C,3,0)</f>
        <v>58.7</v>
      </c>
      <c r="E1456" s="126">
        <v>-0.19699042407660727</v>
      </c>
      <c r="F1456">
        <v>7.67</v>
      </c>
    </row>
    <row r="1457" spans="1:6">
      <c r="A1457">
        <v>9944</v>
      </c>
      <c r="B1457" t="s">
        <v>1407</v>
      </c>
      <c r="C1457">
        <v>31.7</v>
      </c>
      <c r="D1457">
        <f>VLOOKUP(A1457,收盤價!A:C,3,0)</f>
        <v>25.45</v>
      </c>
      <c r="E1457" s="126">
        <v>-0.19716088328075709</v>
      </c>
      <c r="F1457">
        <v>7.61</v>
      </c>
    </row>
    <row r="1458" spans="1:6">
      <c r="A1458">
        <v>2882</v>
      </c>
      <c r="B1458" t="s">
        <v>1000</v>
      </c>
      <c r="C1458">
        <v>49.5</v>
      </c>
      <c r="D1458">
        <f>VLOOKUP(A1458,收盤價!A:C,3,0)</f>
        <v>39.6</v>
      </c>
      <c r="E1458" s="126">
        <v>-0.19999999999999998</v>
      </c>
      <c r="F1458">
        <v>7.55</v>
      </c>
    </row>
    <row r="1459" spans="1:6">
      <c r="A1459">
        <v>4965</v>
      </c>
      <c r="B1459" t="s">
        <v>381</v>
      </c>
      <c r="C1459">
        <v>144</v>
      </c>
      <c r="D1459">
        <f>VLOOKUP(A1459,收盤價!A:C,3,0)</f>
        <v>115</v>
      </c>
      <c r="E1459" s="126">
        <v>-0.2013888888888889</v>
      </c>
      <c r="F1459">
        <v>7.48</v>
      </c>
    </row>
    <row r="1460" spans="1:6">
      <c r="A1460">
        <v>8147</v>
      </c>
      <c r="B1460" t="s">
        <v>1784</v>
      </c>
      <c r="C1460">
        <v>57</v>
      </c>
      <c r="D1460">
        <f>VLOOKUP(A1460,收盤價!A:C,3,0)</f>
        <v>45.5</v>
      </c>
      <c r="E1460" s="126">
        <v>-0.20175438596491227</v>
      </c>
      <c r="F1460">
        <v>7.42</v>
      </c>
    </row>
    <row r="1461" spans="1:6">
      <c r="A1461">
        <v>5227</v>
      </c>
      <c r="B1461" t="s">
        <v>1622</v>
      </c>
      <c r="C1461">
        <v>37.200000000000003</v>
      </c>
      <c r="D1461">
        <f>VLOOKUP(A1461,收盤價!A:C,3,0)</f>
        <v>29.6</v>
      </c>
      <c r="E1461" s="126">
        <v>-0.20430107526881722</v>
      </c>
      <c r="F1461">
        <v>7.36</v>
      </c>
    </row>
    <row r="1462" spans="1:6">
      <c r="A1462">
        <v>2601</v>
      </c>
      <c r="B1462" t="s">
        <v>948</v>
      </c>
      <c r="C1462">
        <v>11.75</v>
      </c>
      <c r="D1462">
        <f>VLOOKUP(A1462,收盤價!A:C,3,0)</f>
        <v>9.34</v>
      </c>
      <c r="E1462" s="126">
        <v>-0.20510638297872341</v>
      </c>
      <c r="F1462">
        <v>7.29</v>
      </c>
    </row>
    <row r="1463" spans="1:6">
      <c r="A1463">
        <v>2368</v>
      </c>
      <c r="B1463" t="s">
        <v>822</v>
      </c>
      <c r="C1463">
        <v>11.7</v>
      </c>
      <c r="D1463">
        <f>VLOOKUP(A1463,收盤價!A:C,3,0)</f>
        <v>9.3000000000000007</v>
      </c>
      <c r="E1463" s="126">
        <v>-0.20512820512820501</v>
      </c>
      <c r="F1463">
        <v>7.23</v>
      </c>
    </row>
    <row r="1464" spans="1:6">
      <c r="A1464">
        <v>8374</v>
      </c>
      <c r="B1464" t="s">
        <v>1341</v>
      </c>
      <c r="C1464">
        <v>12.6</v>
      </c>
      <c r="D1464">
        <f>VLOOKUP(A1464,收盤價!A:C,3,0)</f>
        <v>9.99</v>
      </c>
      <c r="E1464" s="126">
        <v>-0.2071428571428571</v>
      </c>
      <c r="F1464">
        <v>7.17</v>
      </c>
    </row>
    <row r="1465" spans="1:6">
      <c r="A1465">
        <v>6276</v>
      </c>
      <c r="B1465" t="s">
        <v>472</v>
      </c>
      <c r="C1465">
        <v>8.15</v>
      </c>
      <c r="D1465">
        <f>VLOOKUP(A1465,收盤價!A:C,3,0)</f>
        <v>6.46</v>
      </c>
      <c r="E1465" s="126">
        <v>-0.2073619631901841</v>
      </c>
      <c r="F1465">
        <v>7.1</v>
      </c>
    </row>
    <row r="1466" spans="1:6">
      <c r="A1466">
        <v>4144</v>
      </c>
      <c r="B1466" t="s">
        <v>1166</v>
      </c>
      <c r="C1466">
        <v>65.8</v>
      </c>
      <c r="D1466">
        <f>VLOOKUP(A1466,收盤價!A:C,3,0)</f>
        <v>52.1</v>
      </c>
      <c r="E1466" s="126">
        <v>-0.20820668693009112</v>
      </c>
      <c r="F1466">
        <v>7.04</v>
      </c>
    </row>
    <row r="1467" spans="1:6">
      <c r="A1467">
        <v>2454</v>
      </c>
      <c r="B1467" t="s">
        <v>883</v>
      </c>
      <c r="C1467">
        <v>297</v>
      </c>
      <c r="D1467">
        <f>VLOOKUP(A1467,收盤價!A:C,3,0)</f>
        <v>235</v>
      </c>
      <c r="E1467" s="126">
        <v>-0.20875420875420875</v>
      </c>
      <c r="F1467">
        <v>6.98</v>
      </c>
    </row>
    <row r="1468" spans="1:6">
      <c r="A1468">
        <v>3176</v>
      </c>
      <c r="B1468" t="s">
        <v>278</v>
      </c>
      <c r="C1468">
        <v>94.8</v>
      </c>
      <c r="D1468">
        <f>VLOOKUP(A1468,收盤價!A:C,3,0)</f>
        <v>74.900000000000006</v>
      </c>
      <c r="E1468" s="126">
        <v>-0.2099156118143459</v>
      </c>
      <c r="F1468">
        <v>6.91</v>
      </c>
    </row>
    <row r="1469" spans="1:6">
      <c r="A1469">
        <v>2606</v>
      </c>
      <c r="B1469" t="s">
        <v>951</v>
      </c>
      <c r="C1469">
        <v>38</v>
      </c>
      <c r="D1469">
        <f>VLOOKUP(A1469,收盤價!A:C,3,0)</f>
        <v>30</v>
      </c>
      <c r="E1469" s="126">
        <v>-0.21052631578947367</v>
      </c>
      <c r="F1469">
        <v>6.85</v>
      </c>
    </row>
    <row r="1470" spans="1:6">
      <c r="A1470">
        <v>3518</v>
      </c>
      <c r="B1470" t="s">
        <v>1116</v>
      </c>
      <c r="C1470">
        <v>37.4</v>
      </c>
      <c r="D1470">
        <f>VLOOKUP(A1470,收盤價!A:C,3,0)</f>
        <v>29.5</v>
      </c>
      <c r="E1470" s="126">
        <v>-0.21122994652406415</v>
      </c>
      <c r="F1470">
        <v>6.79</v>
      </c>
    </row>
    <row r="1471" spans="1:6">
      <c r="A1471">
        <v>6130</v>
      </c>
      <c r="B1471" t="s">
        <v>437</v>
      </c>
      <c r="C1471">
        <v>35.9</v>
      </c>
      <c r="D1471">
        <f>VLOOKUP(A1471,收盤價!A:C,3,0)</f>
        <v>28.3</v>
      </c>
      <c r="E1471" s="126">
        <v>-0.21169916434540384</v>
      </c>
      <c r="F1471">
        <v>6.72</v>
      </c>
    </row>
    <row r="1472" spans="1:6">
      <c r="A1472">
        <v>2640</v>
      </c>
      <c r="B1472" t="s">
        <v>1434</v>
      </c>
      <c r="C1472">
        <v>78.8</v>
      </c>
      <c r="D1472">
        <f>VLOOKUP(A1472,收盤價!A:C,3,0)</f>
        <v>62.1</v>
      </c>
      <c r="E1472" s="126">
        <v>-0.21192893401015223</v>
      </c>
      <c r="F1472">
        <v>6.66</v>
      </c>
    </row>
    <row r="1473" spans="1:6">
      <c r="A1473">
        <v>3207</v>
      </c>
      <c r="B1473" t="s">
        <v>281</v>
      </c>
      <c r="C1473">
        <v>8.98</v>
      </c>
      <c r="D1473">
        <f>VLOOKUP(A1473,收盤價!A:C,3,0)</f>
        <v>7.06</v>
      </c>
      <c r="E1473" s="126">
        <v>-0.21380846325167047</v>
      </c>
      <c r="F1473">
        <v>6.59</v>
      </c>
    </row>
    <row r="1474" spans="1:6">
      <c r="A1474">
        <v>1477</v>
      </c>
      <c r="B1474" t="s">
        <v>625</v>
      </c>
      <c r="C1474">
        <v>249.5</v>
      </c>
      <c r="D1474">
        <f>VLOOKUP(A1474,收盤價!A:C,3,0)</f>
        <v>196</v>
      </c>
      <c r="E1474" s="126">
        <v>-0.21442885771543085</v>
      </c>
      <c r="F1474">
        <v>6.53</v>
      </c>
    </row>
    <row r="1475" spans="1:6">
      <c r="A1475">
        <v>4160</v>
      </c>
      <c r="B1475" t="s">
        <v>1554</v>
      </c>
      <c r="C1475">
        <v>36.299999999999997</v>
      </c>
      <c r="D1475">
        <f>VLOOKUP(A1475,收盤價!A:C,3,0)</f>
        <v>28.5</v>
      </c>
      <c r="E1475" s="126">
        <v>-0.21487603305785119</v>
      </c>
      <c r="F1475">
        <v>6.47</v>
      </c>
    </row>
    <row r="1476" spans="1:6">
      <c r="A1476">
        <v>8085</v>
      </c>
      <c r="B1476" t="s">
        <v>489</v>
      </c>
      <c r="C1476">
        <v>5.0999999999999996</v>
      </c>
      <c r="D1476">
        <f>VLOOKUP(A1476,收盤價!A:C,3,0)</f>
        <v>4</v>
      </c>
      <c r="E1476" s="126">
        <v>-0.21568627450980388</v>
      </c>
      <c r="F1476">
        <v>6.4</v>
      </c>
    </row>
    <row r="1477" spans="1:6">
      <c r="A1477">
        <v>3431</v>
      </c>
      <c r="B1477" t="s">
        <v>1492</v>
      </c>
      <c r="C1477">
        <v>9.76</v>
      </c>
      <c r="D1477">
        <f>VLOOKUP(A1477,收盤價!A:C,3,0)</f>
        <v>7.64</v>
      </c>
      <c r="E1477" s="126">
        <v>-0.21721311475409838</v>
      </c>
      <c r="F1477">
        <v>6.34</v>
      </c>
    </row>
    <row r="1478" spans="1:6">
      <c r="A1478">
        <v>5278</v>
      </c>
      <c r="B1478" t="s">
        <v>396</v>
      </c>
      <c r="C1478">
        <v>29.5</v>
      </c>
      <c r="D1478">
        <f>VLOOKUP(A1478,收盤價!A:C,3,0)</f>
        <v>23.05</v>
      </c>
      <c r="E1478" s="126">
        <v>-0.21864406779661014</v>
      </c>
      <c r="F1478">
        <v>6.28</v>
      </c>
    </row>
    <row r="1479" spans="1:6">
      <c r="A1479">
        <v>9914</v>
      </c>
      <c r="B1479" t="s">
        <v>1384</v>
      </c>
      <c r="C1479">
        <v>200.5</v>
      </c>
      <c r="D1479">
        <f>VLOOKUP(A1479,收盤價!A:C,3,0)</f>
        <v>156.5</v>
      </c>
      <c r="E1479" s="126">
        <v>-0.21945137157107231</v>
      </c>
      <c r="F1479">
        <v>6.21</v>
      </c>
    </row>
    <row r="1480" spans="1:6">
      <c r="A1480">
        <v>3229</v>
      </c>
      <c r="B1480" t="s">
        <v>1085</v>
      </c>
      <c r="C1480">
        <v>19.55</v>
      </c>
      <c r="D1480">
        <f>VLOOKUP(A1480,收盤價!A:C,3,0)</f>
        <v>15.25</v>
      </c>
      <c r="E1480" s="126">
        <v>-0.21994884910485937</v>
      </c>
      <c r="F1480">
        <v>6.15</v>
      </c>
    </row>
    <row r="1481" spans="1:6">
      <c r="A1481">
        <v>8906</v>
      </c>
      <c r="B1481" t="s">
        <v>1813</v>
      </c>
      <c r="C1481">
        <v>8.17</v>
      </c>
      <c r="D1481">
        <f>VLOOKUP(A1481,收盤價!A:C,3,0)</f>
        <v>6.37</v>
      </c>
      <c r="E1481" s="126">
        <v>-0.22031823745410034</v>
      </c>
      <c r="F1481">
        <v>6.09</v>
      </c>
    </row>
    <row r="1482" spans="1:6">
      <c r="A1482">
        <v>3051</v>
      </c>
      <c r="B1482" t="s">
        <v>1067</v>
      </c>
      <c r="C1482">
        <v>8.16</v>
      </c>
      <c r="D1482">
        <f>VLOOKUP(A1482,收盤價!A:C,3,0)</f>
        <v>6.35</v>
      </c>
      <c r="E1482" s="126">
        <v>-0.22181372549019612</v>
      </c>
      <c r="F1482">
        <v>6.02</v>
      </c>
    </row>
    <row r="1483" spans="1:6">
      <c r="A1483">
        <v>2724</v>
      </c>
      <c r="B1483" t="s">
        <v>1436</v>
      </c>
      <c r="C1483">
        <v>17.5</v>
      </c>
      <c r="D1483">
        <f>VLOOKUP(A1483,收盤價!A:C,3,0)</f>
        <v>13.6</v>
      </c>
      <c r="E1483" s="126">
        <v>-0.22285714285714286</v>
      </c>
      <c r="F1483">
        <v>5.96</v>
      </c>
    </row>
    <row r="1484" spans="1:6">
      <c r="A1484">
        <v>3515</v>
      </c>
      <c r="B1484" t="s">
        <v>1115</v>
      </c>
      <c r="C1484">
        <v>55</v>
      </c>
      <c r="D1484">
        <f>VLOOKUP(A1484,收盤價!A:C,3,0)</f>
        <v>42.55</v>
      </c>
      <c r="E1484" s="126">
        <v>-0.22636363636363641</v>
      </c>
      <c r="F1484">
        <v>5.9</v>
      </c>
    </row>
    <row r="1485" spans="1:6">
      <c r="A1485">
        <v>3625</v>
      </c>
      <c r="B1485" t="s">
        <v>336</v>
      </c>
      <c r="C1485">
        <v>11.7</v>
      </c>
      <c r="D1485">
        <f>VLOOKUP(A1485,收盤價!A:C,3,0)</f>
        <v>9.0500000000000007</v>
      </c>
      <c r="E1485" s="126">
        <v>-0.22649572649572638</v>
      </c>
      <c r="F1485">
        <v>5.83</v>
      </c>
    </row>
    <row r="1486" spans="1:6">
      <c r="A1486">
        <v>2910</v>
      </c>
      <c r="B1486" t="s">
        <v>1017</v>
      </c>
      <c r="C1486">
        <v>30.8</v>
      </c>
      <c r="D1486">
        <f>VLOOKUP(A1486,收盤價!A:C,3,0)</f>
        <v>23.8</v>
      </c>
      <c r="E1486" s="126">
        <v>-0.22727272727272727</v>
      </c>
      <c r="F1486">
        <v>5.77</v>
      </c>
    </row>
    <row r="1487" spans="1:6">
      <c r="A1487">
        <v>5906</v>
      </c>
      <c r="B1487" t="s">
        <v>1235</v>
      </c>
      <c r="C1487">
        <v>2.98</v>
      </c>
      <c r="D1487">
        <f>VLOOKUP(A1487,收盤價!A:C,3,0)</f>
        <v>2.2999999999999998</v>
      </c>
      <c r="E1487" s="126">
        <v>-0.22818791946308731</v>
      </c>
      <c r="F1487">
        <v>5.71</v>
      </c>
    </row>
    <row r="1488" spans="1:6">
      <c r="A1488">
        <v>3095</v>
      </c>
      <c r="B1488" t="s">
        <v>273</v>
      </c>
      <c r="C1488">
        <v>7.27</v>
      </c>
      <c r="D1488">
        <f>VLOOKUP(A1488,收盤價!A:C,3,0)</f>
        <v>5.61</v>
      </c>
      <c r="E1488" s="126">
        <v>-0.2283356258596973</v>
      </c>
      <c r="F1488">
        <v>5.64</v>
      </c>
    </row>
    <row r="1489" spans="1:6">
      <c r="A1489">
        <v>5349</v>
      </c>
      <c r="B1489" t="s">
        <v>1639</v>
      </c>
      <c r="C1489">
        <v>40.5</v>
      </c>
      <c r="D1489">
        <f>VLOOKUP(A1489,收盤價!A:C,3,0)</f>
        <v>31.2</v>
      </c>
      <c r="E1489" s="126">
        <v>-0.22962962962962966</v>
      </c>
      <c r="F1489">
        <v>5.58</v>
      </c>
    </row>
    <row r="1490" spans="1:6">
      <c r="A1490">
        <v>4946</v>
      </c>
      <c r="B1490" t="s">
        <v>1603</v>
      </c>
      <c r="C1490">
        <v>42.2</v>
      </c>
      <c r="D1490">
        <f>VLOOKUP(A1490,收盤價!A:C,3,0)</f>
        <v>32.5</v>
      </c>
      <c r="E1490" s="126">
        <v>-0.22985781990521331</v>
      </c>
      <c r="F1490">
        <v>5.52</v>
      </c>
    </row>
    <row r="1491" spans="1:6">
      <c r="A1491">
        <v>6289</v>
      </c>
      <c r="B1491" t="s">
        <v>1296</v>
      </c>
      <c r="C1491">
        <v>1.48</v>
      </c>
      <c r="D1491">
        <f>VLOOKUP(A1491,收盤價!A:C,3,0)</f>
        <v>1.1299999999999999</v>
      </c>
      <c r="E1491" s="126">
        <v>-0.23648648648648654</v>
      </c>
      <c r="F1491">
        <v>5.45</v>
      </c>
    </row>
    <row r="1492" spans="1:6">
      <c r="A1492">
        <v>6417</v>
      </c>
      <c r="B1492" t="s">
        <v>520</v>
      </c>
      <c r="C1492">
        <v>54.2</v>
      </c>
      <c r="D1492">
        <f>VLOOKUP(A1492,收盤價!A:C,3,0)</f>
        <v>41.3</v>
      </c>
      <c r="E1492" s="126">
        <v>-0.23800738007380082</v>
      </c>
      <c r="F1492">
        <v>5.39</v>
      </c>
    </row>
    <row r="1493" spans="1:6">
      <c r="A1493">
        <v>9928</v>
      </c>
      <c r="B1493" t="s">
        <v>1393</v>
      </c>
      <c r="C1493">
        <v>11.4</v>
      </c>
      <c r="D1493">
        <f>VLOOKUP(A1493,收盤價!A:C,3,0)</f>
        <v>8.66</v>
      </c>
      <c r="E1493" s="126">
        <v>-0.24035087719298245</v>
      </c>
      <c r="F1493">
        <v>5.33</v>
      </c>
    </row>
    <row r="1494" spans="1:6">
      <c r="A1494">
        <v>5455</v>
      </c>
      <c r="B1494" t="s">
        <v>417</v>
      </c>
      <c r="C1494">
        <v>6.6</v>
      </c>
      <c r="D1494">
        <f>VLOOKUP(A1494,收盤價!A:C,3,0)</f>
        <v>5.01</v>
      </c>
      <c r="E1494" s="126">
        <v>-0.24090909090909091</v>
      </c>
      <c r="F1494">
        <v>5.26</v>
      </c>
    </row>
    <row r="1495" spans="1:6">
      <c r="A1495">
        <v>4190</v>
      </c>
      <c r="B1495" t="s">
        <v>1845</v>
      </c>
      <c r="C1495">
        <v>163.5</v>
      </c>
      <c r="D1495">
        <f>VLOOKUP(A1495,收盤價!A:C,3,0)</f>
        <v>124</v>
      </c>
      <c r="E1495" s="126">
        <v>-0.24159021406727829</v>
      </c>
      <c r="F1495">
        <v>5.2</v>
      </c>
    </row>
    <row r="1496" spans="1:6">
      <c r="A1496">
        <v>2727</v>
      </c>
      <c r="B1496" t="s">
        <v>976</v>
      </c>
      <c r="C1496">
        <v>187</v>
      </c>
      <c r="D1496">
        <f>VLOOKUP(A1496,收盤價!A:C,3,0)</f>
        <v>141.5</v>
      </c>
      <c r="E1496" s="126">
        <v>-0.24331550802139038</v>
      </c>
      <c r="F1496">
        <v>5.14</v>
      </c>
    </row>
    <row r="1497" spans="1:6">
      <c r="A1497">
        <v>6431</v>
      </c>
      <c r="B1497" t="s">
        <v>1303</v>
      </c>
      <c r="C1497">
        <v>13.35</v>
      </c>
      <c r="D1497">
        <f>VLOOKUP(A1497,收盤價!A:C,3,0)</f>
        <v>10.1</v>
      </c>
      <c r="E1497" s="126">
        <v>-0.24344569288389514</v>
      </c>
      <c r="F1497">
        <v>5.07</v>
      </c>
    </row>
    <row r="1498" spans="1:6">
      <c r="A1498">
        <v>4188</v>
      </c>
      <c r="B1498" t="s">
        <v>1559</v>
      </c>
      <c r="C1498">
        <v>36.9</v>
      </c>
      <c r="D1498">
        <f>VLOOKUP(A1498,收盤價!A:C,3,0)</f>
        <v>27.8</v>
      </c>
      <c r="E1498" s="126">
        <v>-0.2466124661246612</v>
      </c>
      <c r="F1498">
        <v>5.01</v>
      </c>
    </row>
    <row r="1499" spans="1:6">
      <c r="A1499">
        <v>2049</v>
      </c>
      <c r="B1499" t="s">
        <v>753</v>
      </c>
      <c r="C1499">
        <v>187</v>
      </c>
      <c r="D1499">
        <f>VLOOKUP(A1499,收盤價!A:C,3,0)</f>
        <v>140</v>
      </c>
      <c r="E1499" s="126">
        <v>-0.25133689839572193</v>
      </c>
      <c r="F1499">
        <v>4.95</v>
      </c>
    </row>
    <row r="1500" spans="1:6">
      <c r="A1500">
        <v>5381</v>
      </c>
      <c r="B1500" t="s">
        <v>1643</v>
      </c>
      <c r="C1500">
        <v>2.06</v>
      </c>
      <c r="D1500">
        <f>VLOOKUP(A1500,收盤價!A:C,3,0)</f>
        <v>1.54</v>
      </c>
      <c r="E1500" s="126">
        <v>-0.25242718446601942</v>
      </c>
      <c r="F1500">
        <v>4.88</v>
      </c>
    </row>
    <row r="1501" spans="1:6">
      <c r="A1501">
        <v>1449</v>
      </c>
      <c r="B1501" t="s">
        <v>601</v>
      </c>
      <c r="C1501">
        <v>7.12</v>
      </c>
      <c r="D1501">
        <f>VLOOKUP(A1501,收盤價!A:C,3,0)</f>
        <v>5.3</v>
      </c>
      <c r="E1501" s="126">
        <v>-0.2556179775280899</v>
      </c>
      <c r="F1501">
        <v>4.82</v>
      </c>
    </row>
    <row r="1502" spans="1:6">
      <c r="A1502">
        <v>6231</v>
      </c>
      <c r="B1502" t="s">
        <v>459</v>
      </c>
      <c r="C1502">
        <v>32.299999999999997</v>
      </c>
      <c r="D1502">
        <f>VLOOKUP(A1502,收盤價!A:C,3,0)</f>
        <v>24</v>
      </c>
      <c r="E1502" s="126">
        <v>-0.25696594427244573</v>
      </c>
      <c r="F1502">
        <v>4.76</v>
      </c>
    </row>
    <row r="1503" spans="1:6">
      <c r="A1503">
        <v>3536</v>
      </c>
      <c r="B1503" t="s">
        <v>1121</v>
      </c>
      <c r="C1503">
        <v>6.92</v>
      </c>
      <c r="D1503">
        <f>VLOOKUP(A1503,收盤價!A:C,3,0)</f>
        <v>5.14</v>
      </c>
      <c r="E1503" s="126">
        <v>-0.25722543352601163</v>
      </c>
      <c r="F1503">
        <v>4.6900000000000004</v>
      </c>
    </row>
    <row r="1504" spans="1:6">
      <c r="A1504">
        <v>6504</v>
      </c>
      <c r="B1504" t="s">
        <v>1310</v>
      </c>
      <c r="C1504">
        <v>197</v>
      </c>
      <c r="D1504">
        <f>VLOOKUP(A1504,收盤價!A:C,3,0)</f>
        <v>145</v>
      </c>
      <c r="E1504" s="126">
        <v>-0.26395939086294418</v>
      </c>
      <c r="F1504">
        <v>4.63</v>
      </c>
    </row>
    <row r="1505" spans="1:6">
      <c r="A1505">
        <v>6405</v>
      </c>
      <c r="B1505" t="s">
        <v>1297</v>
      </c>
      <c r="C1505">
        <v>26.7</v>
      </c>
      <c r="D1505">
        <f>VLOOKUP(A1505,收盤價!A:C,3,0)</f>
        <v>19.649999999999999</v>
      </c>
      <c r="E1505" s="126">
        <v>-0.26404494382022475</v>
      </c>
      <c r="F1505">
        <v>4.57</v>
      </c>
    </row>
    <row r="1506" spans="1:6">
      <c r="A1506">
        <v>2881</v>
      </c>
      <c r="B1506" t="s">
        <v>999</v>
      </c>
      <c r="C1506">
        <v>55.9</v>
      </c>
      <c r="D1506">
        <f>VLOOKUP(A1506,收盤價!A:C,3,0)</f>
        <v>41</v>
      </c>
      <c r="E1506" s="126">
        <v>-0.26654740608228977</v>
      </c>
      <c r="F1506">
        <v>4.5</v>
      </c>
    </row>
    <row r="1507" spans="1:6">
      <c r="A1507">
        <v>5468</v>
      </c>
      <c r="B1507" t="s">
        <v>420</v>
      </c>
      <c r="C1507">
        <v>7.5</v>
      </c>
      <c r="D1507">
        <f>VLOOKUP(A1507,收盤價!A:C,3,0)</f>
        <v>5.5</v>
      </c>
      <c r="E1507" s="126">
        <v>-0.26666666666666666</v>
      </c>
      <c r="F1507">
        <v>4.4400000000000004</v>
      </c>
    </row>
    <row r="1508" spans="1:6">
      <c r="A1508">
        <v>3673</v>
      </c>
      <c r="B1508" t="s">
        <v>1146</v>
      </c>
      <c r="C1508">
        <v>101</v>
      </c>
      <c r="D1508">
        <f>VLOOKUP(A1508,收盤價!A:C,3,0)</f>
        <v>74</v>
      </c>
      <c r="E1508" s="126">
        <v>-0.26732673267326734</v>
      </c>
      <c r="F1508">
        <v>4.38</v>
      </c>
    </row>
    <row r="1509" spans="1:6">
      <c r="A1509">
        <v>3570</v>
      </c>
      <c r="B1509" t="s">
        <v>1517</v>
      </c>
      <c r="C1509">
        <v>86</v>
      </c>
      <c r="D1509">
        <f>VLOOKUP(A1509,收盤價!A:C,3,0)</f>
        <v>63</v>
      </c>
      <c r="E1509" s="126">
        <v>-0.26744186046511625</v>
      </c>
      <c r="F1509">
        <v>4.3099999999999996</v>
      </c>
    </row>
    <row r="1510" spans="1:6">
      <c r="A1510">
        <v>8096</v>
      </c>
      <c r="B1510" t="s">
        <v>1778</v>
      </c>
      <c r="C1510">
        <v>27.85</v>
      </c>
      <c r="D1510">
        <f>VLOOKUP(A1510,收盤價!A:C,3,0)</f>
        <v>20.399999999999999</v>
      </c>
      <c r="E1510" s="126">
        <v>-0.26750448833034118</v>
      </c>
      <c r="F1510">
        <v>4.25</v>
      </c>
    </row>
    <row r="1511" spans="1:6">
      <c r="A1511">
        <v>2734</v>
      </c>
      <c r="B1511" t="s">
        <v>265</v>
      </c>
      <c r="C1511">
        <v>29.1</v>
      </c>
      <c r="D1511">
        <f>VLOOKUP(A1511,收盤價!A:C,3,0)</f>
        <v>21.3</v>
      </c>
      <c r="E1511" s="126">
        <v>-0.26804123711340205</v>
      </c>
      <c r="F1511">
        <v>4.1900000000000004</v>
      </c>
    </row>
    <row r="1512" spans="1:6">
      <c r="A1512">
        <v>6259</v>
      </c>
      <c r="B1512" t="s">
        <v>467</v>
      </c>
      <c r="C1512">
        <v>10.45</v>
      </c>
      <c r="D1512">
        <f>VLOOKUP(A1512,收盤價!A:C,3,0)</f>
        <v>7.61</v>
      </c>
      <c r="E1512" s="126">
        <v>-0.27177033492822961</v>
      </c>
      <c r="F1512">
        <v>4.12</v>
      </c>
    </row>
    <row r="1513" spans="1:6">
      <c r="A1513">
        <v>1591</v>
      </c>
      <c r="B1513" t="s">
        <v>1420</v>
      </c>
      <c r="C1513">
        <v>26.8</v>
      </c>
      <c r="D1513">
        <f>VLOOKUP(A1513,收盤價!A:C,3,0)</f>
        <v>19.5</v>
      </c>
      <c r="E1513" s="126">
        <v>-0.27238805970149255</v>
      </c>
      <c r="F1513">
        <v>4.0599999999999996</v>
      </c>
    </row>
    <row r="1514" spans="1:6">
      <c r="A1514">
        <v>6404</v>
      </c>
      <c r="B1514" t="s">
        <v>1746</v>
      </c>
      <c r="C1514">
        <v>50.8</v>
      </c>
      <c r="D1514">
        <f>VLOOKUP(A1514,收盤價!A:C,3,0)</f>
        <v>36.75</v>
      </c>
      <c r="E1514" s="126">
        <v>-0.27657480314960625</v>
      </c>
      <c r="F1514">
        <v>3.99</v>
      </c>
    </row>
    <row r="1515" spans="1:6">
      <c r="A1515">
        <v>3499</v>
      </c>
      <c r="B1515" t="s">
        <v>317</v>
      </c>
      <c r="C1515">
        <v>25.7</v>
      </c>
      <c r="D1515">
        <f>VLOOKUP(A1515,收盤價!A:C,3,0)</f>
        <v>18.399999999999999</v>
      </c>
      <c r="E1515" s="126">
        <v>-0.28404669260700394</v>
      </c>
      <c r="F1515">
        <v>3.93</v>
      </c>
    </row>
    <row r="1516" spans="1:6">
      <c r="A1516">
        <v>3512</v>
      </c>
      <c r="B1516" t="s">
        <v>1503</v>
      </c>
      <c r="C1516">
        <v>36.6</v>
      </c>
      <c r="D1516">
        <f>VLOOKUP(A1516,收盤價!A:C,3,0)</f>
        <v>26</v>
      </c>
      <c r="E1516" s="126">
        <v>-0.28961748633879786</v>
      </c>
      <c r="F1516">
        <v>3.87</v>
      </c>
    </row>
    <row r="1517" spans="1:6">
      <c r="A1517">
        <v>4167</v>
      </c>
      <c r="B1517" t="s">
        <v>353</v>
      </c>
      <c r="C1517">
        <v>32.450000000000003</v>
      </c>
      <c r="D1517">
        <f>VLOOKUP(A1517,收盤價!A:C,3,0)</f>
        <v>23.05</v>
      </c>
      <c r="E1517" s="126">
        <v>-0.28967642526964565</v>
      </c>
      <c r="F1517">
        <v>3.8</v>
      </c>
    </row>
    <row r="1518" spans="1:6">
      <c r="A1518">
        <v>3374</v>
      </c>
      <c r="B1518" t="s">
        <v>307</v>
      </c>
      <c r="C1518">
        <v>42.7</v>
      </c>
      <c r="D1518">
        <f>VLOOKUP(A1518,收盤價!A:C,3,0)</f>
        <v>29.7</v>
      </c>
      <c r="E1518" s="126">
        <v>-0.30444964871194385</v>
      </c>
      <c r="F1518">
        <v>3.74</v>
      </c>
    </row>
    <row r="1519" spans="1:6">
      <c r="A1519">
        <v>6225</v>
      </c>
      <c r="B1519" t="s">
        <v>1279</v>
      </c>
      <c r="C1519">
        <v>3.6</v>
      </c>
      <c r="D1519">
        <f>VLOOKUP(A1519,收盤價!A:C,3,0)</f>
        <v>2.4900000000000002</v>
      </c>
      <c r="E1519" s="126">
        <v>-0.30833333333333329</v>
      </c>
      <c r="F1519">
        <v>3.68</v>
      </c>
    </row>
    <row r="1520" spans="1:6">
      <c r="A1520">
        <v>4733</v>
      </c>
      <c r="B1520" t="s">
        <v>1179</v>
      </c>
      <c r="C1520">
        <v>221.5</v>
      </c>
      <c r="D1520">
        <f>VLOOKUP(A1520,收盤價!A:C,3,0)</f>
        <v>153</v>
      </c>
      <c r="E1520" s="126">
        <v>-0.30925507900677202</v>
      </c>
      <c r="F1520">
        <v>3.61</v>
      </c>
    </row>
    <row r="1521" spans="1:6">
      <c r="A1521">
        <v>5321</v>
      </c>
      <c r="B1521" t="s">
        <v>1634</v>
      </c>
      <c r="C1521">
        <v>33.9</v>
      </c>
      <c r="D1521">
        <f>VLOOKUP(A1521,收盤價!A:C,3,0)</f>
        <v>23.3</v>
      </c>
      <c r="E1521" s="126">
        <v>-0.31268436578171088</v>
      </c>
      <c r="F1521">
        <v>3.55</v>
      </c>
    </row>
    <row r="1522" spans="1:6">
      <c r="A1522">
        <v>2528</v>
      </c>
      <c r="B1522" t="s">
        <v>932</v>
      </c>
      <c r="C1522">
        <v>9.9</v>
      </c>
      <c r="D1522">
        <f>VLOOKUP(A1522,收盤價!A:C,3,0)</f>
        <v>6.66</v>
      </c>
      <c r="E1522" s="126">
        <v>-0.32727272727272727</v>
      </c>
      <c r="F1522">
        <v>3.49</v>
      </c>
    </row>
    <row r="1523" spans="1:6">
      <c r="A1523">
        <v>6176</v>
      </c>
      <c r="B1523" t="s">
        <v>1260</v>
      </c>
      <c r="C1523">
        <v>104</v>
      </c>
      <c r="D1523">
        <f>VLOOKUP(A1523,收盤價!A:C,3,0)</f>
        <v>69.599999999999994</v>
      </c>
      <c r="E1523" s="126">
        <v>-0.33076923076923082</v>
      </c>
      <c r="F1523">
        <v>3.42</v>
      </c>
    </row>
    <row r="1524" spans="1:6">
      <c r="A1524">
        <v>4420</v>
      </c>
      <c r="B1524" t="s">
        <v>1571</v>
      </c>
      <c r="C1524">
        <v>59.7</v>
      </c>
      <c r="D1524">
        <f>VLOOKUP(A1524,收盤價!A:C,3,0)</f>
        <v>39.450000000000003</v>
      </c>
      <c r="E1524" s="126">
        <v>-0.33919597989949746</v>
      </c>
      <c r="F1524">
        <v>3.36</v>
      </c>
    </row>
    <row r="1525" spans="1:6">
      <c r="A1525">
        <v>5907</v>
      </c>
      <c r="B1525" t="s">
        <v>1236</v>
      </c>
      <c r="C1525">
        <v>39.25</v>
      </c>
      <c r="D1525">
        <f>VLOOKUP(A1525,收盤價!A:C,3,0)</f>
        <v>25.75</v>
      </c>
      <c r="E1525" s="126">
        <v>-0.34394904458598724</v>
      </c>
      <c r="F1525">
        <v>3.3</v>
      </c>
    </row>
    <row r="1526" spans="1:6">
      <c r="A1526">
        <v>9906</v>
      </c>
      <c r="B1526" t="s">
        <v>1378</v>
      </c>
      <c r="C1526">
        <v>20.9</v>
      </c>
      <c r="D1526">
        <f>VLOOKUP(A1526,收盤價!A:C,3,0)</f>
        <v>13.5</v>
      </c>
      <c r="E1526" s="126">
        <v>-0.35406698564593297</v>
      </c>
      <c r="F1526">
        <v>3.23</v>
      </c>
    </row>
    <row r="1527" spans="1:6">
      <c r="A1527">
        <v>2321</v>
      </c>
      <c r="B1527" t="s">
        <v>787</v>
      </c>
      <c r="C1527">
        <v>2.88</v>
      </c>
      <c r="D1527">
        <f>VLOOKUP(A1527,收盤價!A:C,3,0)</f>
        <v>1.8</v>
      </c>
      <c r="E1527" s="126">
        <v>-0.37499999999999994</v>
      </c>
      <c r="F1527">
        <v>3.17</v>
      </c>
    </row>
    <row r="1528" spans="1:6">
      <c r="A1528">
        <v>3265</v>
      </c>
      <c r="B1528" t="s">
        <v>290</v>
      </c>
      <c r="C1528">
        <v>30.55</v>
      </c>
      <c r="D1528">
        <f>VLOOKUP(A1528,收盤價!A:C,3,0)</f>
        <v>19.05</v>
      </c>
      <c r="E1528" s="126">
        <v>-0.37643207855973815</v>
      </c>
      <c r="F1528">
        <v>3.11</v>
      </c>
    </row>
    <row r="1529" spans="1:6">
      <c r="A1529">
        <v>5259</v>
      </c>
      <c r="B1529" t="s">
        <v>1210</v>
      </c>
      <c r="C1529">
        <v>9.85</v>
      </c>
      <c r="D1529">
        <f>VLOOKUP(A1529,收盤價!A:C,3,0)</f>
        <v>6.12</v>
      </c>
      <c r="E1529" s="126">
        <v>-0.37868020304568523</v>
      </c>
      <c r="F1529">
        <v>3.04</v>
      </c>
    </row>
    <row r="1530" spans="1:6">
      <c r="A1530">
        <v>910322</v>
      </c>
      <c r="B1530" t="s">
        <v>1354</v>
      </c>
      <c r="C1530">
        <v>27.05</v>
      </c>
      <c r="D1530">
        <f>VLOOKUP(A1530,收盤價!A:C,3,0)</f>
        <v>16.649999999999999</v>
      </c>
      <c r="E1530" s="126">
        <v>-0.38447319778188549</v>
      </c>
      <c r="F1530">
        <v>2.98</v>
      </c>
    </row>
    <row r="1531" spans="1:6">
      <c r="A1531">
        <v>3658</v>
      </c>
      <c r="B1531" t="s">
        <v>340</v>
      </c>
      <c r="C1531">
        <v>1430</v>
      </c>
      <c r="D1531">
        <f>VLOOKUP(A1531,收盤價!A:C,3,0)</f>
        <v>878</v>
      </c>
      <c r="E1531" s="126">
        <v>-0.38601398601398601</v>
      </c>
      <c r="F1531">
        <v>2.92</v>
      </c>
    </row>
    <row r="1532" spans="1:6">
      <c r="A1532">
        <v>1529</v>
      </c>
      <c r="B1532" t="s">
        <v>644</v>
      </c>
      <c r="C1532">
        <v>6.08</v>
      </c>
      <c r="D1532">
        <f>VLOOKUP(A1532,收盤價!A:C,3,0)</f>
        <v>3.47</v>
      </c>
      <c r="E1532" s="126">
        <v>-0.42927631578947367</v>
      </c>
      <c r="F1532">
        <v>2.85</v>
      </c>
    </row>
    <row r="1533" spans="1:6">
      <c r="A1533">
        <v>911611</v>
      </c>
      <c r="B1533" t="s">
        <v>1363</v>
      </c>
      <c r="C1533">
        <v>1.22</v>
      </c>
      <c r="D1533">
        <f>VLOOKUP(A1533,收盤價!A:C,3,0)</f>
        <v>0.63</v>
      </c>
      <c r="E1533" s="126">
        <v>-0.48360655737704916</v>
      </c>
      <c r="F1533">
        <v>2.79</v>
      </c>
    </row>
    <row r="1534" spans="1:6">
      <c r="A1534">
        <v>3584</v>
      </c>
      <c r="B1534" t="s">
        <v>1131</v>
      </c>
      <c r="C1534">
        <v>8.77</v>
      </c>
      <c r="D1534">
        <f>VLOOKUP(A1534,收盤價!A:C,3,0)</f>
        <v>4.2</v>
      </c>
      <c r="E1534" s="126">
        <v>-0.52109464082098056</v>
      </c>
      <c r="F1534">
        <v>2.73</v>
      </c>
    </row>
    <row r="1535" spans="1:6">
      <c r="A1535">
        <v>2364</v>
      </c>
      <c r="B1535" t="s">
        <v>819</v>
      </c>
      <c r="C1535">
        <v>3.85</v>
      </c>
      <c r="D1535">
        <f>VLOOKUP(A1535,收盤價!A:C,3,0)</f>
        <v>1.84</v>
      </c>
      <c r="E1535" s="126">
        <v>-0.52207792207792203</v>
      </c>
      <c r="F1535">
        <v>2.66</v>
      </c>
    </row>
    <row r="1536" spans="1:6">
      <c r="A1536">
        <v>6131</v>
      </c>
      <c r="B1536" t="s">
        <v>1245</v>
      </c>
      <c r="C1536">
        <v>22.35</v>
      </c>
      <c r="D1536">
        <f>VLOOKUP(A1536,收盤價!A:C,3,0)</f>
        <v>10.45</v>
      </c>
      <c r="E1536" s="126">
        <v>-0.53243847874720363</v>
      </c>
      <c r="F1536">
        <v>2.6</v>
      </c>
    </row>
    <row r="1537" spans="1:6">
      <c r="A1537">
        <v>4415</v>
      </c>
      <c r="B1537" t="s">
        <v>1568</v>
      </c>
      <c r="C1537">
        <v>20</v>
      </c>
      <c r="D1537">
        <f>VLOOKUP(A1537,收盤價!A:C,3,0)</f>
        <v>8.3800000000000008</v>
      </c>
      <c r="E1537" s="126">
        <v>-0.58099999999999996</v>
      </c>
      <c r="F1537">
        <v>2.54</v>
      </c>
    </row>
    <row r="1538" spans="1:6">
      <c r="A1538">
        <v>3089</v>
      </c>
      <c r="B1538" t="s">
        <v>270</v>
      </c>
      <c r="C1538">
        <v>23.1</v>
      </c>
      <c r="D1538">
        <f>VLOOKUP(A1538,收盤價!A:C,3,0)</f>
        <v>7.51</v>
      </c>
      <c r="E1538" s="126">
        <v>-0.67489177489177488</v>
      </c>
      <c r="F1538">
        <v>2.4700000000000002</v>
      </c>
    </row>
    <row r="1539" spans="1:6">
      <c r="A1539">
        <v>911613</v>
      </c>
      <c r="B1539" t="s">
        <v>1824</v>
      </c>
      <c r="C1539">
        <v>7.22</v>
      </c>
      <c r="D1539">
        <f>VLOOKUP(A1539,收盤價!A:C,3,0)</f>
        <v>1.98</v>
      </c>
      <c r="E1539" s="126">
        <v>-0.72576177285318566</v>
      </c>
      <c r="F1539">
        <v>2.41</v>
      </c>
    </row>
    <row r="1540" spans="1:6">
      <c r="A1540">
        <v>3555</v>
      </c>
      <c r="B1540" t="s">
        <v>1514</v>
      </c>
      <c r="C1540">
        <v>9.5399999999999991</v>
      </c>
      <c r="D1540">
        <f>VLOOKUP(A1540,收盤價!A:C,3,0)</f>
        <v>0</v>
      </c>
      <c r="E1540" s="126">
        <v>-1</v>
      </c>
      <c r="F1540">
        <v>2.35</v>
      </c>
    </row>
    <row r="1541" spans="1:6">
      <c r="A1541">
        <v>8923</v>
      </c>
      <c r="B1541" t="s">
        <v>1815</v>
      </c>
      <c r="C1541">
        <v>17.3</v>
      </c>
      <c r="D1541">
        <f>VLOOKUP(A1541,收盤價!A:C,3,0)</f>
        <v>0</v>
      </c>
      <c r="E1541" s="126">
        <v>-1</v>
      </c>
      <c r="F1541">
        <v>2.2799999999999998</v>
      </c>
    </row>
    <row r="1542" spans="1:6">
      <c r="A1542">
        <v>6212</v>
      </c>
      <c r="B1542" t="s">
        <v>453</v>
      </c>
      <c r="C1542">
        <v>27.35</v>
      </c>
      <c r="D1542">
        <f>VLOOKUP(A1542,收盤價!A:C,3,0)</f>
        <v>0</v>
      </c>
      <c r="E1542" s="126">
        <v>-1</v>
      </c>
      <c r="F1542">
        <v>2.2200000000000002</v>
      </c>
    </row>
    <row r="1543" spans="1:6">
      <c r="A1543">
        <v>6222</v>
      </c>
      <c r="B1543" t="s">
        <v>1727</v>
      </c>
      <c r="C1543">
        <v>8.0500000000000007</v>
      </c>
      <c r="D1543">
        <f>VLOOKUP(A1543,收盤價!A:C,3,0)</f>
        <v>0</v>
      </c>
      <c r="E1543" s="126">
        <v>-1</v>
      </c>
      <c r="F1543">
        <v>2.16</v>
      </c>
    </row>
    <row r="1544" spans="1:6">
      <c r="A1544">
        <v>8908</v>
      </c>
      <c r="B1544" t="s">
        <v>505</v>
      </c>
      <c r="C1544">
        <v>36.85</v>
      </c>
      <c r="D1544">
        <f>VLOOKUP(A1544,收盤價!A:C,3,0)</f>
        <v>0</v>
      </c>
      <c r="E1544" s="126">
        <v>-1</v>
      </c>
      <c r="F1544">
        <v>2.09</v>
      </c>
    </row>
    <row r="1545" spans="1:6">
      <c r="A1545">
        <v>4416</v>
      </c>
      <c r="B1545" t="s">
        <v>361</v>
      </c>
      <c r="C1545">
        <v>93</v>
      </c>
      <c r="D1545">
        <f>VLOOKUP(A1545,收盤價!A:C,3,0)</f>
        <v>0</v>
      </c>
      <c r="E1545" s="126">
        <v>-1</v>
      </c>
      <c r="F1545">
        <v>2.0299999999999998</v>
      </c>
    </row>
    <row r="1546" spans="1:6">
      <c r="A1546">
        <v>8053</v>
      </c>
      <c r="B1546" t="s">
        <v>1764</v>
      </c>
      <c r="C1546">
        <v>1.89</v>
      </c>
      <c r="D1546">
        <f>VLOOKUP(A1546,收盤價!A:C,3,0)</f>
        <v>0</v>
      </c>
      <c r="E1546" s="126">
        <v>-1</v>
      </c>
      <c r="F1546">
        <v>1.97</v>
      </c>
    </row>
    <row r="1547" spans="1:6">
      <c r="A1547">
        <v>8077</v>
      </c>
      <c r="B1547" t="s">
        <v>1771</v>
      </c>
      <c r="C1547">
        <v>58</v>
      </c>
      <c r="D1547">
        <f>VLOOKUP(A1547,收盤價!A:C,3,0)</f>
        <v>0</v>
      </c>
      <c r="E1547" s="126">
        <v>-1</v>
      </c>
      <c r="F1547">
        <v>1.9</v>
      </c>
    </row>
    <row r="1548" spans="1:6">
      <c r="A1548">
        <v>6103</v>
      </c>
      <c r="B1548" t="s">
        <v>1684</v>
      </c>
      <c r="C1548">
        <v>7.65</v>
      </c>
      <c r="D1548">
        <f>VLOOKUP(A1548,收盤價!A:C,3,0)</f>
        <v>0</v>
      </c>
      <c r="E1548" s="126">
        <v>-1</v>
      </c>
      <c r="F1548">
        <v>1.84</v>
      </c>
    </row>
    <row r="1549" spans="1:6">
      <c r="A1549">
        <v>9106</v>
      </c>
      <c r="B1549" t="s">
        <v>1357</v>
      </c>
      <c r="C1549">
        <v>3.16</v>
      </c>
      <c r="D1549" t="str">
        <f>VLOOKUP(A1549,收盤價!A:C,3,0)</f>
        <v>--</v>
      </c>
      <c r="F1549">
        <v>1.78</v>
      </c>
    </row>
    <row r="1550" spans="1:6">
      <c r="A1550">
        <v>2429</v>
      </c>
      <c r="B1550" t="s">
        <v>864</v>
      </c>
      <c r="C1550">
        <v>14.4</v>
      </c>
      <c r="D1550" t="str">
        <f>VLOOKUP(A1550,收盤價!A:C,3,0)</f>
        <v>--</v>
      </c>
      <c r="F1550">
        <v>1.71</v>
      </c>
    </row>
    <row r="1551" spans="1:6">
      <c r="A1551">
        <v>1456</v>
      </c>
      <c r="B1551" t="s">
        <v>607</v>
      </c>
      <c r="C1551">
        <v>4.9000000000000004</v>
      </c>
      <c r="D1551" t="str">
        <f>VLOOKUP(A1551,收盤價!A:C,3,0)</f>
        <v>--</v>
      </c>
      <c r="F1551">
        <v>1.65</v>
      </c>
    </row>
    <row r="1552" spans="1:6">
      <c r="A1552">
        <v>911622</v>
      </c>
      <c r="B1552" t="s">
        <v>1366</v>
      </c>
      <c r="C1552">
        <v>12.5</v>
      </c>
      <c r="D1552" t="str">
        <f>VLOOKUP(A1552,收盤價!A:C,3,0)</f>
        <v>--</v>
      </c>
      <c r="F1552">
        <v>1.59</v>
      </c>
    </row>
    <row r="1553" spans="1:6">
      <c r="A1553">
        <v>2025</v>
      </c>
      <c r="B1553" t="s">
        <v>743</v>
      </c>
      <c r="C1553">
        <v>2.96</v>
      </c>
      <c r="D1553" t="e">
        <f>VLOOKUP(A1553,收盤價!A:C,3,0)</f>
        <v>#N/A</v>
      </c>
      <c r="F1553">
        <v>1.52</v>
      </c>
    </row>
    <row r="1554" spans="1:6">
      <c r="A1554">
        <v>2348</v>
      </c>
      <c r="B1554" t="s">
        <v>804</v>
      </c>
      <c r="C1554" t="s">
        <v>1862</v>
      </c>
      <c r="D1554" t="str">
        <f>VLOOKUP(A1554,收盤價!A:C,3,0)</f>
        <v>--</v>
      </c>
      <c r="F1554">
        <v>1.46</v>
      </c>
    </row>
    <row r="1555" spans="1:6">
      <c r="A1555">
        <v>2361</v>
      </c>
      <c r="B1555" t="s">
        <v>816</v>
      </c>
      <c r="C1555">
        <v>1.66</v>
      </c>
      <c r="D1555" t="e">
        <f>VLOOKUP(A1555,收盤價!A:C,3,0)</f>
        <v>#N/A</v>
      </c>
      <c r="F1555">
        <v>1.4</v>
      </c>
    </row>
    <row r="1556" spans="1:6">
      <c r="A1556">
        <v>2718</v>
      </c>
      <c r="B1556" t="s">
        <v>1854</v>
      </c>
      <c r="C1556">
        <v>0</v>
      </c>
      <c r="F1556">
        <v>1.33</v>
      </c>
    </row>
    <row r="1557" spans="1:6">
      <c r="A1557">
        <v>3252</v>
      </c>
      <c r="B1557" t="s">
        <v>289</v>
      </c>
      <c r="C1557">
        <v>0</v>
      </c>
      <c r="F1557">
        <v>1.27</v>
      </c>
    </row>
    <row r="1558" spans="1:6">
      <c r="A1558">
        <v>3562</v>
      </c>
      <c r="B1558" t="s">
        <v>329</v>
      </c>
      <c r="C1558">
        <v>0</v>
      </c>
      <c r="F1558">
        <v>1.2</v>
      </c>
    </row>
    <row r="1559" spans="1:6">
      <c r="A1559">
        <v>4413</v>
      </c>
      <c r="B1559" t="s">
        <v>1567</v>
      </c>
      <c r="C1559">
        <v>0</v>
      </c>
      <c r="F1559">
        <v>1.1399999999999999</v>
      </c>
    </row>
    <row r="1560" spans="1:6">
      <c r="A1560">
        <v>4530</v>
      </c>
      <c r="B1560" t="s">
        <v>1582</v>
      </c>
      <c r="C1560">
        <v>0</v>
      </c>
      <c r="F1560">
        <v>1.08</v>
      </c>
    </row>
    <row r="1561" spans="1:6">
      <c r="A1561">
        <v>4706</v>
      </c>
      <c r="B1561" t="s">
        <v>1588</v>
      </c>
      <c r="C1561">
        <v>0</v>
      </c>
      <c r="F1561">
        <v>1.01</v>
      </c>
    </row>
    <row r="1562" spans="1:6">
      <c r="A1562">
        <v>4711</v>
      </c>
      <c r="B1562" t="s">
        <v>1589</v>
      </c>
      <c r="C1562">
        <v>0</v>
      </c>
      <c r="F1562">
        <v>0.95</v>
      </c>
    </row>
    <row r="1563" spans="1:6">
      <c r="A1563">
        <v>5011</v>
      </c>
      <c r="B1563" t="s">
        <v>385</v>
      </c>
      <c r="C1563">
        <v>0</v>
      </c>
      <c r="F1563">
        <v>0.89</v>
      </c>
    </row>
    <row r="1564" spans="1:6">
      <c r="A1564">
        <v>5205</v>
      </c>
      <c r="B1564" t="s">
        <v>1618</v>
      </c>
      <c r="C1564">
        <v>0</v>
      </c>
      <c r="F1564">
        <v>0.82</v>
      </c>
    </row>
    <row r="1565" spans="1:6">
      <c r="A1565">
        <v>5348</v>
      </c>
      <c r="B1565" t="s">
        <v>1638</v>
      </c>
      <c r="C1565">
        <v>0</v>
      </c>
      <c r="F1565">
        <v>0.76</v>
      </c>
    </row>
    <row r="1566" spans="1:6">
      <c r="A1566">
        <v>5364</v>
      </c>
      <c r="B1566" t="s">
        <v>408</v>
      </c>
      <c r="C1566">
        <v>0</v>
      </c>
      <c r="F1566">
        <v>0.7</v>
      </c>
    </row>
    <row r="1567" spans="1:6">
      <c r="A1567">
        <v>5384</v>
      </c>
      <c r="B1567" t="s">
        <v>410</v>
      </c>
      <c r="C1567">
        <v>0</v>
      </c>
      <c r="F1567">
        <v>0.63</v>
      </c>
    </row>
    <row r="1568" spans="1:6">
      <c r="A1568">
        <v>5506</v>
      </c>
      <c r="B1568" t="s">
        <v>2456</v>
      </c>
      <c r="C1568">
        <v>0.64</v>
      </c>
      <c r="D1568" t="e">
        <f>VLOOKUP(A1568,收盤價!A:C,3,0)</f>
        <v>#N/A</v>
      </c>
      <c r="F1568">
        <v>0.56999999999999995</v>
      </c>
    </row>
    <row r="1569" spans="1:6">
      <c r="A1569">
        <v>5601</v>
      </c>
      <c r="B1569" t="s">
        <v>1671</v>
      </c>
      <c r="C1569">
        <v>0</v>
      </c>
      <c r="F1569">
        <v>0.51</v>
      </c>
    </row>
    <row r="1570" spans="1:6">
      <c r="A1570">
        <v>6144</v>
      </c>
      <c r="B1570" t="s">
        <v>1703</v>
      </c>
      <c r="C1570">
        <v>0</v>
      </c>
      <c r="F1570">
        <v>0.44</v>
      </c>
    </row>
    <row r="1571" spans="1:6">
      <c r="A1571">
        <v>6199</v>
      </c>
      <c r="B1571" t="s">
        <v>1719</v>
      </c>
      <c r="C1571">
        <v>0</v>
      </c>
      <c r="F1571">
        <v>0.38</v>
      </c>
    </row>
    <row r="1572" spans="1:6">
      <c r="A1572">
        <v>6211</v>
      </c>
      <c r="B1572" t="s">
        <v>1723</v>
      </c>
      <c r="C1572">
        <v>21.2</v>
      </c>
      <c r="D1572" t="e">
        <f>VLOOKUP(A1572,收盤價!A:C,3,0)</f>
        <v>#N/A</v>
      </c>
      <c r="F1572">
        <v>0.32</v>
      </c>
    </row>
    <row r="1573" spans="1:6">
      <c r="A1573">
        <v>6240</v>
      </c>
      <c r="B1573" t="s">
        <v>1731</v>
      </c>
      <c r="C1573">
        <v>0</v>
      </c>
      <c r="F1573">
        <v>0.25</v>
      </c>
    </row>
    <row r="1574" spans="1:6">
      <c r="A1574">
        <v>6242</v>
      </c>
      <c r="B1574" t="s">
        <v>1732</v>
      </c>
      <c r="C1574">
        <v>0</v>
      </c>
      <c r="F1574">
        <v>0.19</v>
      </c>
    </row>
    <row r="1575" spans="1:6">
      <c r="A1575">
        <v>8423</v>
      </c>
      <c r="B1575" t="s">
        <v>1807</v>
      </c>
      <c r="C1575">
        <v>0</v>
      </c>
      <c r="F1575">
        <v>0.13</v>
      </c>
    </row>
    <row r="1576" spans="1:6">
      <c r="A1576">
        <v>8917</v>
      </c>
      <c r="B1576" t="s">
        <v>508</v>
      </c>
      <c r="C1576">
        <v>0</v>
      </c>
      <c r="F1576">
        <v>0.06</v>
      </c>
    </row>
    <row r="1577" spans="1:6">
      <c r="A1577">
        <v>8921</v>
      </c>
      <c r="B1577" t="s">
        <v>1814</v>
      </c>
      <c r="C1577">
        <v>0</v>
      </c>
      <c r="F1577">
        <v>0</v>
      </c>
    </row>
    <row r="1578" spans="1:6">
      <c r="A1578">
        <v>8927</v>
      </c>
      <c r="B1578" t="s">
        <v>509</v>
      </c>
      <c r="C1578">
        <v>0</v>
      </c>
      <c r="F1578">
        <v>-0.06</v>
      </c>
    </row>
  </sheetData>
  <autoFilter ref="A1:C1588"/>
  <sortState ref="A2:E1600">
    <sortCondition descending="1" ref="E1:E160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017" r:id="rId4" name="CommandButton1">
          <controlPr defaultSize="0" autoLine="0" r:id="rId5">
            <anchor moveWithCells="1">
              <from>
                <xdr:col>0</xdr:col>
                <xdr:colOff>47625</xdr:colOff>
                <xdr:row>0</xdr:row>
                <xdr:rowOff>19050</xdr:rowOff>
              </from>
              <to>
                <xdr:col>0</xdr:col>
                <xdr:colOff>466725</xdr:colOff>
                <xdr:row>0</xdr:row>
                <xdr:rowOff>180975</xdr:rowOff>
              </to>
            </anchor>
          </controlPr>
        </control>
      </mc:Choice>
      <mc:Fallback>
        <control shapeId="86017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 filterMode="1"/>
  <dimension ref="A1:AI1519"/>
  <sheetViews>
    <sheetView zoomScale="90" zoomScaleNormal="90" workbookViewId="0">
      <pane xSplit="12" ySplit="1" topLeftCell="M68" activePane="bottomRight" state="frozen"/>
      <selection pane="topRight" activeCell="M1" sqref="M1"/>
      <selection pane="bottomLeft" activeCell="A2" sqref="A2"/>
      <selection pane="bottomRight" activeCell="S110" sqref="S110"/>
    </sheetView>
  </sheetViews>
  <sheetFormatPr defaultRowHeight="16.5"/>
  <cols>
    <col min="1" max="1" width="15.75" style="133" customWidth="1"/>
    <col min="2" max="2" width="11.5" bestFit="1" customWidth="1"/>
    <col min="3" max="3" width="18.25" bestFit="1" customWidth="1"/>
    <col min="4" max="7" width="16.375" bestFit="1" customWidth="1"/>
    <col min="8" max="8" width="13.875" style="141" bestFit="1" customWidth="1"/>
    <col min="9" max="9" width="4.625" hidden="1" customWidth="1"/>
    <col min="10" max="10" width="13.875" style="137" bestFit="1" customWidth="1"/>
    <col min="11" max="11" width="4.625" hidden="1" customWidth="1"/>
    <col min="12" max="12" width="8.125" style="53" customWidth="1"/>
    <col min="13" max="13" width="7.5" style="189" customWidth="1"/>
    <col min="14" max="14" width="7.5" style="186" customWidth="1"/>
    <col min="15" max="22" width="7.375" customWidth="1"/>
    <col min="23" max="23" width="5.875" customWidth="1"/>
    <col min="26" max="26" width="5.875" customWidth="1"/>
    <col min="28" max="28" width="10" bestFit="1" customWidth="1"/>
    <col min="29" max="29" width="12" customWidth="1"/>
    <col min="31" max="31" width="7.125" customWidth="1"/>
    <col min="32" max="32" width="32" bestFit="1" customWidth="1"/>
    <col min="33" max="33" width="7.125" customWidth="1"/>
    <col min="34" max="34" width="32" bestFit="1" customWidth="1"/>
    <col min="35" max="35" width="7.125" customWidth="1"/>
  </cols>
  <sheetData>
    <row r="1" spans="1:29" s="181" customFormat="1" ht="59.25" customHeight="1">
      <c r="A1" s="41" t="s">
        <v>1870</v>
      </c>
      <c r="B1" s="41" t="s">
        <v>1863</v>
      </c>
      <c r="C1" s="175" t="s">
        <v>1881</v>
      </c>
      <c r="D1" s="176" t="s">
        <v>1867</v>
      </c>
      <c r="E1" s="176" t="s">
        <v>1866</v>
      </c>
      <c r="F1" s="177" t="s">
        <v>1864</v>
      </c>
      <c r="G1" s="177" t="s">
        <v>1865</v>
      </c>
      <c r="H1" s="178" t="s">
        <v>1868</v>
      </c>
      <c r="I1" s="176"/>
      <c r="J1" s="179" t="s">
        <v>1869</v>
      </c>
      <c r="K1" s="180"/>
      <c r="L1" s="182"/>
      <c r="M1" s="188"/>
      <c r="N1" s="185"/>
    </row>
    <row r="2" spans="1:29">
      <c r="A2" s="133">
        <v>6111</v>
      </c>
      <c r="C2">
        <v>108</v>
      </c>
      <c r="D2">
        <v>181</v>
      </c>
      <c r="E2">
        <v>28</v>
      </c>
      <c r="F2">
        <v>525</v>
      </c>
      <c r="G2">
        <v>0</v>
      </c>
      <c r="H2" s="141">
        <v>0.52</v>
      </c>
      <c r="I2">
        <f>RANK(0.52,H:H,0)</f>
        <v>3</v>
      </c>
      <c r="J2" s="137">
        <v>0.21</v>
      </c>
      <c r="K2">
        <f>RANK(0.21,J:J,0)</f>
        <v>2</v>
      </c>
      <c r="L2" s="53">
        <f>RANK(303.8,M:M,0)</f>
        <v>1</v>
      </c>
      <c r="M2" s="189">
        <v>303.8</v>
      </c>
      <c r="N2" s="186">
        <f>VLOOKUP(6111,季財報!A:M,8,0)</f>
        <v>4</v>
      </c>
    </row>
    <row r="3" spans="1:29">
      <c r="A3" s="133">
        <v>4413</v>
      </c>
      <c r="C3">
        <v>8</v>
      </c>
      <c r="D3">
        <v>43</v>
      </c>
      <c r="E3">
        <v>2</v>
      </c>
      <c r="F3">
        <v>36</v>
      </c>
      <c r="G3">
        <v>0</v>
      </c>
      <c r="H3" s="141">
        <v>0.18</v>
      </c>
      <c r="I3">
        <f>RANK(0.18,H:H,0)</f>
        <v>11</v>
      </c>
      <c r="J3" s="137">
        <v>0.22</v>
      </c>
      <c r="K3">
        <f>RANK(0.22,J:J,0)</f>
        <v>1</v>
      </c>
      <c r="L3" s="53">
        <f>RANK(126.58,M:M,0)</f>
        <v>2</v>
      </c>
      <c r="M3" s="189">
        <v>126.58</v>
      </c>
      <c r="N3" s="186">
        <f>VLOOKUP(4413,季財報!A:M,8,0)</f>
        <v>4</v>
      </c>
    </row>
    <row r="4" spans="1:29">
      <c r="A4" s="133">
        <v>3205</v>
      </c>
      <c r="C4">
        <v>83</v>
      </c>
      <c r="D4">
        <v>343</v>
      </c>
      <c r="E4">
        <v>117</v>
      </c>
      <c r="F4">
        <v>463</v>
      </c>
      <c r="G4">
        <v>73</v>
      </c>
      <c r="H4" s="141">
        <v>0.18</v>
      </c>
      <c r="I4">
        <f>RANK(0.18,H:H,0)</f>
        <v>11</v>
      </c>
      <c r="J4" s="137">
        <v>0.15</v>
      </c>
      <c r="K4">
        <f>RANK(0.15,J:J,0)</f>
        <v>3</v>
      </c>
      <c r="L4" s="53">
        <f>RANK(108.5,M:M,0)</f>
        <v>3</v>
      </c>
      <c r="M4" s="189">
        <v>94.94</v>
      </c>
      <c r="N4" s="186">
        <f>VLOOKUP(3205,季財報!A:M,8,0)</f>
        <v>5</v>
      </c>
      <c r="O4" s="40"/>
      <c r="P4" s="40"/>
      <c r="Q4" s="40"/>
      <c r="R4" s="40"/>
      <c r="S4" s="40"/>
      <c r="T4" s="40"/>
      <c r="U4" s="40"/>
      <c r="V4" s="40"/>
    </row>
    <row r="5" spans="1:29">
      <c r="A5" s="133">
        <v>3234</v>
      </c>
      <c r="C5">
        <v>340</v>
      </c>
      <c r="D5">
        <v>507</v>
      </c>
      <c r="E5">
        <v>1402</v>
      </c>
      <c r="F5">
        <v>1966</v>
      </c>
      <c r="G5">
        <v>661</v>
      </c>
      <c r="H5" s="141">
        <v>0.18</v>
      </c>
      <c r="I5">
        <f>RANK(0.18,H:H,0)</f>
        <v>11</v>
      </c>
      <c r="J5" s="137">
        <v>0.13</v>
      </c>
      <c r="K5">
        <f>RANK(0.13,J:J,0)</f>
        <v>5</v>
      </c>
      <c r="L5" s="53">
        <f>RANK(94.94,M:M,0)</f>
        <v>4</v>
      </c>
      <c r="M5" s="189">
        <v>72.33</v>
      </c>
      <c r="N5" s="186">
        <f>VLOOKUP(3234,季財報!A:M,8,0)</f>
        <v>6</v>
      </c>
      <c r="O5" s="40"/>
      <c r="P5" s="40"/>
      <c r="Q5" s="40"/>
      <c r="R5" s="40"/>
      <c r="S5" s="40"/>
      <c r="T5" s="40"/>
      <c r="U5" s="40"/>
      <c r="V5" s="40"/>
    </row>
    <row r="6" spans="1:29">
      <c r="A6" s="133">
        <v>2231</v>
      </c>
      <c r="C6">
        <v>313</v>
      </c>
      <c r="D6">
        <v>1269</v>
      </c>
      <c r="E6">
        <v>877</v>
      </c>
      <c r="F6">
        <v>2275</v>
      </c>
      <c r="G6">
        <v>22</v>
      </c>
      <c r="H6" s="141">
        <v>0.15</v>
      </c>
      <c r="I6">
        <f>RANK(0.15,H:H,0)</f>
        <v>17</v>
      </c>
      <c r="J6" s="137">
        <v>0.14000000000000001</v>
      </c>
      <c r="K6">
        <f>RANK(0.14,J:J,0)</f>
        <v>4</v>
      </c>
      <c r="L6" s="53">
        <f>RANK(72.33,M:M,0)</f>
        <v>5</v>
      </c>
      <c r="M6" s="189">
        <v>54.25</v>
      </c>
      <c r="N6" s="186">
        <f>VLOOKUP(2231,季財報!A:M,8,0)</f>
        <v>4</v>
      </c>
      <c r="O6" s="40"/>
      <c r="P6" s="40"/>
      <c r="Q6" s="40"/>
      <c r="R6" s="40"/>
      <c r="S6" s="40"/>
      <c r="T6" s="40"/>
      <c r="U6" s="40"/>
      <c r="V6" s="40"/>
    </row>
    <row r="7" spans="1:29">
      <c r="A7" s="133">
        <v>4733</v>
      </c>
      <c r="C7">
        <v>617</v>
      </c>
      <c r="D7">
        <v>2787</v>
      </c>
      <c r="E7">
        <v>716</v>
      </c>
      <c r="F7">
        <v>3066</v>
      </c>
      <c r="G7">
        <v>2547</v>
      </c>
      <c r="H7" s="141">
        <v>0.18</v>
      </c>
      <c r="I7">
        <f>RANK(0.18,H:H,0)</f>
        <v>11</v>
      </c>
      <c r="J7" s="137">
        <v>0.11</v>
      </c>
      <c r="K7">
        <f>RANK(0.11,J:J,0)</f>
        <v>15</v>
      </c>
      <c r="L7" s="53">
        <f>RANK(58.42,M:M,0)</f>
        <v>6</v>
      </c>
      <c r="M7" s="189">
        <v>54.25</v>
      </c>
      <c r="N7" s="186">
        <f>VLOOKUP(4733,季財報!A:M,8,0)</f>
        <v>2</v>
      </c>
      <c r="O7" s="40"/>
      <c r="P7" s="40"/>
      <c r="Q7" s="40"/>
      <c r="R7" s="40"/>
      <c r="S7" s="40"/>
      <c r="T7" s="40"/>
      <c r="U7" s="40"/>
      <c r="V7" s="40"/>
    </row>
    <row r="8" spans="1:29">
      <c r="A8" s="133">
        <v>5474</v>
      </c>
      <c r="C8">
        <v>78</v>
      </c>
      <c r="D8">
        <v>605</v>
      </c>
      <c r="E8">
        <v>2</v>
      </c>
      <c r="F8">
        <v>617</v>
      </c>
      <c r="G8">
        <v>0</v>
      </c>
      <c r="H8" s="141">
        <v>0.13</v>
      </c>
      <c r="I8">
        <f>RANK(0.13,H:H,0)</f>
        <v>23</v>
      </c>
      <c r="J8" s="137">
        <v>0.13</v>
      </c>
      <c r="K8">
        <f>RANK(0.13,J:J,0)</f>
        <v>5</v>
      </c>
      <c r="L8" s="53">
        <f>RANK(54.25,M:M,0)</f>
        <v>7</v>
      </c>
      <c r="M8" s="189">
        <v>58.42</v>
      </c>
      <c r="N8" s="186">
        <f>VLOOKUP(5474,季財報!A:M,8,0)</f>
        <v>4</v>
      </c>
      <c r="O8" s="40"/>
      <c r="P8" s="40"/>
      <c r="Q8" s="40"/>
      <c r="R8" s="40"/>
      <c r="S8" s="40"/>
      <c r="T8" s="40"/>
      <c r="U8" s="40"/>
      <c r="V8" s="40"/>
    </row>
    <row r="9" spans="1:29">
      <c r="A9" s="133">
        <v>3008</v>
      </c>
      <c r="C9">
        <v>7417</v>
      </c>
      <c r="D9">
        <v>35755</v>
      </c>
      <c r="E9">
        <v>20091</v>
      </c>
      <c r="F9">
        <v>56819</v>
      </c>
      <c r="G9">
        <v>164</v>
      </c>
      <c r="H9" s="141">
        <v>0.13</v>
      </c>
      <c r="I9">
        <f>RANK(0.13,H:H,0)</f>
        <v>23</v>
      </c>
      <c r="J9" s="137">
        <v>0.13</v>
      </c>
      <c r="K9">
        <f>RANK(0.13,J:J,0)</f>
        <v>5</v>
      </c>
      <c r="L9" s="53">
        <f>RANK(54.25,M:M,0)</f>
        <v>7</v>
      </c>
      <c r="M9" s="189">
        <v>47.47</v>
      </c>
      <c r="N9" s="186">
        <f>VLOOKUP(3008,季財報!A:M,8,0)</f>
        <v>3</v>
      </c>
      <c r="O9" s="40"/>
      <c r="P9" s="40"/>
      <c r="Q9" s="40"/>
      <c r="R9" s="40"/>
      <c r="S9" s="40"/>
      <c r="T9" s="40"/>
      <c r="U9" s="40"/>
      <c r="V9" s="40"/>
    </row>
    <row r="10" spans="1:29">
      <c r="A10" s="133">
        <v>6240</v>
      </c>
      <c r="C10">
        <v>35</v>
      </c>
      <c r="D10">
        <v>246</v>
      </c>
      <c r="E10">
        <v>4</v>
      </c>
      <c r="F10">
        <v>297</v>
      </c>
      <c r="G10">
        <v>0</v>
      </c>
      <c r="H10" s="141">
        <v>0.14000000000000001</v>
      </c>
      <c r="I10">
        <f>RANK(0.14,H:H,0)</f>
        <v>20</v>
      </c>
      <c r="J10" s="137">
        <v>0.12</v>
      </c>
      <c r="K10">
        <f>RANK(0.12,J:J,0)</f>
        <v>9</v>
      </c>
      <c r="L10" s="53">
        <f>RANK(52.38,M:M,0)</f>
        <v>9</v>
      </c>
      <c r="M10" s="189">
        <v>47.47</v>
      </c>
      <c r="N10" s="186">
        <f>VLOOKUP(6240,季財報!A:M,8,0)</f>
        <v>2</v>
      </c>
      <c r="O10" s="40"/>
      <c r="P10" s="40"/>
      <c r="Q10" s="40"/>
      <c r="R10" s="40"/>
      <c r="S10" s="40"/>
      <c r="T10" s="40"/>
      <c r="U10" s="40"/>
      <c r="V10" s="40"/>
    </row>
    <row r="11" spans="1:29">
      <c r="A11" s="133">
        <v>6409</v>
      </c>
      <c r="C11">
        <v>462</v>
      </c>
      <c r="D11">
        <v>2769</v>
      </c>
      <c r="E11">
        <v>905</v>
      </c>
      <c r="F11">
        <v>3759</v>
      </c>
      <c r="G11">
        <v>0</v>
      </c>
      <c r="H11" s="141">
        <v>0.13</v>
      </c>
      <c r="I11">
        <f>RANK(0.13,H:H,0)</f>
        <v>23</v>
      </c>
      <c r="J11" s="137">
        <v>0.12</v>
      </c>
      <c r="K11">
        <f>RANK(0.12,J:J,0)</f>
        <v>9</v>
      </c>
      <c r="L11" s="53">
        <f>RANK(47.47,M:M,0)</f>
        <v>10</v>
      </c>
      <c r="M11" s="189">
        <v>39.97</v>
      </c>
      <c r="N11" s="186">
        <f>VLOOKUP(6409,季財報!A:M,8,0)</f>
        <v>3</v>
      </c>
      <c r="O11" s="40"/>
      <c r="P11" s="40"/>
      <c r="Q11" s="40"/>
      <c r="R11" s="40"/>
      <c r="S11" s="40"/>
      <c r="T11" s="40"/>
      <c r="U11" s="40"/>
      <c r="V11" s="40"/>
    </row>
    <row r="12" spans="1:29">
      <c r="A12" s="133">
        <v>5904</v>
      </c>
      <c r="C12">
        <v>332</v>
      </c>
      <c r="D12">
        <v>814</v>
      </c>
      <c r="E12">
        <v>1676</v>
      </c>
      <c r="F12">
        <v>2509</v>
      </c>
      <c r="G12">
        <v>349</v>
      </c>
      <c r="H12" s="141">
        <v>0.13</v>
      </c>
      <c r="I12">
        <f>RANK(0.13,H:H,0)</f>
        <v>23</v>
      </c>
      <c r="J12" s="137">
        <v>0.12</v>
      </c>
      <c r="K12">
        <f>RANK(0.12,J:J,0)</f>
        <v>9</v>
      </c>
      <c r="L12" s="53">
        <f>RANK(47.47,M:M,0)</f>
        <v>10</v>
      </c>
      <c r="M12" s="189">
        <v>37.049999999999997</v>
      </c>
      <c r="N12" s="186">
        <f>VLOOKUP(5904,季財報!A:M,8,0)</f>
        <v>4</v>
      </c>
      <c r="O12" s="40"/>
      <c r="P12" s="40"/>
      <c r="Q12" s="40"/>
      <c r="R12" s="40"/>
      <c r="S12" s="40"/>
      <c r="T12" s="40"/>
      <c r="U12" s="40"/>
      <c r="V12" s="40"/>
    </row>
    <row r="13" spans="1:29">
      <c r="A13" s="133">
        <v>1599</v>
      </c>
      <c r="C13">
        <v>133</v>
      </c>
      <c r="D13">
        <v>508</v>
      </c>
      <c r="E13">
        <v>524</v>
      </c>
      <c r="F13">
        <v>1194</v>
      </c>
      <c r="G13">
        <v>0</v>
      </c>
      <c r="H13" s="141">
        <v>0.13</v>
      </c>
      <c r="I13">
        <f>RANK(0.13,H:H,0)</f>
        <v>23</v>
      </c>
      <c r="J13" s="137">
        <v>0.11</v>
      </c>
      <c r="K13">
        <f>RANK(0.11,J:J,0)</f>
        <v>15</v>
      </c>
      <c r="L13" s="53">
        <f>RANK(39.97,M:M,0)</f>
        <v>12</v>
      </c>
      <c r="M13" s="189">
        <v>32.32</v>
      </c>
      <c r="N13" s="186">
        <f>VLOOKUP(1599,季財報!A:M,8,0)</f>
        <v>4</v>
      </c>
      <c r="O13" s="40"/>
      <c r="P13" s="40"/>
      <c r="Q13" s="40"/>
      <c r="R13" s="40"/>
      <c r="S13" s="40"/>
      <c r="T13" s="40"/>
      <c r="U13" s="40"/>
      <c r="V13" s="40"/>
    </row>
    <row r="14" spans="1:29">
      <c r="A14" s="133">
        <v>3691</v>
      </c>
      <c r="C14">
        <v>880</v>
      </c>
      <c r="D14">
        <v>5316</v>
      </c>
      <c r="E14">
        <v>2303</v>
      </c>
      <c r="F14">
        <v>5739</v>
      </c>
      <c r="G14">
        <v>1812</v>
      </c>
      <c r="H14" s="141">
        <v>0.12</v>
      </c>
      <c r="I14">
        <f>RANK(0.12,H:H,0)</f>
        <v>32</v>
      </c>
      <c r="J14" s="137">
        <v>0.12</v>
      </c>
      <c r="K14">
        <f>RANK(0.12,J:J,0)</f>
        <v>9</v>
      </c>
      <c r="L14" s="53">
        <f>RANK(37.05,M:M,0)</f>
        <v>13</v>
      </c>
      <c r="M14" s="189">
        <v>32.32</v>
      </c>
      <c r="N14" s="186">
        <f>VLOOKUP(3691,季財報!A:M,8,0)</f>
        <v>3</v>
      </c>
      <c r="O14" s="40"/>
      <c r="P14" s="40"/>
      <c r="Q14" s="40"/>
      <c r="R14" s="40"/>
      <c r="S14" s="40"/>
      <c r="T14" s="40"/>
      <c r="U14" s="40"/>
      <c r="V14" s="40"/>
    </row>
    <row r="15" spans="1:29">
      <c r="A15" s="133">
        <v>1256</v>
      </c>
      <c r="C15">
        <v>108</v>
      </c>
      <c r="D15">
        <v>305</v>
      </c>
      <c r="E15">
        <v>422</v>
      </c>
      <c r="F15">
        <v>915</v>
      </c>
      <c r="G15">
        <v>322</v>
      </c>
      <c r="H15" s="141">
        <v>0.15</v>
      </c>
      <c r="I15">
        <f>RANK(0.15,H:H,0)</f>
        <v>17</v>
      </c>
      <c r="J15" s="137">
        <v>0.09</v>
      </c>
      <c r="K15">
        <f>RANK(0.09,J:J,0)</f>
        <v>29</v>
      </c>
      <c r="L15" s="53">
        <f>RANK(33.02,M:M,0)</f>
        <v>14</v>
      </c>
      <c r="M15" s="189">
        <v>33.020000000000003</v>
      </c>
      <c r="N15" s="186">
        <f>VLOOKUP(1256,季財報!A:M,8,0)</f>
        <v>1</v>
      </c>
      <c r="O15" s="40"/>
      <c r="P15" s="40"/>
      <c r="Q15" s="40"/>
      <c r="R15" s="40"/>
      <c r="S15" s="40"/>
      <c r="T15" s="40"/>
      <c r="U15" s="40"/>
      <c r="V15" s="40"/>
    </row>
    <row r="16" spans="1:29">
      <c r="A16" s="133">
        <v>8086</v>
      </c>
      <c r="C16">
        <v>334</v>
      </c>
      <c r="D16">
        <v>1451</v>
      </c>
      <c r="E16">
        <v>1323</v>
      </c>
      <c r="F16">
        <v>2914</v>
      </c>
      <c r="G16">
        <v>89</v>
      </c>
      <c r="H16" s="141">
        <v>0.12</v>
      </c>
      <c r="I16">
        <f>RANK(0.12,H:H,0)</f>
        <v>32</v>
      </c>
      <c r="J16" s="137">
        <v>0.11</v>
      </c>
      <c r="K16">
        <f>RANK(0.11,J:J,0)</f>
        <v>15</v>
      </c>
      <c r="L16" s="53">
        <f>RANK(32.32,M:M,0)</f>
        <v>15</v>
      </c>
      <c r="M16" s="189">
        <v>29.78</v>
      </c>
      <c r="N16" s="186">
        <f>VLOOKUP(8086,季財報!A:M,8,0)</f>
        <v>5</v>
      </c>
      <c r="O16" s="40"/>
      <c r="P16" s="40"/>
      <c r="Q16" s="40"/>
      <c r="R16" s="40"/>
      <c r="S16" s="40"/>
      <c r="T16" s="40"/>
      <c r="U16" s="40"/>
      <c r="V16" s="40"/>
      <c r="AC16" t="s">
        <v>1892</v>
      </c>
    </row>
    <row r="17" spans="1:35">
      <c r="A17" s="133">
        <v>3450</v>
      </c>
      <c r="C17">
        <v>428</v>
      </c>
      <c r="D17">
        <v>1734</v>
      </c>
      <c r="E17">
        <v>1902</v>
      </c>
      <c r="F17">
        <v>3880</v>
      </c>
      <c r="G17">
        <v>21</v>
      </c>
      <c r="H17" s="141">
        <v>0.12</v>
      </c>
      <c r="I17">
        <f>RANK(0.12,H:H,0)</f>
        <v>32</v>
      </c>
      <c r="J17" s="137">
        <v>0.11</v>
      </c>
      <c r="K17">
        <f>RANK(0.11,J:J,0)</f>
        <v>15</v>
      </c>
      <c r="L17" s="53">
        <f>RANK(32.32,M:M,0)</f>
        <v>15</v>
      </c>
      <c r="M17" s="189">
        <v>28.66</v>
      </c>
      <c r="N17" s="186">
        <f>VLOOKUP(3450,季財報!A:M,8,0)</f>
        <v>3</v>
      </c>
      <c r="O17" s="40"/>
      <c r="P17" s="40"/>
      <c r="Q17" s="40"/>
      <c r="R17" s="40"/>
      <c r="S17" s="40"/>
      <c r="T17" s="40"/>
      <c r="U17" s="40"/>
      <c r="V17" s="40"/>
      <c r="AB17" t="s">
        <v>1893</v>
      </c>
      <c r="AC17" t="s">
        <v>1894</v>
      </c>
    </row>
    <row r="18" spans="1:35">
      <c r="A18" s="133">
        <v>6238</v>
      </c>
      <c r="C18">
        <v>116</v>
      </c>
      <c r="D18">
        <v>429</v>
      </c>
      <c r="E18">
        <v>734</v>
      </c>
      <c r="F18">
        <v>801</v>
      </c>
      <c r="G18">
        <v>101</v>
      </c>
      <c r="H18" s="141">
        <v>0.1</v>
      </c>
      <c r="I18">
        <f>RANK(0.1,H:H,0)</f>
        <v>46</v>
      </c>
      <c r="J18" s="137">
        <v>0.13</v>
      </c>
      <c r="K18">
        <f>RANK(0.13,J:J,0)</f>
        <v>5</v>
      </c>
      <c r="L18" s="53">
        <f>RANK(29.78,M:M,0)</f>
        <v>17</v>
      </c>
      <c r="M18" s="189">
        <v>28.66</v>
      </c>
      <c r="N18" s="186">
        <f>VLOOKUP(6238,季財報!A:M,8,0)</f>
        <v>4</v>
      </c>
      <c r="O18" s="40"/>
      <c r="P18" s="40"/>
      <c r="Q18" s="40"/>
      <c r="R18" s="40"/>
      <c r="S18" s="40"/>
      <c r="T18" s="40"/>
      <c r="U18" s="40"/>
      <c r="V18" s="40"/>
    </row>
    <row r="19" spans="1:35">
      <c r="A19" s="133">
        <v>1476</v>
      </c>
      <c r="C19">
        <v>1268</v>
      </c>
      <c r="D19">
        <v>3779</v>
      </c>
      <c r="E19">
        <v>6583</v>
      </c>
      <c r="F19">
        <v>10467</v>
      </c>
      <c r="G19">
        <v>2152</v>
      </c>
      <c r="H19" s="141">
        <v>0.12</v>
      </c>
      <c r="I19">
        <f>RANK(0.12,H:H,0)</f>
        <v>32</v>
      </c>
      <c r="J19" s="137">
        <v>0.1</v>
      </c>
      <c r="K19">
        <f>RANK(0.1,J:J,0)</f>
        <v>21</v>
      </c>
      <c r="L19" s="53">
        <f>RANK(28.66,M:M,0)</f>
        <v>18</v>
      </c>
      <c r="M19" s="189">
        <v>28.66</v>
      </c>
      <c r="N19" s="186">
        <f>VLOOKUP(1476,季財報!A:M,8,0)</f>
        <v>3</v>
      </c>
      <c r="O19" s="40"/>
      <c r="P19" s="40"/>
      <c r="Q19" s="40"/>
      <c r="R19" s="40"/>
      <c r="S19" s="40"/>
      <c r="T19" s="40"/>
      <c r="U19" s="40"/>
      <c r="V19" s="40"/>
    </row>
    <row r="20" spans="1:35">
      <c r="A20" s="133">
        <v>3611</v>
      </c>
      <c r="C20">
        <v>184</v>
      </c>
      <c r="D20">
        <v>981</v>
      </c>
      <c r="E20">
        <v>628</v>
      </c>
      <c r="F20">
        <v>1666</v>
      </c>
      <c r="G20">
        <v>58</v>
      </c>
      <c r="H20" s="141">
        <v>0.11</v>
      </c>
      <c r="I20">
        <f>RANK(0.11,H:H,0)</f>
        <v>38</v>
      </c>
      <c r="J20" s="137">
        <v>0.11</v>
      </c>
      <c r="K20">
        <f>RANK(0.11,J:J,0)</f>
        <v>15</v>
      </c>
      <c r="L20" s="53">
        <f>RANK(28.66,M:M,0)</f>
        <v>18</v>
      </c>
      <c r="M20" s="189">
        <v>25.75</v>
      </c>
      <c r="N20" s="186">
        <f>VLOOKUP(3611,季財報!A:M,8,0)</f>
        <v>3</v>
      </c>
      <c r="O20" s="40"/>
      <c r="P20" s="40"/>
      <c r="Q20" s="40"/>
      <c r="R20" s="40"/>
      <c r="S20" s="40"/>
      <c r="T20" s="40"/>
      <c r="U20" s="40"/>
      <c r="V20" s="40"/>
    </row>
    <row r="21" spans="1:35">
      <c r="A21" s="133">
        <v>3056</v>
      </c>
      <c r="C21">
        <v>568</v>
      </c>
      <c r="D21">
        <v>3487</v>
      </c>
      <c r="E21">
        <v>131</v>
      </c>
      <c r="F21">
        <v>3928</v>
      </c>
      <c r="G21">
        <v>3472</v>
      </c>
      <c r="H21" s="141">
        <v>0.16</v>
      </c>
      <c r="I21">
        <f>RANK(0.16,H:H,0)</f>
        <v>16</v>
      </c>
      <c r="J21" s="137">
        <v>0.08</v>
      </c>
      <c r="K21">
        <f>RANK(0.08,J:J,0)</f>
        <v>37</v>
      </c>
      <c r="L21" s="53">
        <f>RANK(28.66,M:M,0)</f>
        <v>18</v>
      </c>
      <c r="M21" s="189">
        <v>25.75</v>
      </c>
      <c r="N21" s="186">
        <f>VLOOKUP(3056,季財報!A:M,8,0)</f>
        <v>0</v>
      </c>
      <c r="O21" s="40"/>
      <c r="P21" s="40"/>
      <c r="Q21" s="40"/>
      <c r="R21" s="40"/>
      <c r="S21" s="40"/>
      <c r="T21" s="40"/>
      <c r="U21" s="40"/>
      <c r="V21" s="40"/>
    </row>
    <row r="22" spans="1:35">
      <c r="A22" s="133">
        <v>5274</v>
      </c>
      <c r="C22">
        <v>109</v>
      </c>
      <c r="D22">
        <v>913</v>
      </c>
      <c r="E22">
        <v>48</v>
      </c>
      <c r="F22">
        <v>973</v>
      </c>
      <c r="G22">
        <v>120</v>
      </c>
      <c r="H22" s="141">
        <v>0.11</v>
      </c>
      <c r="I22">
        <f>RANK(0.11,H:H,0)</f>
        <v>38</v>
      </c>
      <c r="J22" s="137">
        <v>0.1</v>
      </c>
      <c r="K22">
        <f>RANK(0.1,J:J,0)</f>
        <v>21</v>
      </c>
      <c r="L22" s="53">
        <f>RANK(25.75,M:M,0)</f>
        <v>21</v>
      </c>
      <c r="M22" s="189">
        <v>24.9</v>
      </c>
      <c r="N22" s="186">
        <f>VLOOKUP(5274,季財報!A:M,8,0)</f>
        <v>6</v>
      </c>
      <c r="O22" s="40"/>
      <c r="P22" s="40"/>
      <c r="Q22" s="40"/>
      <c r="R22" s="40"/>
      <c r="S22" s="40"/>
      <c r="T22" s="40"/>
      <c r="U22" s="40"/>
      <c r="V22" s="40"/>
    </row>
    <row r="23" spans="1:35">
      <c r="A23" s="133">
        <v>4137</v>
      </c>
      <c r="C23">
        <v>356</v>
      </c>
      <c r="D23">
        <v>2183</v>
      </c>
      <c r="E23">
        <v>1121</v>
      </c>
      <c r="F23">
        <v>3573</v>
      </c>
      <c r="G23">
        <v>0</v>
      </c>
      <c r="H23" s="141">
        <v>0.11</v>
      </c>
      <c r="I23">
        <f>RANK(0.11,H:H,0)</f>
        <v>38</v>
      </c>
      <c r="J23" s="137">
        <v>0.1</v>
      </c>
      <c r="K23">
        <f>RANK(0.1,J:J,0)</f>
        <v>21</v>
      </c>
      <c r="L23" s="53">
        <f>RANK(25.75,M:M,0)</f>
        <v>21</v>
      </c>
      <c r="M23" s="189">
        <v>24.9</v>
      </c>
      <c r="N23" s="186">
        <f>VLOOKUP(4137,季財報!A:M,8,0)</f>
        <v>2</v>
      </c>
      <c r="O23" s="40"/>
      <c r="P23" s="40"/>
      <c r="Q23" s="40"/>
      <c r="R23" s="40"/>
      <c r="S23" s="40"/>
      <c r="T23" s="40"/>
      <c r="U23" s="40"/>
      <c r="V23" s="40"/>
    </row>
    <row r="24" spans="1:35">
      <c r="A24" s="133">
        <v>8433</v>
      </c>
      <c r="C24">
        <v>93</v>
      </c>
      <c r="D24">
        <v>507</v>
      </c>
      <c r="E24">
        <v>202</v>
      </c>
      <c r="F24">
        <v>1212</v>
      </c>
      <c r="G24">
        <v>0</v>
      </c>
      <c r="H24" s="141">
        <v>0.13</v>
      </c>
      <c r="I24">
        <f>RANK(0.13,H:H,0)</f>
        <v>23</v>
      </c>
      <c r="J24" s="137">
        <v>0.08</v>
      </c>
      <c r="K24">
        <f>RANK(0.08,J:J,0)</f>
        <v>37</v>
      </c>
      <c r="L24" s="53">
        <f>RANK(25.32,M:M,0)</f>
        <v>23</v>
      </c>
      <c r="M24" s="189">
        <v>22.67</v>
      </c>
      <c r="N24" s="186">
        <f>VLOOKUP(8433,季財報!A:M,8,0)</f>
        <v>4</v>
      </c>
      <c r="O24" s="40"/>
      <c r="P24" s="40"/>
      <c r="Q24" s="40"/>
      <c r="R24" s="40"/>
      <c r="S24" s="40"/>
      <c r="T24" s="40"/>
      <c r="U24" s="40"/>
      <c r="V24" s="40"/>
    </row>
    <row r="25" spans="1:35">
      <c r="A25" s="133">
        <v>2383</v>
      </c>
      <c r="C25">
        <v>1035</v>
      </c>
      <c r="D25">
        <v>5884</v>
      </c>
      <c r="E25">
        <v>4858</v>
      </c>
      <c r="F25">
        <v>9336</v>
      </c>
      <c r="G25">
        <v>474</v>
      </c>
      <c r="H25" s="141">
        <v>0.1</v>
      </c>
      <c r="I25">
        <f>RANK(0.1,H:H,0)</f>
        <v>46</v>
      </c>
      <c r="J25" s="137">
        <v>0.11</v>
      </c>
      <c r="K25">
        <f>RANK(0.11,J:J,0)</f>
        <v>15</v>
      </c>
      <c r="L25" s="53">
        <f>RANK(24.9,M:M,0)</f>
        <v>24</v>
      </c>
      <c r="M25" s="189">
        <v>23.02</v>
      </c>
      <c r="N25" s="186">
        <f>VLOOKUP(2383,季財報!A:M,8,0)</f>
        <v>5</v>
      </c>
      <c r="O25" s="40"/>
      <c r="P25" s="40"/>
      <c r="Q25" s="40"/>
      <c r="R25" s="40"/>
      <c r="S25" s="40"/>
      <c r="T25" s="40"/>
      <c r="U25" s="40"/>
      <c r="V25" s="40"/>
    </row>
    <row r="26" spans="1:35">
      <c r="A26" s="133">
        <v>6294</v>
      </c>
      <c r="C26">
        <v>18</v>
      </c>
      <c r="D26">
        <v>3</v>
      </c>
      <c r="E26">
        <v>34</v>
      </c>
      <c r="F26">
        <v>265</v>
      </c>
      <c r="G26">
        <v>0</v>
      </c>
      <c r="H26" s="141">
        <v>0.49</v>
      </c>
      <c r="I26">
        <f>RANK(0.49,H:H,0)</f>
        <v>4</v>
      </c>
      <c r="J26" s="137">
        <v>7.0000000000000007E-2</v>
      </c>
      <c r="K26">
        <f>RANK(0.07,J:J,0)</f>
        <v>57</v>
      </c>
      <c r="L26" s="53">
        <f>RANK(24.9,M:M,0)</f>
        <v>24</v>
      </c>
      <c r="M26" s="189">
        <v>22.67</v>
      </c>
      <c r="N26" s="186">
        <f>VLOOKUP(6294,季財報!A:M,8,0)</f>
        <v>2</v>
      </c>
      <c r="O26" s="40"/>
      <c r="P26" s="40"/>
      <c r="Q26" s="40"/>
      <c r="R26" s="40"/>
      <c r="S26" s="40"/>
      <c r="T26" s="40"/>
      <c r="U26" s="40"/>
      <c r="V26" s="40"/>
    </row>
    <row r="27" spans="1:35">
      <c r="A27" s="133">
        <v>2722</v>
      </c>
      <c r="C27">
        <v>105</v>
      </c>
      <c r="D27">
        <v>0</v>
      </c>
      <c r="E27">
        <v>395</v>
      </c>
      <c r="F27">
        <v>1581</v>
      </c>
      <c r="G27">
        <v>0</v>
      </c>
      <c r="H27" s="141">
        <v>0.27</v>
      </c>
      <c r="I27">
        <f>RANK(0.27,H:H,0)</f>
        <v>9</v>
      </c>
      <c r="J27" s="137">
        <v>7.0000000000000007E-2</v>
      </c>
      <c r="K27">
        <f>RANK(0.07,J:J,0)</f>
        <v>57</v>
      </c>
      <c r="L27" s="53">
        <f>RANK(23.02,M:M,0)</f>
        <v>26</v>
      </c>
      <c r="M27" s="189">
        <v>22.67</v>
      </c>
      <c r="N27" s="186">
        <f>VLOOKUP(2722,季財報!A:M,8,0)</f>
        <v>1</v>
      </c>
      <c r="O27" s="40"/>
      <c r="P27" s="40"/>
      <c r="Q27" s="40"/>
      <c r="R27" s="40"/>
      <c r="S27" s="40"/>
      <c r="T27" s="40"/>
      <c r="U27" s="40"/>
      <c r="V27" s="40"/>
    </row>
    <row r="28" spans="1:35">
      <c r="A28" s="133">
        <v>4190</v>
      </c>
      <c r="C28">
        <v>101</v>
      </c>
      <c r="D28">
        <v>0</v>
      </c>
      <c r="E28">
        <v>991</v>
      </c>
      <c r="F28">
        <v>991</v>
      </c>
      <c r="G28">
        <v>0</v>
      </c>
      <c r="H28" s="141">
        <v>0.1</v>
      </c>
      <c r="I28">
        <f>RANK(0.1,H:H,0)</f>
        <v>46</v>
      </c>
      <c r="J28" s="137">
        <v>0.1</v>
      </c>
      <c r="K28">
        <f>RANK(0.1,J:J,0)</f>
        <v>21</v>
      </c>
      <c r="L28" s="53">
        <f>RANK(22.67,M:M,0)</f>
        <v>27</v>
      </c>
      <c r="M28" s="189">
        <v>21.1</v>
      </c>
      <c r="N28" s="186">
        <f>VLOOKUP(4190,季財報!A:M,8,0)</f>
        <v>2</v>
      </c>
      <c r="O28" s="40"/>
      <c r="P28" s="40"/>
      <c r="Q28" s="40"/>
      <c r="R28" s="40"/>
      <c r="S28" s="40"/>
      <c r="T28" s="40"/>
      <c r="U28" s="40"/>
      <c r="V28" s="40"/>
      <c r="AC28" t="s">
        <v>1896</v>
      </c>
      <c r="AF28" t="s">
        <v>1897</v>
      </c>
      <c r="AH28" t="s">
        <v>1898</v>
      </c>
    </row>
    <row r="29" spans="1:35">
      <c r="A29" s="133">
        <v>3081</v>
      </c>
      <c r="C29">
        <v>320</v>
      </c>
      <c r="D29">
        <v>2345</v>
      </c>
      <c r="E29">
        <v>872</v>
      </c>
      <c r="F29">
        <v>3279</v>
      </c>
      <c r="G29">
        <v>0</v>
      </c>
      <c r="H29" s="141">
        <v>0.1</v>
      </c>
      <c r="I29">
        <f>RANK(0.1,H:H,0)</f>
        <v>46</v>
      </c>
      <c r="J29" s="137">
        <v>0.1</v>
      </c>
      <c r="K29">
        <f>RANK(0.1,J:J,0)</f>
        <v>21</v>
      </c>
      <c r="L29" s="53">
        <f>RANK(22.67,M:M,0)</f>
        <v>27</v>
      </c>
      <c r="M29" s="189">
        <v>22.01</v>
      </c>
      <c r="N29" s="186">
        <f>VLOOKUP(3081,季財報!A:M,8,0)</f>
        <v>1</v>
      </c>
      <c r="O29" s="40"/>
      <c r="P29" s="40"/>
      <c r="Q29" s="40"/>
      <c r="R29" s="40"/>
      <c r="S29" s="40"/>
      <c r="T29" s="40"/>
      <c r="U29" s="40"/>
      <c r="V29" s="40"/>
      <c r="AB29" t="s">
        <v>1835</v>
      </c>
      <c r="AC29" t="s">
        <v>1895</v>
      </c>
      <c r="AE29" t="s">
        <v>1835</v>
      </c>
      <c r="AF29" t="s">
        <v>1895</v>
      </c>
      <c r="AG29" t="s">
        <v>1835</v>
      </c>
      <c r="AH29" t="s">
        <v>1895</v>
      </c>
      <c r="AI29" t="s">
        <v>1835</v>
      </c>
    </row>
    <row r="30" spans="1:35">
      <c r="A30" s="133">
        <v>5287</v>
      </c>
      <c r="C30">
        <v>164</v>
      </c>
      <c r="D30">
        <v>714</v>
      </c>
      <c r="E30">
        <v>727</v>
      </c>
      <c r="F30">
        <v>1738</v>
      </c>
      <c r="G30">
        <v>0</v>
      </c>
      <c r="H30" s="141">
        <v>0.11</v>
      </c>
      <c r="I30">
        <f>RANK(0.11,H:H,0)</f>
        <v>38</v>
      </c>
      <c r="J30" s="137">
        <v>0.09</v>
      </c>
      <c r="K30">
        <f>RANK(0.09,J:J,0)</f>
        <v>29</v>
      </c>
      <c r="L30" s="53">
        <f>RANK(22.67,M:M,0)</f>
        <v>27</v>
      </c>
      <c r="M30" s="189">
        <v>20.25</v>
      </c>
      <c r="N30" s="186">
        <f>VLOOKUP(5287,季財報!A:M,8,0)</f>
        <v>2</v>
      </c>
      <c r="O30" s="40"/>
      <c r="P30" s="40"/>
      <c r="Q30" s="40"/>
      <c r="R30" s="40"/>
      <c r="S30" s="40"/>
      <c r="T30" s="40"/>
      <c r="U30" s="40"/>
      <c r="V30" s="40"/>
      <c r="AB30">
        <v>93.98</v>
      </c>
      <c r="AC30" s="40">
        <v>1263665</v>
      </c>
      <c r="AE30">
        <v>94.6</v>
      </c>
      <c r="AF30" s="40">
        <v>3682155</v>
      </c>
      <c r="AG30">
        <v>93.74</v>
      </c>
      <c r="AH30" s="40">
        <v>3698242</v>
      </c>
      <c r="AI30">
        <v>94.49</v>
      </c>
    </row>
    <row r="31" spans="1:35">
      <c r="A31" s="133">
        <v>5315</v>
      </c>
      <c r="C31">
        <v>95</v>
      </c>
      <c r="D31">
        <v>749</v>
      </c>
      <c r="E31">
        <v>225</v>
      </c>
      <c r="F31">
        <v>984</v>
      </c>
      <c r="G31">
        <v>2</v>
      </c>
      <c r="H31" s="141">
        <v>0.1</v>
      </c>
      <c r="I31">
        <f>RANK(0.1,H:H,0)</f>
        <v>46</v>
      </c>
      <c r="J31" s="137">
        <v>0.1</v>
      </c>
      <c r="K31">
        <f>RANK(0.1,J:J,0)</f>
        <v>21</v>
      </c>
      <c r="L31" s="53">
        <f>RANK(22.67,M:M,0)</f>
        <v>27</v>
      </c>
      <c r="M31" s="189">
        <v>18.989999999999998</v>
      </c>
      <c r="N31" s="186">
        <f>VLOOKUP(5315,季財報!A:M,8,0)</f>
        <v>3</v>
      </c>
      <c r="O31" s="40"/>
      <c r="P31" s="40"/>
      <c r="Q31" s="40"/>
      <c r="R31" s="40"/>
      <c r="S31" s="40"/>
      <c r="T31" s="40"/>
      <c r="U31" s="40"/>
      <c r="V31" s="40"/>
      <c r="AB31">
        <v>6.02</v>
      </c>
      <c r="AC31" s="40">
        <v>72144</v>
      </c>
      <c r="AE31">
        <v>5.4</v>
      </c>
      <c r="AF31" s="40">
        <v>245855</v>
      </c>
      <c r="AG31">
        <v>6.26</v>
      </c>
      <c r="AH31" s="40">
        <v>215511</v>
      </c>
      <c r="AI31">
        <v>5.51</v>
      </c>
    </row>
    <row r="32" spans="1:35">
      <c r="A32" s="133">
        <v>2912</v>
      </c>
      <c r="C32">
        <v>2546</v>
      </c>
      <c r="D32">
        <v>0</v>
      </c>
      <c r="E32">
        <v>21811</v>
      </c>
      <c r="F32">
        <v>29623</v>
      </c>
      <c r="G32">
        <v>3289</v>
      </c>
      <c r="H32" s="141">
        <v>0.12</v>
      </c>
      <c r="I32">
        <f>RANK(0.12,H:H,0)</f>
        <v>32</v>
      </c>
      <c r="J32" s="137">
        <v>0.08</v>
      </c>
      <c r="K32">
        <f>RANK(0.08,J:J,0)</f>
        <v>37</v>
      </c>
      <c r="L32" s="53">
        <f>RANK(22.01,M:M,0)</f>
        <v>31</v>
      </c>
      <c r="M32" s="189">
        <v>1.1399999999999999</v>
      </c>
      <c r="N32" s="186">
        <f>VLOOKUP(2912,季財報!A:M,8,0)</f>
        <v>2</v>
      </c>
      <c r="O32" s="40"/>
      <c r="P32" s="40"/>
      <c r="Q32" s="40"/>
      <c r="R32" s="40"/>
      <c r="S32" s="40"/>
      <c r="T32" s="40"/>
      <c r="U32" s="40"/>
      <c r="V32" s="40"/>
      <c r="AB32">
        <v>100</v>
      </c>
      <c r="AC32" s="40">
        <v>1335809</v>
      </c>
      <c r="AE32">
        <v>100</v>
      </c>
      <c r="AF32" s="40">
        <v>3928010</v>
      </c>
      <c r="AG32">
        <v>100</v>
      </c>
      <c r="AH32" s="40">
        <v>3913753</v>
      </c>
      <c r="AI32">
        <v>100</v>
      </c>
    </row>
    <row r="33" spans="1:35">
      <c r="A33" s="133">
        <v>6456</v>
      </c>
      <c r="C33">
        <v>1520</v>
      </c>
      <c r="D33">
        <v>1791</v>
      </c>
      <c r="E33">
        <v>15867</v>
      </c>
      <c r="F33">
        <v>10531</v>
      </c>
      <c r="G33">
        <v>2360</v>
      </c>
      <c r="H33" s="141">
        <v>0.09</v>
      </c>
      <c r="I33">
        <f>RANK(0.09,H:H,0)</f>
        <v>63</v>
      </c>
      <c r="J33" s="137">
        <v>0.12</v>
      </c>
      <c r="K33">
        <f>RANK(0.12,J:J,0)</f>
        <v>9</v>
      </c>
      <c r="L33" s="53">
        <f>RANK(21.1,M:M,0)</f>
        <v>32</v>
      </c>
      <c r="M33" s="189">
        <v>18.079999999999998</v>
      </c>
      <c r="N33" s="186">
        <f>VLOOKUP(6456,季財報!A:M,8,0)</f>
        <v>4</v>
      </c>
      <c r="O33" s="40"/>
      <c r="P33" s="40"/>
      <c r="Q33" s="40"/>
      <c r="R33" s="40"/>
      <c r="S33" s="40"/>
      <c r="T33" s="40"/>
      <c r="U33" s="40"/>
      <c r="V33" s="40"/>
      <c r="AB33">
        <v>82.43</v>
      </c>
      <c r="AC33" s="40">
        <v>1144770</v>
      </c>
      <c r="AE33">
        <v>85.7</v>
      </c>
      <c r="AF33" s="40">
        <v>3315795</v>
      </c>
      <c r="AG33">
        <v>84.41</v>
      </c>
      <c r="AH33" s="40">
        <v>3369157</v>
      </c>
      <c r="AI33">
        <v>86.09</v>
      </c>
    </row>
    <row r="34" spans="1:35">
      <c r="A34" s="133">
        <v>4426</v>
      </c>
      <c r="C34">
        <v>176</v>
      </c>
      <c r="D34">
        <v>462</v>
      </c>
      <c r="E34">
        <v>1337</v>
      </c>
      <c r="F34">
        <v>1849</v>
      </c>
      <c r="G34">
        <v>116</v>
      </c>
      <c r="H34" s="141">
        <v>0.1</v>
      </c>
      <c r="I34">
        <f>RANK(0.1,H:H,0)</f>
        <v>46</v>
      </c>
      <c r="J34" s="137">
        <v>0.09</v>
      </c>
      <c r="K34">
        <f>RANK(0.09,J:J,0)</f>
        <v>29</v>
      </c>
      <c r="L34" s="53">
        <f>RANK(20.25,M:M,0)</f>
        <v>33</v>
      </c>
      <c r="M34" s="189">
        <v>18.079999999999998</v>
      </c>
      <c r="N34" s="186">
        <f>VLOOKUP(4426,季財報!A:M,8,0)</f>
        <v>4</v>
      </c>
      <c r="O34" s="40"/>
      <c r="P34" s="40"/>
      <c r="Q34" s="40"/>
      <c r="R34" s="40"/>
      <c r="S34" s="40"/>
      <c r="T34" s="40"/>
      <c r="U34" s="40"/>
      <c r="V34" s="40"/>
      <c r="AB34">
        <v>2.0299999999999998</v>
      </c>
      <c r="AC34" s="40">
        <v>23792</v>
      </c>
      <c r="AE34">
        <v>1.78</v>
      </c>
      <c r="AF34" s="40">
        <v>82836</v>
      </c>
      <c r="AG34">
        <v>2.11</v>
      </c>
      <c r="AH34" s="40">
        <v>70929</v>
      </c>
      <c r="AI34">
        <v>1.81</v>
      </c>
    </row>
    <row r="35" spans="1:35">
      <c r="A35" s="133">
        <v>3684</v>
      </c>
      <c r="C35">
        <v>36</v>
      </c>
      <c r="D35">
        <v>277</v>
      </c>
      <c r="E35">
        <v>77</v>
      </c>
      <c r="F35">
        <v>386</v>
      </c>
      <c r="G35">
        <v>0</v>
      </c>
      <c r="H35" s="141">
        <v>0.1</v>
      </c>
      <c r="I35">
        <f>RANK(0.1,H:H,0)</f>
        <v>46</v>
      </c>
      <c r="J35" s="137">
        <v>0.09</v>
      </c>
      <c r="K35">
        <f>RANK(0.09,J:J,0)</f>
        <v>29</v>
      </c>
      <c r="L35" s="53">
        <f>RANK(20.25,M:M,0)</f>
        <v>33</v>
      </c>
      <c r="M35" s="189">
        <v>18.3</v>
      </c>
      <c r="N35" s="186">
        <f>VLOOKUP(3684,季財報!A:M,8,0)</f>
        <v>3</v>
      </c>
      <c r="O35" s="40"/>
      <c r="P35" s="40"/>
      <c r="Q35" s="40"/>
      <c r="R35" s="40"/>
      <c r="S35" s="40"/>
      <c r="T35" s="40"/>
      <c r="U35" s="40"/>
      <c r="V35" s="40"/>
      <c r="AB35">
        <v>84.46</v>
      </c>
      <c r="AC35" s="40">
        <v>1168562</v>
      </c>
      <c r="AE35">
        <v>87.48</v>
      </c>
      <c r="AF35" s="40">
        <v>3398631</v>
      </c>
      <c r="AG35">
        <v>86.52</v>
      </c>
      <c r="AH35" s="40">
        <v>3440086</v>
      </c>
      <c r="AI35">
        <v>87.9</v>
      </c>
    </row>
    <row r="36" spans="1:35">
      <c r="A36" s="133">
        <v>8066</v>
      </c>
      <c r="C36">
        <v>74</v>
      </c>
      <c r="D36">
        <v>472</v>
      </c>
      <c r="E36">
        <v>50</v>
      </c>
      <c r="F36">
        <v>816</v>
      </c>
      <c r="G36">
        <v>236</v>
      </c>
      <c r="H36" s="141">
        <v>0.14000000000000001</v>
      </c>
      <c r="I36">
        <f>RANK(0.14,H:H,0)</f>
        <v>20</v>
      </c>
      <c r="J36" s="137">
        <v>7.0000000000000007E-2</v>
      </c>
      <c r="K36">
        <f>RANK(0.07,J:J,0)</f>
        <v>57</v>
      </c>
      <c r="L36" s="53">
        <f>RANK(19.73,M:M,0)</f>
        <v>35</v>
      </c>
      <c r="M36" s="189">
        <v>18.3</v>
      </c>
      <c r="N36" s="186">
        <f>VLOOKUP(8066,季財報!A:M,8,0)</f>
        <v>4</v>
      </c>
      <c r="O36" s="40"/>
      <c r="P36" s="40"/>
      <c r="Q36" s="40"/>
      <c r="R36" s="40"/>
      <c r="S36" s="40"/>
      <c r="T36" s="40"/>
      <c r="U36" s="40"/>
      <c r="V36" s="40"/>
      <c r="AB36">
        <v>15.54</v>
      </c>
      <c r="AC36" s="40">
        <v>167247</v>
      </c>
      <c r="AE36">
        <v>12.52</v>
      </c>
      <c r="AF36" s="40">
        <v>529379</v>
      </c>
      <c r="AG36">
        <v>13.48</v>
      </c>
      <c r="AH36" s="40">
        <v>473667</v>
      </c>
      <c r="AI36">
        <v>12.1</v>
      </c>
    </row>
    <row r="37" spans="1:35">
      <c r="A37" s="133">
        <v>1808</v>
      </c>
      <c r="C37">
        <v>707</v>
      </c>
      <c r="D37">
        <v>5009</v>
      </c>
      <c r="E37">
        <v>637</v>
      </c>
      <c r="F37">
        <v>4614</v>
      </c>
      <c r="G37">
        <v>6073</v>
      </c>
      <c r="H37" s="141">
        <v>0.13</v>
      </c>
      <c r="I37">
        <f>RANK(0.13,H:H,0)</f>
        <v>23</v>
      </c>
      <c r="J37" s="137">
        <v>7.0000000000000007E-2</v>
      </c>
      <c r="K37">
        <f>RANK(0.07,J:J,0)</f>
        <v>57</v>
      </c>
      <c r="L37" s="53">
        <f>RANK(18.99,M:M,0)</f>
        <v>36</v>
      </c>
      <c r="M37" s="189">
        <v>18.3</v>
      </c>
      <c r="N37" s="186">
        <f>VLOOKUP(1808,季財報!A:M,8,0)</f>
        <v>6</v>
      </c>
      <c r="O37" s="40"/>
      <c r="P37" s="40"/>
      <c r="Q37" s="40"/>
      <c r="R37" s="40"/>
      <c r="S37" s="40"/>
      <c r="T37" s="40"/>
      <c r="U37" s="40"/>
      <c r="V37" s="40"/>
      <c r="AB37">
        <v>15.54</v>
      </c>
      <c r="AC37" s="40">
        <v>167247</v>
      </c>
      <c r="AE37">
        <v>12.52</v>
      </c>
      <c r="AF37" s="40">
        <v>529379</v>
      </c>
      <c r="AG37">
        <v>13.48</v>
      </c>
      <c r="AH37" s="40">
        <v>473667</v>
      </c>
      <c r="AI37">
        <v>12.1</v>
      </c>
    </row>
    <row r="38" spans="1:35">
      <c r="A38" s="133">
        <v>8422</v>
      </c>
      <c r="C38">
        <v>355</v>
      </c>
      <c r="D38">
        <v>2049</v>
      </c>
      <c r="E38">
        <v>1608</v>
      </c>
      <c r="F38">
        <v>4627</v>
      </c>
      <c r="G38">
        <v>0</v>
      </c>
      <c r="H38" s="141">
        <v>0.1</v>
      </c>
      <c r="I38">
        <f>RANK(0.1,H:H,0)</f>
        <v>46</v>
      </c>
      <c r="J38" s="137">
        <v>0.08</v>
      </c>
      <c r="K38">
        <f>RANK(0.08,J:J,0)</f>
        <v>37</v>
      </c>
      <c r="L38" s="53">
        <f>RANK(18.3,M:M,0)</f>
        <v>37</v>
      </c>
      <c r="M38" s="189">
        <v>17.07</v>
      </c>
      <c r="N38" s="186">
        <f>VLOOKUP(8422,季財報!A:M,8,0)</f>
        <v>5</v>
      </c>
      <c r="O38" s="40"/>
      <c r="P38" s="40"/>
      <c r="Q38" s="40"/>
      <c r="R38" s="40"/>
      <c r="S38" s="40"/>
      <c r="T38" s="40"/>
      <c r="U38" s="40"/>
      <c r="V38" s="40"/>
      <c r="AC38" s="40"/>
      <c r="AF38" s="40"/>
      <c r="AH38" s="40"/>
    </row>
    <row r="39" spans="1:35">
      <c r="A39" s="133">
        <v>8083</v>
      </c>
      <c r="C39">
        <v>96</v>
      </c>
      <c r="D39">
        <v>182</v>
      </c>
      <c r="E39">
        <v>796</v>
      </c>
      <c r="F39">
        <v>996</v>
      </c>
      <c r="G39">
        <v>250</v>
      </c>
      <c r="H39" s="141">
        <v>0.1</v>
      </c>
      <c r="I39">
        <f>RANK(0.1,H:H,0)</f>
        <v>46</v>
      </c>
      <c r="J39" s="137">
        <v>0.08</v>
      </c>
      <c r="K39">
        <f>RANK(0.08,J:J,0)</f>
        <v>37</v>
      </c>
      <c r="L39" s="53">
        <f>RANK(18.3,M:M,0)</f>
        <v>37</v>
      </c>
      <c r="M39" s="189">
        <v>3.67</v>
      </c>
      <c r="N39" s="186">
        <f>VLOOKUP(8083,季財報!A:M,8,0)</f>
        <v>3</v>
      </c>
      <c r="O39" s="40"/>
      <c r="P39" s="40"/>
      <c r="Q39" s="40"/>
      <c r="R39" s="40"/>
      <c r="S39" s="40"/>
      <c r="T39" s="40"/>
      <c r="U39" s="40"/>
      <c r="V39" s="40"/>
      <c r="AB39">
        <v>6.1</v>
      </c>
      <c r="AC39" s="40">
        <v>51741</v>
      </c>
      <c r="AE39">
        <v>3.87</v>
      </c>
      <c r="AF39" s="40">
        <v>213182</v>
      </c>
      <c r="AG39">
        <v>5.43</v>
      </c>
      <c r="AH39" s="40">
        <v>157701</v>
      </c>
      <c r="AI39">
        <v>4.03</v>
      </c>
    </row>
    <row r="40" spans="1:35">
      <c r="A40" s="133">
        <v>1580</v>
      </c>
      <c r="C40">
        <v>165</v>
      </c>
      <c r="D40">
        <v>945</v>
      </c>
      <c r="E40">
        <v>727</v>
      </c>
      <c r="F40">
        <v>1745</v>
      </c>
      <c r="G40">
        <v>445</v>
      </c>
      <c r="H40" s="141">
        <v>0.1</v>
      </c>
      <c r="I40">
        <f>RANK(0.1,H:H,0)</f>
        <v>46</v>
      </c>
      <c r="J40" s="137">
        <v>0.08</v>
      </c>
      <c r="K40">
        <f>RANK(0.08,J:J,0)</f>
        <v>37</v>
      </c>
      <c r="L40" s="53">
        <f>RANK(18.3,M:M,0)</f>
        <v>37</v>
      </c>
      <c r="M40" s="189">
        <v>16.510000000000002</v>
      </c>
      <c r="N40" s="186">
        <f>VLOOKUP(1580,季財報!A:M,8,0)</f>
        <v>1</v>
      </c>
      <c r="O40" s="40"/>
      <c r="P40" s="40"/>
      <c r="Q40" s="40"/>
      <c r="R40" s="40"/>
      <c r="S40" s="40"/>
      <c r="T40" s="40"/>
      <c r="U40" s="40"/>
      <c r="V40" s="40"/>
      <c r="AB40">
        <v>2.79</v>
      </c>
      <c r="AC40" s="40">
        <v>68003</v>
      </c>
      <c r="AE40">
        <v>5.09</v>
      </c>
      <c r="AF40" s="40">
        <v>115741</v>
      </c>
      <c r="AG40">
        <v>2.95</v>
      </c>
      <c r="AH40" s="40">
        <v>153260</v>
      </c>
      <c r="AI40">
        <v>3.92</v>
      </c>
    </row>
    <row r="41" spans="1:35">
      <c r="A41" s="133">
        <v>9910</v>
      </c>
      <c r="C41">
        <v>1540</v>
      </c>
      <c r="D41">
        <v>4449</v>
      </c>
      <c r="E41">
        <v>12858</v>
      </c>
      <c r="F41">
        <v>13808</v>
      </c>
      <c r="G41">
        <v>1755</v>
      </c>
      <c r="H41" s="141">
        <v>0.09</v>
      </c>
      <c r="I41">
        <f>RANK(0.09,H:H,0)</f>
        <v>63</v>
      </c>
      <c r="J41" s="137">
        <v>0.1</v>
      </c>
      <c r="K41">
        <f>RANK(0.1,J:J,0)</f>
        <v>21</v>
      </c>
      <c r="L41" s="53">
        <f>RANK(18.08,M:M,0)</f>
        <v>40</v>
      </c>
      <c r="M41" s="189">
        <v>16.510000000000002</v>
      </c>
      <c r="N41" s="186">
        <f>VLOOKUP(9910,季財報!A:M,8,0)</f>
        <v>6</v>
      </c>
      <c r="O41" s="40"/>
      <c r="P41" s="40"/>
      <c r="Q41" s="40"/>
      <c r="R41" s="40"/>
      <c r="S41" s="40"/>
      <c r="T41" s="40"/>
      <c r="U41" s="40"/>
      <c r="V41" s="40"/>
      <c r="AB41">
        <v>0.5</v>
      </c>
      <c r="AC41" s="40">
        <v>5851</v>
      </c>
      <c r="AE41">
        <v>0.44</v>
      </c>
      <c r="AF41" s="40">
        <v>20041</v>
      </c>
      <c r="AG41">
        <v>0.51</v>
      </c>
      <c r="AH41" s="40">
        <v>19415</v>
      </c>
      <c r="AI41">
        <v>0.5</v>
      </c>
    </row>
    <row r="42" spans="1:35">
      <c r="A42" s="133">
        <v>1565</v>
      </c>
      <c r="C42">
        <v>411</v>
      </c>
      <c r="D42">
        <v>2153</v>
      </c>
      <c r="E42">
        <v>2539</v>
      </c>
      <c r="F42">
        <v>4190</v>
      </c>
      <c r="G42">
        <v>92</v>
      </c>
      <c r="H42" s="141">
        <v>0.09</v>
      </c>
      <c r="I42">
        <f>RANK(0.09,H:H,0)</f>
        <v>63</v>
      </c>
      <c r="J42" s="137">
        <v>0.1</v>
      </c>
      <c r="K42">
        <f>RANK(0.1,J:J,0)</f>
        <v>21</v>
      </c>
      <c r="L42" s="53">
        <f>RANK(18.08,M:M,0)</f>
        <v>40</v>
      </c>
      <c r="M42" s="189">
        <v>16.16</v>
      </c>
      <c r="N42" s="186">
        <f>VLOOKUP(1565,季財報!A:M,8,0)</f>
        <v>5</v>
      </c>
      <c r="O42" s="40"/>
      <c r="P42" s="40"/>
      <c r="Q42" s="40"/>
      <c r="R42" s="40"/>
      <c r="S42" s="40"/>
      <c r="T42" s="40"/>
      <c r="U42" s="40"/>
      <c r="V42" s="40"/>
      <c r="AB42">
        <v>9.39</v>
      </c>
      <c r="AC42" s="40">
        <v>125595</v>
      </c>
      <c r="AE42">
        <v>9.4</v>
      </c>
      <c r="AF42" s="40">
        <v>348964</v>
      </c>
      <c r="AG42">
        <v>8.8800000000000008</v>
      </c>
      <c r="AH42" s="40">
        <v>330376</v>
      </c>
      <c r="AI42">
        <v>8.44</v>
      </c>
    </row>
    <row r="43" spans="1:35">
      <c r="A43" s="133">
        <v>1707</v>
      </c>
      <c r="C43">
        <v>466</v>
      </c>
      <c r="D43">
        <v>602</v>
      </c>
      <c r="E43">
        <v>5493</v>
      </c>
      <c r="F43">
        <v>3774</v>
      </c>
      <c r="G43">
        <v>21</v>
      </c>
      <c r="H43" s="141">
        <v>0.08</v>
      </c>
      <c r="I43">
        <f>RANK(0.08,H:H,0)</f>
        <v>80</v>
      </c>
      <c r="J43" s="137">
        <v>0.12</v>
      </c>
      <c r="K43">
        <f>RANK(0.12,J:J,0)</f>
        <v>9</v>
      </c>
      <c r="L43" s="53">
        <f>RANK(17.07,M:M,0)</f>
        <v>42</v>
      </c>
      <c r="M43" s="189">
        <v>15.19</v>
      </c>
      <c r="N43" s="186">
        <f>VLOOKUP(1707,季財報!A:M,8,0)</f>
        <v>2</v>
      </c>
      <c r="O43" s="40"/>
      <c r="P43" s="40"/>
      <c r="Q43" s="40"/>
      <c r="R43" s="40"/>
      <c r="S43" s="40"/>
      <c r="T43" s="40"/>
      <c r="U43" s="40"/>
      <c r="V43" s="40"/>
      <c r="AB43">
        <v>6.15</v>
      </c>
      <c r="AC43" s="40">
        <v>41652</v>
      </c>
      <c r="AE43">
        <v>3.12</v>
      </c>
      <c r="AF43" s="40">
        <v>180415</v>
      </c>
      <c r="AG43">
        <v>4.59</v>
      </c>
      <c r="AH43" s="40">
        <v>143291</v>
      </c>
      <c r="AI43">
        <v>3.66</v>
      </c>
    </row>
    <row r="44" spans="1:35">
      <c r="A44" s="133">
        <v>4103</v>
      </c>
      <c r="C44">
        <v>294</v>
      </c>
      <c r="D44">
        <v>2994</v>
      </c>
      <c r="E44">
        <v>298</v>
      </c>
      <c r="F44">
        <v>3287</v>
      </c>
      <c r="G44">
        <v>0</v>
      </c>
      <c r="H44" s="141">
        <v>0.09</v>
      </c>
      <c r="I44">
        <f>RANK(0.09,H:H,0)</f>
        <v>63</v>
      </c>
      <c r="J44" s="137">
        <v>0.09</v>
      </c>
      <c r="K44">
        <f>RANK(0.09,J:J,0)</f>
        <v>29</v>
      </c>
      <c r="L44" s="53">
        <f>RANK(16.51,M:M,0)</f>
        <v>43</v>
      </c>
      <c r="M44" s="189">
        <v>15.19</v>
      </c>
      <c r="N44" s="186">
        <f>VLOOKUP(4103,季財報!A:M,8,0)</f>
        <v>3</v>
      </c>
      <c r="O44" s="40"/>
      <c r="P44" s="40"/>
      <c r="Q44" s="40"/>
      <c r="R44" s="40"/>
      <c r="S44" s="40"/>
      <c r="T44" s="40"/>
      <c r="U44" s="40"/>
      <c r="V44" s="40"/>
      <c r="AC44" s="40"/>
      <c r="AF44" s="40"/>
      <c r="AH44" s="40"/>
    </row>
    <row r="45" spans="1:35">
      <c r="A45" s="133">
        <v>8446</v>
      </c>
      <c r="C45">
        <v>60</v>
      </c>
      <c r="D45">
        <v>185</v>
      </c>
      <c r="E45">
        <v>15</v>
      </c>
      <c r="F45">
        <v>935</v>
      </c>
      <c r="G45">
        <v>6</v>
      </c>
      <c r="H45" s="141">
        <v>0.3</v>
      </c>
      <c r="I45">
        <f>RANK(0.3,H:H,0)</f>
        <v>8</v>
      </c>
      <c r="J45" s="137">
        <v>0.06</v>
      </c>
      <c r="K45">
        <f>RANK(0.06,J:J,0)</f>
        <v>84</v>
      </c>
      <c r="L45" s="53">
        <f>RANK(16.51,M:M,0)</f>
        <v>43</v>
      </c>
      <c r="M45" s="189">
        <v>15.19</v>
      </c>
      <c r="N45" s="186">
        <f>VLOOKUP(8446,季財報!A:M,8,0)</f>
        <v>2</v>
      </c>
      <c r="O45" s="40"/>
      <c r="P45" s="40"/>
      <c r="Q45" s="40"/>
      <c r="R45" s="40"/>
      <c r="S45" s="40"/>
      <c r="T45" s="40"/>
      <c r="U45" s="40"/>
      <c r="V45" s="40"/>
      <c r="AB45">
        <v>10.48</v>
      </c>
      <c r="AC45" s="40">
        <v>121772</v>
      </c>
      <c r="AE45">
        <v>9.1199999999999992</v>
      </c>
      <c r="AF45" s="40">
        <v>148672</v>
      </c>
      <c r="AG45">
        <v>3.78</v>
      </c>
      <c r="AH45" s="40">
        <v>126677</v>
      </c>
      <c r="AI45">
        <v>3.24</v>
      </c>
    </row>
    <row r="46" spans="1:35">
      <c r="A46" s="133">
        <v>3662</v>
      </c>
      <c r="C46">
        <v>383</v>
      </c>
      <c r="D46">
        <v>1400</v>
      </c>
      <c r="E46">
        <v>111</v>
      </c>
      <c r="F46">
        <v>5353</v>
      </c>
      <c r="G46">
        <v>1133</v>
      </c>
      <c r="H46" s="141">
        <v>0.25</v>
      </c>
      <c r="I46">
        <f>RANK(0.25,H:H,0)</f>
        <v>10</v>
      </c>
      <c r="J46" s="137">
        <v>0.06</v>
      </c>
      <c r="K46">
        <f>RANK(0.06,J:J,0)</f>
        <v>84</v>
      </c>
      <c r="L46" s="53">
        <f>RANK(16.16,M:M,0)</f>
        <v>45</v>
      </c>
      <c r="M46" s="189">
        <v>15.19</v>
      </c>
      <c r="N46" s="186">
        <f>VLOOKUP(3662,季財報!A:M,8,0)</f>
        <v>1</v>
      </c>
      <c r="O46" s="40"/>
      <c r="P46" s="40"/>
      <c r="Q46" s="40"/>
      <c r="R46" s="40"/>
      <c r="S46" s="40"/>
      <c r="T46" s="40"/>
      <c r="U46" s="40"/>
      <c r="V46" s="40"/>
      <c r="AB46">
        <v>0.15</v>
      </c>
      <c r="AC46" s="40">
        <v>5869</v>
      </c>
      <c r="AE46">
        <v>0.44</v>
      </c>
      <c r="AF46" s="40">
        <v>-4493</v>
      </c>
      <c r="AG46">
        <v>-0.11</v>
      </c>
      <c r="AH46" s="40">
        <v>19857</v>
      </c>
      <c r="AI46">
        <v>0.51</v>
      </c>
    </row>
    <row r="47" spans="1:35">
      <c r="A47" s="133">
        <v>5289</v>
      </c>
      <c r="C47">
        <v>174</v>
      </c>
      <c r="D47">
        <v>1091</v>
      </c>
      <c r="E47">
        <v>948</v>
      </c>
      <c r="F47">
        <v>2176</v>
      </c>
      <c r="G47">
        <v>58</v>
      </c>
      <c r="H47" s="141">
        <v>0.09</v>
      </c>
      <c r="I47">
        <f>RANK(0.09,H:H,0)</f>
        <v>63</v>
      </c>
      <c r="J47" s="137">
        <v>0.08</v>
      </c>
      <c r="K47">
        <f>RANK(0.08,J:J,0)</f>
        <v>37</v>
      </c>
      <c r="L47" s="53">
        <f>RANK(15.19,M:M,0)</f>
        <v>46</v>
      </c>
      <c r="M47" s="189">
        <v>14.75</v>
      </c>
      <c r="N47" s="186">
        <f>VLOOKUP(5289,季財報!A:M,8,0)</f>
        <v>4</v>
      </c>
      <c r="O47" s="40"/>
      <c r="P47" s="40"/>
      <c r="Q47" s="40"/>
      <c r="R47" s="40"/>
      <c r="S47" s="40"/>
      <c r="T47" s="40"/>
      <c r="U47" s="40"/>
      <c r="V47" s="40"/>
      <c r="AB47">
        <v>0.77</v>
      </c>
      <c r="AC47" s="40">
        <v>12068</v>
      </c>
      <c r="AE47">
        <v>0.9</v>
      </c>
      <c r="AF47" s="40">
        <v>31085</v>
      </c>
      <c r="AG47">
        <v>0.79</v>
      </c>
      <c r="AH47" s="40">
        <v>35801</v>
      </c>
      <c r="AI47">
        <v>0.91</v>
      </c>
    </row>
    <row r="48" spans="1:35">
      <c r="A48" s="133">
        <v>5386</v>
      </c>
      <c r="C48">
        <v>13</v>
      </c>
      <c r="D48">
        <v>146</v>
      </c>
      <c r="E48">
        <v>1</v>
      </c>
      <c r="F48">
        <v>161</v>
      </c>
      <c r="G48">
        <v>0</v>
      </c>
      <c r="H48" s="141">
        <v>0.09</v>
      </c>
      <c r="I48">
        <f>RANK(0.09,H:H,0)</f>
        <v>63</v>
      </c>
      <c r="J48" s="137">
        <v>0.08</v>
      </c>
      <c r="K48">
        <f>RANK(0.08,J:J,0)</f>
        <v>37</v>
      </c>
      <c r="L48" s="53">
        <f>RANK(15.19,M:M,0)</f>
        <v>46</v>
      </c>
      <c r="M48" s="189">
        <v>14.75</v>
      </c>
      <c r="N48" s="186">
        <f>VLOOKUP(5386,季財報!A:M,8,0)</f>
        <v>2</v>
      </c>
      <c r="O48" s="40"/>
      <c r="P48" s="40"/>
      <c r="Q48" s="40"/>
      <c r="R48" s="40"/>
      <c r="S48" s="40"/>
      <c r="T48" s="40"/>
      <c r="U48" s="40"/>
      <c r="V48" s="40"/>
      <c r="AB48">
        <v>8.1999999999999993</v>
      </c>
      <c r="AC48" s="40">
        <v>270829</v>
      </c>
      <c r="AE48">
        <v>20.27</v>
      </c>
      <c r="AF48" s="40">
        <v>1058540</v>
      </c>
      <c r="AG48">
        <v>26.95</v>
      </c>
      <c r="AH48" s="40">
        <v>1358965</v>
      </c>
      <c r="AI48">
        <v>34.72</v>
      </c>
    </row>
    <row r="49" spans="1:35">
      <c r="A49" s="133">
        <v>4979</v>
      </c>
      <c r="C49">
        <v>175</v>
      </c>
      <c r="D49">
        <v>795</v>
      </c>
      <c r="E49">
        <v>1184</v>
      </c>
      <c r="F49">
        <v>1784</v>
      </c>
      <c r="G49">
        <v>441</v>
      </c>
      <c r="H49" s="141">
        <v>0.09</v>
      </c>
      <c r="I49">
        <f>RANK(0.09,H:H,0)</f>
        <v>63</v>
      </c>
      <c r="J49" s="137">
        <v>0.08</v>
      </c>
      <c r="K49">
        <f>RANK(0.08,J:J,0)</f>
        <v>37</v>
      </c>
      <c r="L49" s="53">
        <f>RANK(15.19,M:M,0)</f>
        <v>46</v>
      </c>
      <c r="M49" s="189">
        <v>13.94</v>
      </c>
      <c r="N49" s="186">
        <f>VLOOKUP(4979,季財報!A:M,8,0)</f>
        <v>3</v>
      </c>
      <c r="O49" s="40"/>
      <c r="P49" s="40"/>
      <c r="Q49" s="40"/>
      <c r="R49" s="40"/>
      <c r="S49" s="40"/>
      <c r="T49" s="40"/>
      <c r="U49" s="40"/>
      <c r="V49" s="40"/>
      <c r="AB49">
        <v>18.059999999999999</v>
      </c>
      <c r="AC49" s="40">
        <v>386402</v>
      </c>
      <c r="AE49">
        <v>28.93</v>
      </c>
      <c r="AF49" s="40">
        <v>1171634</v>
      </c>
      <c r="AG49">
        <v>29.83</v>
      </c>
      <c r="AH49" s="40">
        <v>1469698</v>
      </c>
      <c r="AI49">
        <v>37.549999999999997</v>
      </c>
    </row>
    <row r="50" spans="1:35">
      <c r="A50" s="133">
        <v>3088</v>
      </c>
      <c r="C50">
        <v>147</v>
      </c>
      <c r="D50">
        <v>1156</v>
      </c>
      <c r="E50">
        <v>499</v>
      </c>
      <c r="F50">
        <v>1634</v>
      </c>
      <c r="G50">
        <v>107</v>
      </c>
      <c r="H50" s="141">
        <v>0.09</v>
      </c>
      <c r="I50">
        <f>RANK(0.09,H:H,0)</f>
        <v>63</v>
      </c>
      <c r="J50" s="137">
        <v>0.08</v>
      </c>
      <c r="K50">
        <f>RANK(0.08,J:J,0)</f>
        <v>37</v>
      </c>
      <c r="L50" s="53">
        <f>RANK(15.19,M:M,0)</f>
        <v>46</v>
      </c>
      <c r="M50" s="189">
        <v>14.2</v>
      </c>
      <c r="N50" s="186">
        <f>VLOOKUP(3088,季財報!A:M,8,0)</f>
        <v>4</v>
      </c>
      <c r="O50" s="40"/>
      <c r="P50" s="40"/>
      <c r="Q50" s="40"/>
      <c r="R50" s="40"/>
      <c r="S50" s="40"/>
      <c r="T50" s="40"/>
      <c r="U50" s="40"/>
      <c r="V50" s="40"/>
      <c r="AB50">
        <v>24.21</v>
      </c>
      <c r="AC50" s="40">
        <v>428054</v>
      </c>
      <c r="AE50">
        <v>32.04</v>
      </c>
      <c r="AF50" s="40">
        <v>1352049</v>
      </c>
      <c r="AG50">
        <v>34.42</v>
      </c>
      <c r="AH50" s="40">
        <v>1612989</v>
      </c>
      <c r="AI50">
        <v>41.21</v>
      </c>
    </row>
    <row r="51" spans="1:35">
      <c r="A51" s="133">
        <v>1227</v>
      </c>
      <c r="C51">
        <v>999</v>
      </c>
      <c r="D51">
        <v>6520</v>
      </c>
      <c r="E51">
        <v>3771</v>
      </c>
      <c r="F51">
        <v>13087</v>
      </c>
      <c r="G51">
        <v>1323</v>
      </c>
      <c r="H51" s="141">
        <v>0.1</v>
      </c>
      <c r="I51">
        <f>RANK(0.1,H:H,0)</f>
        <v>46</v>
      </c>
      <c r="J51" s="137">
        <v>7.0000000000000007E-2</v>
      </c>
      <c r="K51">
        <f>RANK(0.07,J:J,0)</f>
        <v>57</v>
      </c>
      <c r="L51" s="53">
        <f>RANK(14.75,M:M,0)</f>
        <v>50</v>
      </c>
      <c r="M51" s="189">
        <v>12.98</v>
      </c>
      <c r="N51" s="186">
        <f>VLOOKUP(1227,季財報!A:M,8,0)</f>
        <v>4</v>
      </c>
      <c r="O51" s="40"/>
      <c r="P51" s="40"/>
      <c r="Q51" s="40"/>
      <c r="R51" s="40"/>
      <c r="S51" s="40"/>
      <c r="T51" s="40"/>
      <c r="U51" s="40"/>
      <c r="V51" s="40"/>
      <c r="AB51">
        <v>0.54</v>
      </c>
      <c r="AC51" s="40">
        <v>10486</v>
      </c>
      <c r="AE51">
        <v>0.78</v>
      </c>
      <c r="AF51" s="40">
        <v>31091</v>
      </c>
      <c r="AG51">
        <v>0.79</v>
      </c>
      <c r="AH51" s="40">
        <v>77489</v>
      </c>
      <c r="AI51">
        <v>1.98</v>
      </c>
    </row>
    <row r="52" spans="1:35">
      <c r="A52" s="133">
        <v>1541</v>
      </c>
      <c r="C52">
        <v>109</v>
      </c>
      <c r="D52">
        <v>549</v>
      </c>
      <c r="E52">
        <v>500</v>
      </c>
      <c r="F52">
        <v>1134</v>
      </c>
      <c r="G52">
        <v>469</v>
      </c>
      <c r="H52" s="141">
        <v>0.1</v>
      </c>
      <c r="I52">
        <f>RANK(0.1,H:H,0)</f>
        <v>46</v>
      </c>
      <c r="J52" s="137">
        <v>7.0000000000000007E-2</v>
      </c>
      <c r="K52">
        <f>RANK(0.07,J:J,0)</f>
        <v>57</v>
      </c>
      <c r="L52" s="53">
        <f>RANK(14.75,M:M,0)</f>
        <v>50</v>
      </c>
      <c r="M52" s="189">
        <v>12.98</v>
      </c>
      <c r="N52" s="186">
        <f>VLOOKUP(1541,季財報!A:M,8,0)</f>
        <v>4</v>
      </c>
      <c r="O52" s="40"/>
      <c r="P52" s="40"/>
      <c r="Q52" s="40"/>
      <c r="R52" s="40"/>
      <c r="S52" s="40"/>
      <c r="T52" s="40"/>
      <c r="U52" s="40"/>
      <c r="V52" s="40"/>
      <c r="AB52">
        <v>23.67</v>
      </c>
      <c r="AC52" s="40">
        <v>417568</v>
      </c>
      <c r="AE52">
        <v>31.26</v>
      </c>
      <c r="AF52" s="40">
        <v>1320958</v>
      </c>
      <c r="AG52">
        <v>33.630000000000003</v>
      </c>
      <c r="AH52" s="40">
        <v>1535500</v>
      </c>
      <c r="AI52">
        <v>39.229999999999997</v>
      </c>
    </row>
    <row r="53" spans="1:35">
      <c r="A53" s="133">
        <v>8437</v>
      </c>
      <c r="C53">
        <v>108</v>
      </c>
      <c r="D53">
        <v>956</v>
      </c>
      <c r="E53">
        <v>138</v>
      </c>
      <c r="F53">
        <v>1493</v>
      </c>
      <c r="G53">
        <v>52</v>
      </c>
      <c r="H53" s="141">
        <v>0.1</v>
      </c>
      <c r="I53">
        <f>RANK(0.1,H:H,0)</f>
        <v>46</v>
      </c>
      <c r="J53" s="137">
        <v>7.0000000000000007E-2</v>
      </c>
      <c r="K53">
        <f>RANK(0.07,J:J,0)</f>
        <v>57</v>
      </c>
      <c r="L53" s="53">
        <f>RANK(14.75,M:M,0)</f>
        <v>50</v>
      </c>
      <c r="M53" s="189">
        <v>12.98</v>
      </c>
      <c r="N53" s="186">
        <f>VLOOKUP(8437,季財報!A:M,8,0)</f>
        <v>5</v>
      </c>
      <c r="O53" s="40"/>
      <c r="P53" s="40"/>
      <c r="Q53" s="40"/>
      <c r="R53" s="40"/>
      <c r="S53" s="40"/>
      <c r="T53" s="40"/>
      <c r="U53" s="40"/>
      <c r="V53" s="40"/>
      <c r="AB53">
        <v>23.67</v>
      </c>
      <c r="AC53" s="40">
        <v>417568</v>
      </c>
      <c r="AE53">
        <v>31.26</v>
      </c>
      <c r="AF53" s="40">
        <v>1320958</v>
      </c>
      <c r="AG53">
        <v>33.630000000000003</v>
      </c>
      <c r="AH53" s="40">
        <v>1535500</v>
      </c>
      <c r="AI53">
        <v>39.229999999999997</v>
      </c>
    </row>
    <row r="54" spans="1:35">
      <c r="A54" s="133">
        <v>9914</v>
      </c>
      <c r="C54">
        <v>837</v>
      </c>
      <c r="D54">
        <v>3615</v>
      </c>
      <c r="E54">
        <v>2883</v>
      </c>
      <c r="F54">
        <v>13006</v>
      </c>
      <c r="G54">
        <v>1316</v>
      </c>
      <c r="H54" s="141">
        <v>0.13</v>
      </c>
      <c r="I54">
        <f>RANK(0.13,H:H,0)</f>
        <v>23</v>
      </c>
      <c r="J54" s="137">
        <v>0.06</v>
      </c>
      <c r="K54">
        <f>RANK(0.06,J:J,0)</f>
        <v>84</v>
      </c>
      <c r="L54" s="53">
        <f>RANK(14.2,M:M,0)</f>
        <v>53</v>
      </c>
      <c r="M54" s="189">
        <v>12.98</v>
      </c>
      <c r="N54" s="186">
        <f>VLOOKUP(9914,季財報!A:M,8,0)</f>
        <v>4</v>
      </c>
      <c r="O54" s="40"/>
      <c r="P54" s="40"/>
      <c r="Q54" s="40"/>
      <c r="R54" s="40"/>
      <c r="S54" s="40"/>
      <c r="T54" s="40"/>
      <c r="U54" s="40"/>
      <c r="V54" s="40"/>
      <c r="AC54" s="40"/>
      <c r="AF54" s="40"/>
      <c r="AH54" s="40"/>
    </row>
    <row r="55" spans="1:35">
      <c r="A55" s="133">
        <v>9946</v>
      </c>
      <c r="C55">
        <v>605</v>
      </c>
      <c r="D55">
        <v>4401</v>
      </c>
      <c r="E55">
        <v>136</v>
      </c>
      <c r="F55">
        <v>4353</v>
      </c>
      <c r="G55">
        <v>5065</v>
      </c>
      <c r="H55" s="141">
        <v>0.13</v>
      </c>
      <c r="I55">
        <f>RANK(0.13,H:H,0)</f>
        <v>23</v>
      </c>
      <c r="J55" s="137">
        <v>0.06</v>
      </c>
      <c r="K55">
        <f>RANK(0.06,J:J,0)</f>
        <v>84</v>
      </c>
      <c r="L55" s="53">
        <f>RANK(14.2,M:M,0)</f>
        <v>53</v>
      </c>
      <c r="M55" s="189">
        <v>12.66</v>
      </c>
      <c r="N55" s="186">
        <f>VLOOKUP(9946,季財報!A:M,8,0)</f>
        <v>5</v>
      </c>
      <c r="O55" s="40"/>
      <c r="P55" s="40"/>
      <c r="Q55" s="40"/>
      <c r="R55" s="40"/>
      <c r="S55" s="40"/>
      <c r="T55" s="40"/>
      <c r="U55" s="40"/>
      <c r="V55" s="40"/>
      <c r="AB55">
        <v>5.14</v>
      </c>
      <c r="AC55" s="40">
        <v>33220</v>
      </c>
      <c r="AE55">
        <v>2.4900000000000002</v>
      </c>
      <c r="AF55" s="40">
        <v>34398</v>
      </c>
      <c r="AG55">
        <v>0.88</v>
      </c>
      <c r="AH55" s="40">
        <v>10642</v>
      </c>
      <c r="AI55">
        <v>0.27</v>
      </c>
    </row>
    <row r="56" spans="1:35">
      <c r="A56" s="133">
        <v>8114</v>
      </c>
      <c r="C56">
        <v>195</v>
      </c>
      <c r="D56">
        <v>1122</v>
      </c>
      <c r="E56">
        <v>1180</v>
      </c>
      <c r="F56">
        <v>1688</v>
      </c>
      <c r="G56">
        <v>500</v>
      </c>
      <c r="H56" s="141">
        <v>0.08</v>
      </c>
      <c r="I56">
        <f t="shared" ref="I56:I63" si="0">RANK(0.08,H:H,0)</f>
        <v>80</v>
      </c>
      <c r="J56" s="137">
        <v>0.09</v>
      </c>
      <c r="K56">
        <f>RANK(0.09,J:J,0)</f>
        <v>29</v>
      </c>
      <c r="L56" s="53">
        <f>RANK(13.94,M:M,0)</f>
        <v>55</v>
      </c>
      <c r="M56" s="189">
        <v>12.66</v>
      </c>
      <c r="N56" s="186">
        <f>VLOOKUP(8114,季財報!A:M,8,0)</f>
        <v>4</v>
      </c>
      <c r="O56" s="40"/>
      <c r="P56" s="40"/>
      <c r="Q56" s="40"/>
      <c r="R56" s="40"/>
      <c r="S56" s="40"/>
      <c r="T56" s="40"/>
      <c r="U56" s="40"/>
      <c r="V56" s="40"/>
      <c r="AB56">
        <v>-72.680000000000007</v>
      </c>
      <c r="AC56" s="40">
        <v>-225052</v>
      </c>
      <c r="AE56">
        <v>-16.850000000000001</v>
      </c>
      <c r="AF56" s="40">
        <v>-700117</v>
      </c>
      <c r="AG56">
        <v>-17.82</v>
      </c>
      <c r="AH56" s="40">
        <v>-81755</v>
      </c>
      <c r="AI56">
        <v>-2.09</v>
      </c>
    </row>
    <row r="57" spans="1:35">
      <c r="A57" s="133">
        <v>6414</v>
      </c>
      <c r="C57">
        <v>298</v>
      </c>
      <c r="D57">
        <v>2940</v>
      </c>
      <c r="E57">
        <v>596</v>
      </c>
      <c r="F57">
        <v>3890</v>
      </c>
      <c r="G57">
        <v>0</v>
      </c>
      <c r="H57" s="141">
        <v>0.08</v>
      </c>
      <c r="I57">
        <f t="shared" si="0"/>
        <v>80</v>
      </c>
      <c r="J57" s="137">
        <v>0.08</v>
      </c>
      <c r="K57">
        <f t="shared" ref="K57:K63" si="1">RANK(0.08,J:J,0)</f>
        <v>37</v>
      </c>
      <c r="L57" s="53">
        <f t="shared" ref="L57:L63" si="2">RANK(12.98,M:M,0)</f>
        <v>56</v>
      </c>
      <c r="M57" s="189">
        <v>11.17</v>
      </c>
      <c r="N57" s="186">
        <f>VLOOKUP(6414,季財報!A:M,8,0)</f>
        <v>3</v>
      </c>
      <c r="O57" s="40"/>
      <c r="P57" s="40"/>
      <c r="Q57" s="40"/>
      <c r="R57" s="40"/>
      <c r="S57" s="40"/>
      <c r="T57" s="40"/>
      <c r="U57" s="40"/>
      <c r="V57" s="40"/>
      <c r="AB57">
        <v>-103.36</v>
      </c>
      <c r="AC57" s="40">
        <v>-707416</v>
      </c>
      <c r="AE57">
        <v>-52.96</v>
      </c>
      <c r="AF57" s="40">
        <v>-1186399</v>
      </c>
      <c r="AG57">
        <v>-30.2</v>
      </c>
      <c r="AH57" s="40">
        <v>-571899</v>
      </c>
      <c r="AI57">
        <v>-14.61</v>
      </c>
    </row>
    <row r="58" spans="1:35">
      <c r="A58" s="133">
        <v>6146</v>
      </c>
      <c r="C58">
        <v>256</v>
      </c>
      <c r="D58">
        <v>1136</v>
      </c>
      <c r="E58">
        <v>2012</v>
      </c>
      <c r="F58">
        <v>3034</v>
      </c>
      <c r="G58">
        <v>0</v>
      </c>
      <c r="H58" s="141">
        <v>0.08</v>
      </c>
      <c r="I58">
        <f t="shared" si="0"/>
        <v>80</v>
      </c>
      <c r="J58" s="137">
        <v>0.08</v>
      </c>
      <c r="K58">
        <f t="shared" si="1"/>
        <v>37</v>
      </c>
      <c r="L58" s="53">
        <f t="shared" si="2"/>
        <v>56</v>
      </c>
      <c r="M58" s="189">
        <v>11.09</v>
      </c>
      <c r="N58" s="186">
        <f>VLOOKUP(6146,季財報!A:M,8,0)</f>
        <v>2</v>
      </c>
      <c r="O58" s="40"/>
      <c r="P58" s="40"/>
      <c r="Q58" s="40"/>
      <c r="R58" s="40"/>
      <c r="S58" s="40"/>
      <c r="T58" s="40"/>
      <c r="U58" s="40"/>
      <c r="V58" s="40"/>
      <c r="AB58">
        <v>0</v>
      </c>
      <c r="AC58" s="40">
        <v>0</v>
      </c>
      <c r="AE58">
        <v>0</v>
      </c>
      <c r="AF58" s="40">
        <v>0</v>
      </c>
      <c r="AG58">
        <v>0</v>
      </c>
      <c r="AH58" s="40">
        <v>0</v>
      </c>
      <c r="AI58">
        <v>0</v>
      </c>
    </row>
    <row r="59" spans="1:35">
      <c r="A59" s="133">
        <v>1537</v>
      </c>
      <c r="C59">
        <v>267</v>
      </c>
      <c r="D59">
        <v>2117</v>
      </c>
      <c r="E59">
        <v>1124</v>
      </c>
      <c r="F59">
        <v>3229</v>
      </c>
      <c r="G59">
        <v>265</v>
      </c>
      <c r="H59" s="141">
        <v>0.08</v>
      </c>
      <c r="I59">
        <f t="shared" si="0"/>
        <v>80</v>
      </c>
      <c r="J59" s="137">
        <v>0.08</v>
      </c>
      <c r="K59">
        <f t="shared" si="1"/>
        <v>37</v>
      </c>
      <c r="L59" s="53">
        <f t="shared" si="2"/>
        <v>56</v>
      </c>
      <c r="M59" s="189">
        <v>11.09</v>
      </c>
      <c r="N59" s="186">
        <f>VLOOKUP(1537,季財報!A:M,8,0)</f>
        <v>4</v>
      </c>
      <c r="O59" s="40"/>
      <c r="P59" s="40"/>
      <c r="Q59" s="40"/>
      <c r="R59" s="40"/>
      <c r="S59" s="40"/>
      <c r="T59" s="40"/>
      <c r="U59" s="40"/>
      <c r="V59" s="40"/>
      <c r="AB59">
        <v>-170.9</v>
      </c>
      <c r="AC59" s="40">
        <v>-899248</v>
      </c>
      <c r="AE59">
        <v>-67.319999999999993</v>
      </c>
      <c r="AF59" s="40">
        <v>-1852118</v>
      </c>
      <c r="AG59">
        <v>-47.15</v>
      </c>
      <c r="AH59" s="40">
        <v>-643012</v>
      </c>
      <c r="AI59">
        <v>-16.43</v>
      </c>
    </row>
    <row r="60" spans="1:35">
      <c r="A60" s="133">
        <v>3152</v>
      </c>
      <c r="C60">
        <v>242</v>
      </c>
      <c r="D60">
        <v>2022</v>
      </c>
      <c r="E60">
        <v>859</v>
      </c>
      <c r="F60">
        <v>2886</v>
      </c>
      <c r="G60">
        <v>0</v>
      </c>
      <c r="H60" s="141">
        <v>0.08</v>
      </c>
      <c r="I60">
        <f t="shared" si="0"/>
        <v>80</v>
      </c>
      <c r="J60" s="137">
        <v>0.08</v>
      </c>
      <c r="K60">
        <f t="shared" si="1"/>
        <v>37</v>
      </c>
      <c r="L60" s="53">
        <f t="shared" si="2"/>
        <v>56</v>
      </c>
      <c r="M60" s="189">
        <v>11.09</v>
      </c>
      <c r="N60" s="186">
        <f>VLOOKUP(3152,季財報!A:M,8,0)</f>
        <v>5</v>
      </c>
      <c r="O60" s="40"/>
      <c r="P60" s="40"/>
      <c r="Q60" s="40"/>
      <c r="R60" s="40"/>
      <c r="S60" s="40"/>
      <c r="T60" s="40"/>
      <c r="U60" s="40"/>
      <c r="V60" s="40"/>
      <c r="AB60">
        <v>-147.22999999999999</v>
      </c>
      <c r="AC60" s="40">
        <v>-481680</v>
      </c>
      <c r="AE60">
        <v>-36.06</v>
      </c>
      <c r="AF60" s="40">
        <v>-531160</v>
      </c>
      <c r="AG60">
        <v>-13.52</v>
      </c>
      <c r="AH60" s="40">
        <v>892488</v>
      </c>
      <c r="AI60">
        <v>22.8</v>
      </c>
    </row>
    <row r="61" spans="1:35">
      <c r="A61" s="133">
        <v>8048</v>
      </c>
      <c r="C61">
        <v>64</v>
      </c>
      <c r="D61">
        <v>610</v>
      </c>
      <c r="E61">
        <v>179</v>
      </c>
      <c r="F61">
        <v>783</v>
      </c>
      <c r="G61">
        <v>0</v>
      </c>
      <c r="H61" s="141">
        <v>0.08</v>
      </c>
      <c r="I61">
        <f t="shared" si="0"/>
        <v>80</v>
      </c>
      <c r="J61" s="137">
        <v>0.08</v>
      </c>
      <c r="K61">
        <f t="shared" si="1"/>
        <v>37</v>
      </c>
      <c r="L61" s="53">
        <f t="shared" si="2"/>
        <v>56</v>
      </c>
      <c r="M61" s="189">
        <v>11.09</v>
      </c>
      <c r="N61" s="186">
        <f>VLOOKUP(8048,季財報!A:M,8,0)</f>
        <v>5</v>
      </c>
      <c r="O61" s="40"/>
      <c r="P61" s="40"/>
      <c r="Q61" s="40"/>
      <c r="R61" s="40"/>
      <c r="S61" s="40"/>
      <c r="T61" s="40"/>
      <c r="U61" s="40"/>
      <c r="V61" s="40"/>
      <c r="AB61">
        <v>23.96</v>
      </c>
      <c r="AC61" s="40">
        <v>429926</v>
      </c>
      <c r="AE61">
        <v>32.18</v>
      </c>
      <c r="AF61" s="40">
        <v>1323690</v>
      </c>
      <c r="AG61">
        <v>33.700000000000003</v>
      </c>
      <c r="AH61" s="40">
        <v>1559458</v>
      </c>
      <c r="AI61">
        <v>39.85</v>
      </c>
    </row>
    <row r="62" spans="1:35">
      <c r="A62" s="133">
        <v>6114</v>
      </c>
      <c r="C62">
        <v>71</v>
      </c>
      <c r="D62">
        <v>400</v>
      </c>
      <c r="E62">
        <v>448</v>
      </c>
      <c r="F62">
        <v>723</v>
      </c>
      <c r="G62">
        <v>212</v>
      </c>
      <c r="H62" s="141">
        <v>0.08</v>
      </c>
      <c r="I62">
        <f t="shared" si="0"/>
        <v>80</v>
      </c>
      <c r="J62" s="137">
        <v>0.08</v>
      </c>
      <c r="K62">
        <f t="shared" si="1"/>
        <v>37</v>
      </c>
      <c r="L62" s="53">
        <f t="shared" si="2"/>
        <v>56</v>
      </c>
      <c r="M62" s="189">
        <v>11.09</v>
      </c>
      <c r="N62" s="186">
        <f>VLOOKUP(6114,季財報!A:M,8,0)</f>
        <v>2</v>
      </c>
      <c r="O62" s="40"/>
      <c r="P62" s="40"/>
      <c r="Q62" s="40"/>
      <c r="R62" s="40"/>
      <c r="S62" s="40"/>
      <c r="T62" s="40"/>
      <c r="U62" s="40"/>
      <c r="V62" s="40"/>
      <c r="AB62">
        <v>-0.28999999999999998</v>
      </c>
      <c r="AC62" s="40">
        <v>-12358</v>
      </c>
      <c r="AE62">
        <v>-0.93</v>
      </c>
      <c r="AF62" s="40">
        <v>-2732</v>
      </c>
      <c r="AG62">
        <v>-7.0000000000000007E-2</v>
      </c>
      <c r="AH62" s="40">
        <v>-23958</v>
      </c>
      <c r="AI62">
        <v>-0.61</v>
      </c>
    </row>
    <row r="63" spans="1:35">
      <c r="A63" s="133">
        <v>5245</v>
      </c>
      <c r="C63">
        <v>51</v>
      </c>
      <c r="D63">
        <v>378</v>
      </c>
      <c r="E63">
        <v>231</v>
      </c>
      <c r="F63">
        <v>661</v>
      </c>
      <c r="G63">
        <v>11</v>
      </c>
      <c r="H63" s="141">
        <v>0.08</v>
      </c>
      <c r="I63">
        <f t="shared" si="0"/>
        <v>80</v>
      </c>
      <c r="J63" s="137">
        <v>0.08</v>
      </c>
      <c r="K63">
        <f t="shared" si="1"/>
        <v>37</v>
      </c>
      <c r="L63" s="53">
        <f t="shared" si="2"/>
        <v>56</v>
      </c>
      <c r="M63" s="189">
        <v>11.09</v>
      </c>
      <c r="N63" s="186">
        <f>VLOOKUP(5245,季財報!A:M,8,0)</f>
        <v>6</v>
      </c>
      <c r="P63" s="40"/>
      <c r="AB63">
        <v>-147.11000000000001</v>
      </c>
      <c r="AC63" s="40">
        <v>-471011</v>
      </c>
      <c r="AE63">
        <v>-35.26</v>
      </c>
      <c r="AF63" s="40">
        <v>-529420</v>
      </c>
      <c r="AG63">
        <v>-13.48</v>
      </c>
      <c r="AH63" s="40">
        <v>916418</v>
      </c>
      <c r="AI63">
        <v>23.42</v>
      </c>
    </row>
    <row r="64" spans="1:35">
      <c r="A64" s="133">
        <v>1477</v>
      </c>
      <c r="C64">
        <v>717</v>
      </c>
      <c r="D64">
        <v>3535</v>
      </c>
      <c r="E64">
        <v>4586</v>
      </c>
      <c r="F64">
        <v>8649</v>
      </c>
      <c r="G64">
        <v>1394</v>
      </c>
      <c r="H64" s="141">
        <v>0.09</v>
      </c>
      <c r="I64">
        <f>RANK(0.09,H:H,0)</f>
        <v>63</v>
      </c>
      <c r="J64" s="137">
        <v>7.0000000000000007E-2</v>
      </c>
      <c r="K64">
        <f>RANK(0.07,J:J,0)</f>
        <v>57</v>
      </c>
      <c r="L64" s="53">
        <f>RANK(12.66,M:M,0)</f>
        <v>63</v>
      </c>
      <c r="M64" s="189">
        <v>10.55</v>
      </c>
      <c r="N64" s="186">
        <f>VLOOKUP(1477,季財報!A:M,8,0)</f>
        <v>4</v>
      </c>
      <c r="P64" s="40"/>
      <c r="AB64">
        <v>-0.12</v>
      </c>
      <c r="AC64" s="40">
        <v>-10669</v>
      </c>
      <c r="AE64">
        <v>-0.8</v>
      </c>
      <c r="AF64" s="40">
        <v>-1740</v>
      </c>
      <c r="AG64">
        <v>-0.04</v>
      </c>
      <c r="AH64" s="40">
        <v>-23930</v>
      </c>
      <c r="AI64">
        <v>-0.61</v>
      </c>
    </row>
    <row r="65" spans="1:34">
      <c r="A65" s="133">
        <v>2707</v>
      </c>
      <c r="C65">
        <v>301</v>
      </c>
      <c r="D65">
        <v>0</v>
      </c>
      <c r="E65">
        <v>3225</v>
      </c>
      <c r="F65">
        <v>3540</v>
      </c>
      <c r="G65">
        <v>542</v>
      </c>
      <c r="H65" s="141">
        <v>0.09</v>
      </c>
      <c r="I65">
        <f>RANK(0.09,H:H,0)</f>
        <v>63</v>
      </c>
      <c r="J65" s="137">
        <v>7.0000000000000007E-2</v>
      </c>
      <c r="K65">
        <f>RANK(0.07,J:J,0)</f>
        <v>57</v>
      </c>
      <c r="L65" s="53">
        <f>RANK(12.66,M:M,0)</f>
        <v>63</v>
      </c>
      <c r="M65" s="189">
        <v>10.55</v>
      </c>
      <c r="N65" s="186">
        <f>VLOOKUP(2707,季財報!A:M,8,0)</f>
        <v>1</v>
      </c>
      <c r="P65" s="40"/>
      <c r="AC65" s="40"/>
      <c r="AF65" s="40"/>
      <c r="AH65" s="40"/>
    </row>
    <row r="66" spans="1:34">
      <c r="A66" s="133">
        <v>8341</v>
      </c>
      <c r="C66">
        <v>153</v>
      </c>
      <c r="D66">
        <v>372</v>
      </c>
      <c r="E66">
        <v>1345</v>
      </c>
      <c r="F66">
        <v>2100</v>
      </c>
      <c r="G66">
        <v>108</v>
      </c>
      <c r="H66" s="141">
        <v>0.09</v>
      </c>
      <c r="I66">
        <f>RANK(0.09,H:H,0)</f>
        <v>63</v>
      </c>
      <c r="J66" s="137">
        <v>7.0000000000000007E-2</v>
      </c>
      <c r="K66">
        <f>RANK(0.07,J:J,0)</f>
        <v>57</v>
      </c>
      <c r="L66" s="53">
        <f>RANK(12.66,M:M,0)</f>
        <v>63</v>
      </c>
      <c r="M66" s="189">
        <v>10.33</v>
      </c>
      <c r="N66" s="186">
        <f>VLOOKUP(8341,季財報!A:M,8,0)</f>
        <v>4</v>
      </c>
      <c r="P66" s="40"/>
      <c r="AC66" s="40">
        <v>0.48</v>
      </c>
      <c r="AF66" s="40">
        <v>1.49</v>
      </c>
      <c r="AH66" s="40">
        <v>1.76</v>
      </c>
    </row>
    <row r="67" spans="1:34">
      <c r="A67" s="133">
        <v>3131</v>
      </c>
      <c r="C67">
        <v>124</v>
      </c>
      <c r="D67">
        <v>923</v>
      </c>
      <c r="E67">
        <v>433</v>
      </c>
      <c r="F67">
        <v>1527</v>
      </c>
      <c r="G67">
        <v>145</v>
      </c>
      <c r="H67" s="141">
        <v>0.09</v>
      </c>
      <c r="I67">
        <f>RANK(0.09,H:H,0)</f>
        <v>63</v>
      </c>
      <c r="J67" s="137">
        <v>7.0000000000000007E-2</v>
      </c>
      <c r="K67">
        <f>RANK(0.07,J:J,0)</f>
        <v>57</v>
      </c>
      <c r="L67" s="53">
        <f>RANK(12.66,M:M,0)</f>
        <v>63</v>
      </c>
      <c r="M67" s="189">
        <v>9.8000000000000007</v>
      </c>
      <c r="N67" s="186">
        <f>VLOOKUP(3131,季財報!A:M,8,0)</f>
        <v>1</v>
      </c>
      <c r="P67" s="40"/>
      <c r="AC67" s="40">
        <v>0.48</v>
      </c>
      <c r="AF67" s="40">
        <v>1.49</v>
      </c>
      <c r="AH67" s="40">
        <v>1.76</v>
      </c>
    </row>
    <row r="68" spans="1:34">
      <c r="A68" s="133">
        <v>5388</v>
      </c>
      <c r="C68">
        <v>647</v>
      </c>
      <c r="D68">
        <v>2561</v>
      </c>
      <c r="E68">
        <v>3474</v>
      </c>
      <c r="F68">
        <v>6699</v>
      </c>
      <c r="G68">
        <v>3374</v>
      </c>
      <c r="H68" s="141">
        <v>0.11</v>
      </c>
      <c r="I68">
        <f>RANK(0.11,H:H,0)</f>
        <v>38</v>
      </c>
      <c r="J68" s="137">
        <v>0.06</v>
      </c>
      <c r="K68">
        <f>RANK(0.06,J:J,0)</f>
        <v>84</v>
      </c>
      <c r="L68" s="53">
        <f>RANK(12.45,M:M,0)</f>
        <v>67</v>
      </c>
      <c r="M68" s="189">
        <v>9.26</v>
      </c>
      <c r="N68" s="186">
        <f>VLOOKUP(5388,季財報!A:M,8,0)</f>
        <v>5</v>
      </c>
      <c r="P68" s="40"/>
      <c r="AC68" s="40"/>
      <c r="AF68" s="40"/>
      <c r="AH68" s="40"/>
    </row>
    <row r="69" spans="1:34">
      <c r="A69" s="133">
        <v>9951</v>
      </c>
      <c r="C69">
        <v>182</v>
      </c>
      <c r="D69">
        <v>1131</v>
      </c>
      <c r="E69">
        <v>1427</v>
      </c>
      <c r="F69">
        <v>1904</v>
      </c>
      <c r="G69">
        <v>56</v>
      </c>
      <c r="H69" s="141">
        <v>7.0000000000000007E-2</v>
      </c>
      <c r="I69">
        <f>RANK(0.07,H:H,0)</f>
        <v>107</v>
      </c>
      <c r="J69" s="137">
        <v>0.09</v>
      </c>
      <c r="K69">
        <f>RANK(0.09,J:J,0)</f>
        <v>29</v>
      </c>
      <c r="L69" s="53">
        <f>RANK(11.17,M:M,0)</f>
        <v>68</v>
      </c>
      <c r="M69" s="189">
        <v>9.26</v>
      </c>
      <c r="N69" s="186">
        <f>VLOOKUP(9951,季財報!A:M,8,0)</f>
        <v>3</v>
      </c>
      <c r="P69" s="40"/>
      <c r="AC69" s="40">
        <v>0.48</v>
      </c>
      <c r="AF69" s="40">
        <v>1.49</v>
      </c>
      <c r="AH69" s="40">
        <v>1.75</v>
      </c>
    </row>
    <row r="70" spans="1:34">
      <c r="A70" s="133">
        <v>1258</v>
      </c>
      <c r="C70">
        <v>67</v>
      </c>
      <c r="D70">
        <v>659</v>
      </c>
      <c r="E70">
        <v>293</v>
      </c>
      <c r="F70">
        <v>692</v>
      </c>
      <c r="G70">
        <v>55</v>
      </c>
      <c r="H70" s="141">
        <v>7.0000000000000007E-2</v>
      </c>
      <c r="I70">
        <f>RANK(0.07,H:H,0)</f>
        <v>107</v>
      </c>
      <c r="J70" s="137">
        <v>0.09</v>
      </c>
      <c r="K70">
        <f>RANK(0.09,J:J,0)</f>
        <v>29</v>
      </c>
      <c r="L70" s="53">
        <f>RANK(11.17,M:M,0)</f>
        <v>68</v>
      </c>
      <c r="M70" s="189">
        <v>9.26</v>
      </c>
      <c r="N70" s="186">
        <f>VLOOKUP(1258,季財報!A:M,8,0)</f>
        <v>6</v>
      </c>
      <c r="P70" s="40"/>
      <c r="AC70" s="40">
        <v>0.48</v>
      </c>
      <c r="AF70" s="40">
        <v>1.49</v>
      </c>
      <c r="AH70" s="40">
        <v>1.75</v>
      </c>
    </row>
    <row r="71" spans="1:34">
      <c r="A71" s="133">
        <v>8916</v>
      </c>
      <c r="C71">
        <v>304</v>
      </c>
      <c r="D71">
        <v>2306</v>
      </c>
      <c r="E71">
        <v>1287</v>
      </c>
      <c r="F71">
        <v>3266</v>
      </c>
      <c r="G71">
        <v>1362</v>
      </c>
      <c r="H71" s="141">
        <v>0.08</v>
      </c>
      <c r="I71">
        <f t="shared" ref="I71:I76" si="3">RANK(0.08,H:H,0)</f>
        <v>80</v>
      </c>
      <c r="J71" s="137">
        <v>7.0000000000000007E-2</v>
      </c>
      <c r="K71">
        <f t="shared" ref="K71:K76" si="4">RANK(0.07,J:J,0)</f>
        <v>57</v>
      </c>
      <c r="L71" s="53">
        <f t="shared" ref="L71:L76" si="5">RANK(11.09,M:M,0)</f>
        <v>70</v>
      </c>
      <c r="M71" s="189">
        <v>9.26</v>
      </c>
      <c r="N71" s="186">
        <f>VLOOKUP(8916,季財報!A:M,8,0)</f>
        <v>5</v>
      </c>
      <c r="P71" s="40"/>
      <c r="AC71" s="40"/>
      <c r="AF71" s="40"/>
      <c r="AH71" s="40"/>
    </row>
    <row r="72" spans="1:34">
      <c r="A72" s="133">
        <v>8044</v>
      </c>
      <c r="C72">
        <v>234</v>
      </c>
      <c r="D72">
        <v>2658</v>
      </c>
      <c r="E72">
        <v>258</v>
      </c>
      <c r="F72">
        <v>3202</v>
      </c>
      <c r="G72">
        <v>0</v>
      </c>
      <c r="H72" s="141">
        <v>0.08</v>
      </c>
      <c r="I72">
        <f t="shared" si="3"/>
        <v>80</v>
      </c>
      <c r="J72" s="137">
        <v>7.0000000000000007E-2</v>
      </c>
      <c r="K72">
        <f t="shared" si="4"/>
        <v>57</v>
      </c>
      <c r="L72" s="53">
        <f t="shared" si="5"/>
        <v>70</v>
      </c>
      <c r="M72" s="189">
        <v>9.26</v>
      </c>
      <c r="N72" s="186">
        <f>VLOOKUP(8044,季財報!A:M,8,0)</f>
        <v>1</v>
      </c>
    </row>
    <row r="73" spans="1:34">
      <c r="A73" s="133">
        <v>4947</v>
      </c>
      <c r="C73">
        <v>191</v>
      </c>
      <c r="D73">
        <v>2113</v>
      </c>
      <c r="E73">
        <v>326</v>
      </c>
      <c r="F73">
        <v>2595</v>
      </c>
      <c r="G73">
        <v>20</v>
      </c>
      <c r="H73" s="141">
        <v>0.08</v>
      </c>
      <c r="I73">
        <f t="shared" si="3"/>
        <v>80</v>
      </c>
      <c r="J73" s="137">
        <v>7.0000000000000007E-2</v>
      </c>
      <c r="K73">
        <f t="shared" si="4"/>
        <v>57</v>
      </c>
      <c r="L73" s="53">
        <f t="shared" si="5"/>
        <v>70</v>
      </c>
      <c r="M73" s="189">
        <v>9.26</v>
      </c>
      <c r="N73" s="186">
        <f>VLOOKUP(4947,季財報!A:M,8,0)</f>
        <v>4</v>
      </c>
    </row>
    <row r="74" spans="1:34">
      <c r="A74" s="133">
        <v>1232</v>
      </c>
      <c r="C74">
        <v>266</v>
      </c>
      <c r="D74">
        <v>2751</v>
      </c>
      <c r="E74">
        <v>564</v>
      </c>
      <c r="F74">
        <v>3471</v>
      </c>
      <c r="G74">
        <v>172</v>
      </c>
      <c r="H74" s="141">
        <v>0.08</v>
      </c>
      <c r="I74">
        <f t="shared" si="3"/>
        <v>80</v>
      </c>
      <c r="J74" s="137">
        <v>7.0000000000000007E-2</v>
      </c>
      <c r="K74">
        <f t="shared" si="4"/>
        <v>57</v>
      </c>
      <c r="L74" s="53">
        <f t="shared" si="5"/>
        <v>70</v>
      </c>
      <c r="M74" s="189">
        <v>9.26</v>
      </c>
      <c r="N74" s="186">
        <f>VLOOKUP(1232,季財報!A:M,8,0)</f>
        <v>3</v>
      </c>
    </row>
    <row r="75" spans="1:34">
      <c r="A75" s="133">
        <v>1558</v>
      </c>
      <c r="C75">
        <v>319</v>
      </c>
      <c r="D75">
        <v>2664</v>
      </c>
      <c r="E75">
        <v>1442</v>
      </c>
      <c r="F75">
        <v>4220</v>
      </c>
      <c r="G75">
        <v>430</v>
      </c>
      <c r="H75" s="141">
        <v>0.08</v>
      </c>
      <c r="I75">
        <f t="shared" si="3"/>
        <v>80</v>
      </c>
      <c r="J75" s="137">
        <v>7.0000000000000007E-2</v>
      </c>
      <c r="K75">
        <f t="shared" si="4"/>
        <v>57</v>
      </c>
      <c r="L75" s="53">
        <f t="shared" si="5"/>
        <v>70</v>
      </c>
      <c r="M75" s="189">
        <v>9.26</v>
      </c>
      <c r="N75" s="186">
        <f>VLOOKUP(1558,季財報!A:M,8,0)</f>
        <v>4</v>
      </c>
      <c r="P75" s="40"/>
      <c r="AC75" s="40"/>
      <c r="AF75" s="40"/>
      <c r="AH75" s="40"/>
    </row>
    <row r="76" spans="1:34">
      <c r="A76" s="133">
        <v>2723</v>
      </c>
      <c r="C76">
        <v>525</v>
      </c>
      <c r="D76">
        <v>1377</v>
      </c>
      <c r="E76">
        <v>5476</v>
      </c>
      <c r="F76">
        <v>7527</v>
      </c>
      <c r="G76">
        <v>86</v>
      </c>
      <c r="H76" s="141">
        <v>0.08</v>
      </c>
      <c r="I76">
        <f t="shared" si="3"/>
        <v>80</v>
      </c>
      <c r="J76" s="137">
        <v>7.0000000000000007E-2</v>
      </c>
      <c r="K76">
        <f t="shared" si="4"/>
        <v>57</v>
      </c>
      <c r="L76" s="53">
        <f t="shared" si="5"/>
        <v>70</v>
      </c>
      <c r="M76" s="189">
        <v>8.7799999999999994</v>
      </c>
      <c r="N76" s="186">
        <f>VLOOKUP(2723,季財報!A:M,8,0)</f>
        <v>5</v>
      </c>
      <c r="P76" s="40"/>
      <c r="AC76" s="40"/>
      <c r="AF76" s="40"/>
      <c r="AH76" s="40"/>
    </row>
    <row r="77" spans="1:34">
      <c r="A77" s="133">
        <v>4987</v>
      </c>
      <c r="C77">
        <v>66</v>
      </c>
      <c r="D77">
        <v>550</v>
      </c>
      <c r="E77">
        <v>390</v>
      </c>
      <c r="F77">
        <v>852</v>
      </c>
      <c r="G77">
        <v>24</v>
      </c>
      <c r="H77" s="141">
        <v>7.0000000000000007E-2</v>
      </c>
      <c r="I77">
        <f>RANK(0.07,H:H,0)</f>
        <v>107</v>
      </c>
      <c r="J77" s="137">
        <v>0.08</v>
      </c>
      <c r="K77">
        <f>RANK(0.08,J:J,0)</f>
        <v>37</v>
      </c>
      <c r="L77" s="53">
        <f>RANK(10.55,M:M,0)</f>
        <v>76</v>
      </c>
      <c r="M77" s="189">
        <v>8.7799999999999994</v>
      </c>
      <c r="N77" s="186">
        <f>VLOOKUP(4987,季財報!A:M,8,0)</f>
        <v>2</v>
      </c>
      <c r="P77" s="40"/>
      <c r="AC77" s="40"/>
      <c r="AF77" s="40"/>
      <c r="AH77" s="40"/>
    </row>
    <row r="78" spans="1:34">
      <c r="A78" s="133">
        <v>3030</v>
      </c>
      <c r="C78">
        <v>426</v>
      </c>
      <c r="D78">
        <v>3540</v>
      </c>
      <c r="E78">
        <v>2223</v>
      </c>
      <c r="F78">
        <v>5676</v>
      </c>
      <c r="G78">
        <v>0</v>
      </c>
      <c r="H78" s="141">
        <v>7.0000000000000007E-2</v>
      </c>
      <c r="I78">
        <f>RANK(0.07,H:H,0)</f>
        <v>107</v>
      </c>
      <c r="J78" s="137">
        <v>0.08</v>
      </c>
      <c r="K78">
        <f>RANK(0.08,J:J,0)</f>
        <v>37</v>
      </c>
      <c r="L78" s="53">
        <f>RANK(10.55,M:M,0)</f>
        <v>76</v>
      </c>
      <c r="M78" s="189">
        <v>8.39</v>
      </c>
      <c r="N78" s="186">
        <f>VLOOKUP(3030,季財報!A:M,8,0)</f>
        <v>1</v>
      </c>
      <c r="P78" s="40"/>
      <c r="AC78" s="40"/>
      <c r="AF78" s="40"/>
      <c r="AH78" s="40"/>
    </row>
    <row r="79" spans="1:34">
      <c r="A79" s="133">
        <v>5225</v>
      </c>
      <c r="C79">
        <v>157</v>
      </c>
      <c r="D79">
        <v>499</v>
      </c>
      <c r="E79">
        <v>1201</v>
      </c>
      <c r="F79">
        <v>1691</v>
      </c>
      <c r="G79">
        <v>1019</v>
      </c>
      <c r="H79" s="141">
        <v>0.09</v>
      </c>
      <c r="I79">
        <f>RANK(0.09,H:H,0)</f>
        <v>63</v>
      </c>
      <c r="J79" s="137">
        <v>0.06</v>
      </c>
      <c r="K79">
        <f>RANK(0.06,J:J,0)</f>
        <v>84</v>
      </c>
      <c r="L79" s="53">
        <f>RANK(10.33,M:M,0)</f>
        <v>78</v>
      </c>
      <c r="M79" s="189">
        <v>8.39</v>
      </c>
      <c r="N79" s="186">
        <f>VLOOKUP(5225,季財報!A:M,8,0)</f>
        <v>4</v>
      </c>
      <c r="P79" s="40"/>
      <c r="AC79" s="40"/>
      <c r="AF79" s="40"/>
      <c r="AH79" s="40"/>
    </row>
    <row r="80" spans="1:34">
      <c r="A80" s="133">
        <v>2404</v>
      </c>
      <c r="C80">
        <v>351</v>
      </c>
      <c r="D80">
        <v>3197</v>
      </c>
      <c r="E80">
        <v>581</v>
      </c>
      <c r="F80">
        <v>6059</v>
      </c>
      <c r="G80">
        <v>0</v>
      </c>
      <c r="H80" s="141">
        <v>0.09</v>
      </c>
      <c r="I80">
        <f>RANK(0.09,H:H,0)</f>
        <v>63</v>
      </c>
      <c r="J80" s="137">
        <v>0.06</v>
      </c>
      <c r="K80">
        <f>RANK(0.06,J:J,0)</f>
        <v>84</v>
      </c>
      <c r="L80" s="53">
        <f>RANK(10.33,M:M,0)</f>
        <v>78</v>
      </c>
      <c r="M80" s="189">
        <v>8.39</v>
      </c>
      <c r="N80" s="186">
        <f>VLOOKUP(2404,季財報!A:M,8,0)</f>
        <v>3</v>
      </c>
      <c r="P80" s="40"/>
      <c r="AC80" s="40"/>
      <c r="AF80" s="40"/>
      <c r="AH80" s="40"/>
    </row>
    <row r="81" spans="1:34">
      <c r="A81" s="133">
        <v>6803</v>
      </c>
      <c r="C81">
        <v>246</v>
      </c>
      <c r="D81">
        <v>1709</v>
      </c>
      <c r="E81">
        <v>51</v>
      </c>
      <c r="F81">
        <v>4734</v>
      </c>
      <c r="G81">
        <v>162</v>
      </c>
      <c r="H81" s="141">
        <v>0.14000000000000001</v>
      </c>
      <c r="I81">
        <f>RANK(0.14,H:H,0)</f>
        <v>20</v>
      </c>
      <c r="J81" s="137">
        <v>0.05</v>
      </c>
      <c r="K81">
        <f>RANK(0.05,J:J,0)</f>
        <v>135</v>
      </c>
      <c r="L81" s="53">
        <f>RANK(9.8,M:M,0)</f>
        <v>80</v>
      </c>
      <c r="M81" s="189">
        <v>7.91</v>
      </c>
      <c r="N81" s="186">
        <f>VLOOKUP(6803,季財報!A:M,8,0)</f>
        <v>3</v>
      </c>
      <c r="P81" s="40"/>
      <c r="AC81" s="40"/>
      <c r="AF81" s="40"/>
      <c r="AH81" s="40"/>
    </row>
    <row r="82" spans="1:34">
      <c r="A82" s="133">
        <v>2059</v>
      </c>
      <c r="C82">
        <v>529</v>
      </c>
      <c r="D82">
        <v>6246</v>
      </c>
      <c r="E82">
        <v>1430</v>
      </c>
      <c r="F82">
        <v>7611</v>
      </c>
      <c r="G82">
        <v>0</v>
      </c>
      <c r="H82" s="141">
        <v>7.0000000000000007E-2</v>
      </c>
      <c r="I82">
        <f t="shared" ref="I82:I87" si="6">RANK(0.07,H:H,0)</f>
        <v>107</v>
      </c>
      <c r="J82" s="137">
        <v>7.0000000000000007E-2</v>
      </c>
      <c r="K82">
        <f t="shared" ref="K82:K87" si="7">RANK(0.07,J:J,0)</f>
        <v>57</v>
      </c>
      <c r="L82" s="53">
        <f t="shared" ref="L82:L92" si="8">RANK(9.26,M:M,0)</f>
        <v>81</v>
      </c>
      <c r="M82" s="189">
        <v>7.95</v>
      </c>
      <c r="N82" s="186">
        <f>VLOOKUP(2059,季財報!A:M,8,0)</f>
        <v>4</v>
      </c>
      <c r="P82" s="40"/>
      <c r="AC82" s="40"/>
      <c r="AF82" s="40"/>
      <c r="AH82" s="40"/>
    </row>
    <row r="83" spans="1:34">
      <c r="A83" s="133">
        <v>2066</v>
      </c>
      <c r="C83">
        <v>67</v>
      </c>
      <c r="D83">
        <v>653</v>
      </c>
      <c r="E83">
        <v>306</v>
      </c>
      <c r="F83">
        <v>993</v>
      </c>
      <c r="G83">
        <v>0</v>
      </c>
      <c r="H83" s="141">
        <v>7.0000000000000007E-2</v>
      </c>
      <c r="I83">
        <f t="shared" si="6"/>
        <v>107</v>
      </c>
      <c r="J83" s="137">
        <v>7.0000000000000007E-2</v>
      </c>
      <c r="K83">
        <f t="shared" si="7"/>
        <v>57</v>
      </c>
      <c r="L83" s="53">
        <f t="shared" si="8"/>
        <v>81</v>
      </c>
      <c r="M83" s="189">
        <v>7.95</v>
      </c>
      <c r="N83" s="186">
        <f>VLOOKUP(2066,季財報!A:M,8,0)</f>
        <v>3</v>
      </c>
      <c r="P83" s="40"/>
      <c r="AC83" s="40"/>
      <c r="AF83" s="40"/>
      <c r="AH83" s="40"/>
    </row>
    <row r="84" spans="1:34">
      <c r="A84" s="133">
        <v>2228</v>
      </c>
      <c r="C84">
        <v>212</v>
      </c>
      <c r="D84">
        <v>1853</v>
      </c>
      <c r="E84">
        <v>1257</v>
      </c>
      <c r="F84">
        <v>3037</v>
      </c>
      <c r="G84">
        <v>0</v>
      </c>
      <c r="H84" s="141">
        <v>7.0000000000000007E-2</v>
      </c>
      <c r="I84">
        <f t="shared" si="6"/>
        <v>107</v>
      </c>
      <c r="J84" s="137">
        <v>7.0000000000000007E-2</v>
      </c>
      <c r="K84">
        <f t="shared" si="7"/>
        <v>57</v>
      </c>
      <c r="L84" s="53">
        <f t="shared" si="8"/>
        <v>81</v>
      </c>
      <c r="M84" s="189">
        <v>7.95</v>
      </c>
      <c r="N84" s="186">
        <f>VLOOKUP(2228,季財報!A:M,8,0)</f>
        <v>4</v>
      </c>
      <c r="P84" s="40"/>
      <c r="AC84" s="40"/>
      <c r="AF84" s="40"/>
      <c r="AH84" s="40"/>
    </row>
    <row r="85" spans="1:34">
      <c r="A85" s="133">
        <v>2926</v>
      </c>
      <c r="C85">
        <v>106</v>
      </c>
      <c r="D85">
        <v>411</v>
      </c>
      <c r="E85">
        <v>1034</v>
      </c>
      <c r="F85">
        <v>1454</v>
      </c>
      <c r="G85">
        <v>119</v>
      </c>
      <c r="H85" s="141">
        <v>7.0000000000000007E-2</v>
      </c>
      <c r="I85">
        <f t="shared" si="6"/>
        <v>107</v>
      </c>
      <c r="J85" s="137">
        <v>7.0000000000000007E-2</v>
      </c>
      <c r="K85">
        <f t="shared" si="7"/>
        <v>57</v>
      </c>
      <c r="L85" s="53">
        <f t="shared" si="8"/>
        <v>81</v>
      </c>
      <c r="M85" s="189">
        <v>7.95</v>
      </c>
      <c r="N85" s="186">
        <f>VLOOKUP(2926,季財報!A:M,8,0)</f>
        <v>2</v>
      </c>
      <c r="P85" s="40"/>
      <c r="AC85" s="40"/>
      <c r="AF85" s="40"/>
      <c r="AH85" s="40"/>
    </row>
    <row r="86" spans="1:34">
      <c r="A86" s="133">
        <v>3130</v>
      </c>
      <c r="C86">
        <v>98</v>
      </c>
      <c r="D86">
        <v>1133</v>
      </c>
      <c r="E86">
        <v>190</v>
      </c>
      <c r="F86">
        <v>1368</v>
      </c>
      <c r="G86">
        <v>0</v>
      </c>
      <c r="H86" s="141">
        <v>7.0000000000000007E-2</v>
      </c>
      <c r="I86">
        <f t="shared" si="6"/>
        <v>107</v>
      </c>
      <c r="J86" s="137">
        <v>7.0000000000000007E-2</v>
      </c>
      <c r="K86">
        <f t="shared" si="7"/>
        <v>57</v>
      </c>
      <c r="L86" s="53">
        <f t="shared" si="8"/>
        <v>81</v>
      </c>
      <c r="M86" s="189">
        <v>7.95</v>
      </c>
      <c r="N86" s="186">
        <f>VLOOKUP(3130,季財報!A:M,8,0)</f>
        <v>2</v>
      </c>
      <c r="P86" s="40"/>
      <c r="AC86" s="40"/>
      <c r="AF86" s="40"/>
      <c r="AH86" s="40"/>
    </row>
    <row r="87" spans="1:34">
      <c r="A87" s="133">
        <v>3623</v>
      </c>
      <c r="C87">
        <v>63</v>
      </c>
      <c r="D87">
        <v>712</v>
      </c>
      <c r="E87">
        <v>133</v>
      </c>
      <c r="F87">
        <v>855</v>
      </c>
      <c r="G87">
        <v>0</v>
      </c>
      <c r="H87" s="141">
        <v>7.0000000000000007E-2</v>
      </c>
      <c r="I87">
        <f t="shared" si="6"/>
        <v>107</v>
      </c>
      <c r="J87" s="137">
        <v>7.0000000000000007E-2</v>
      </c>
      <c r="K87">
        <f t="shared" si="7"/>
        <v>57</v>
      </c>
      <c r="L87" s="53">
        <f t="shared" si="8"/>
        <v>81</v>
      </c>
      <c r="M87" s="189">
        <v>7.95</v>
      </c>
      <c r="N87" s="186">
        <f>VLOOKUP(3623,季財報!A:M,8,0)</f>
        <v>3</v>
      </c>
      <c r="P87" s="40"/>
      <c r="AC87" s="40"/>
      <c r="AF87" s="40"/>
      <c r="AH87" s="40"/>
    </row>
    <row r="88" spans="1:34">
      <c r="A88" s="133">
        <v>1817</v>
      </c>
      <c r="C88">
        <v>93</v>
      </c>
      <c r="D88">
        <v>577</v>
      </c>
      <c r="E88">
        <v>589</v>
      </c>
      <c r="F88">
        <v>1420</v>
      </c>
      <c r="G88">
        <v>50</v>
      </c>
      <c r="H88" s="141">
        <v>0.08</v>
      </c>
      <c r="I88">
        <f>RANK(0.08,H:H,0)</f>
        <v>80</v>
      </c>
      <c r="J88" s="137">
        <v>0.06</v>
      </c>
      <c r="K88">
        <f>RANK(0.06,J:J,0)</f>
        <v>84</v>
      </c>
      <c r="L88" s="53">
        <f t="shared" si="8"/>
        <v>81</v>
      </c>
      <c r="M88" s="189">
        <v>7.95</v>
      </c>
      <c r="N88" s="186">
        <f>VLOOKUP(1817,季財報!A:M,8,0)</f>
        <v>3</v>
      </c>
      <c r="P88" s="40"/>
      <c r="AC88" s="40"/>
      <c r="AF88" s="40"/>
      <c r="AH88" s="40"/>
    </row>
    <row r="89" spans="1:34">
      <c r="A89" s="133">
        <v>2420</v>
      </c>
      <c r="C89">
        <v>179</v>
      </c>
      <c r="D89">
        <v>826</v>
      </c>
      <c r="E89">
        <v>1466</v>
      </c>
      <c r="F89">
        <v>2681</v>
      </c>
      <c r="G89">
        <v>408</v>
      </c>
      <c r="H89" s="141">
        <v>0.08</v>
      </c>
      <c r="I89">
        <f>RANK(0.08,H:H,0)</f>
        <v>80</v>
      </c>
      <c r="J89" s="137">
        <v>0.06</v>
      </c>
      <c r="K89">
        <f>RANK(0.06,J:J,0)</f>
        <v>84</v>
      </c>
      <c r="L89" s="53">
        <f t="shared" si="8"/>
        <v>81</v>
      </c>
      <c r="M89" s="189">
        <v>7.95</v>
      </c>
      <c r="N89" s="186">
        <f>VLOOKUP(2420,季財報!A:M,8,0)</f>
        <v>3</v>
      </c>
      <c r="P89" s="40"/>
      <c r="AC89" s="40"/>
      <c r="AF89" s="40"/>
      <c r="AH89" s="40"/>
    </row>
    <row r="90" spans="1:34">
      <c r="A90" s="133">
        <v>6224</v>
      </c>
      <c r="C90">
        <v>131</v>
      </c>
      <c r="D90">
        <v>1127</v>
      </c>
      <c r="E90">
        <v>747</v>
      </c>
      <c r="F90">
        <v>1979</v>
      </c>
      <c r="G90">
        <v>0</v>
      </c>
      <c r="H90" s="141">
        <v>7.0000000000000007E-2</v>
      </c>
      <c r="I90">
        <f>RANK(0.07,H:H,0)</f>
        <v>107</v>
      </c>
      <c r="J90" s="137">
        <v>7.0000000000000007E-2</v>
      </c>
      <c r="K90">
        <f>RANK(0.07,J:J,0)</f>
        <v>57</v>
      </c>
      <c r="L90" s="53">
        <f t="shared" si="8"/>
        <v>81</v>
      </c>
      <c r="M90" s="189">
        <v>7.95</v>
      </c>
      <c r="N90" s="186">
        <f>VLOOKUP(6224,季財報!A:M,8,0)</f>
        <v>2</v>
      </c>
    </row>
    <row r="91" spans="1:34">
      <c r="A91" s="133">
        <v>3413</v>
      </c>
      <c r="C91">
        <v>134</v>
      </c>
      <c r="D91">
        <v>975</v>
      </c>
      <c r="E91">
        <v>632</v>
      </c>
      <c r="F91">
        <v>1964</v>
      </c>
      <c r="G91">
        <v>363</v>
      </c>
      <c r="H91" s="141">
        <v>0.08</v>
      </c>
      <c r="I91">
        <f>RANK(0.08,H:H,0)</f>
        <v>80</v>
      </c>
      <c r="J91" s="137">
        <v>0.06</v>
      </c>
      <c r="K91">
        <f>RANK(0.06,J:J,0)</f>
        <v>84</v>
      </c>
      <c r="L91" s="53">
        <f t="shared" si="8"/>
        <v>81</v>
      </c>
      <c r="M91" s="189">
        <v>7.95</v>
      </c>
      <c r="N91" s="186">
        <f>VLOOKUP(3413,季財報!A:M,8,0)</f>
        <v>2</v>
      </c>
    </row>
    <row r="92" spans="1:34">
      <c r="A92" s="133">
        <v>3498</v>
      </c>
      <c r="C92">
        <v>196</v>
      </c>
      <c r="D92">
        <v>1769</v>
      </c>
      <c r="E92">
        <v>762</v>
      </c>
      <c r="F92">
        <v>2729</v>
      </c>
      <c r="G92">
        <v>507</v>
      </c>
      <c r="H92" s="141">
        <v>0.08</v>
      </c>
      <c r="I92">
        <f>RANK(0.08,H:H,0)</f>
        <v>80</v>
      </c>
      <c r="J92" s="137">
        <v>0.06</v>
      </c>
      <c r="K92">
        <f>RANK(0.06,J:J,0)</f>
        <v>84</v>
      </c>
      <c r="L92" s="53">
        <f t="shared" si="8"/>
        <v>81</v>
      </c>
      <c r="M92" s="189">
        <v>7.95</v>
      </c>
      <c r="N92" s="186">
        <f>VLOOKUP(3498,季財報!A:M,8,0)</f>
        <v>4</v>
      </c>
    </row>
    <row r="93" spans="1:34">
      <c r="A93" s="133">
        <v>9917</v>
      </c>
      <c r="C93">
        <v>657</v>
      </c>
      <c r="D93">
        <v>0</v>
      </c>
      <c r="E93">
        <v>6062</v>
      </c>
      <c r="F93">
        <v>10631</v>
      </c>
      <c r="G93">
        <v>3357</v>
      </c>
      <c r="H93" s="141">
        <v>0.11</v>
      </c>
      <c r="I93">
        <f>RANK(0.11,H:H,0)</f>
        <v>38</v>
      </c>
      <c r="J93" s="137">
        <v>0.05</v>
      </c>
      <c r="K93">
        <f>RANK(0.05,J:J,0)</f>
        <v>135</v>
      </c>
      <c r="L93" s="53">
        <f>RANK(8.78,M:M,0)</f>
        <v>92</v>
      </c>
      <c r="M93" s="189">
        <v>7.95</v>
      </c>
      <c r="N93" s="186">
        <f>VLOOKUP(9917,季財報!A:M,8,0)</f>
        <v>2</v>
      </c>
    </row>
    <row r="94" spans="1:34">
      <c r="A94" s="133">
        <v>3045</v>
      </c>
      <c r="C94">
        <v>5339</v>
      </c>
      <c r="D94">
        <v>0</v>
      </c>
      <c r="E94">
        <v>47848</v>
      </c>
      <c r="F94">
        <v>61617</v>
      </c>
      <c r="G94">
        <v>42370</v>
      </c>
      <c r="H94" s="141">
        <v>0.11</v>
      </c>
      <c r="I94">
        <f>RANK(0.11,H:H,0)</f>
        <v>38</v>
      </c>
      <c r="J94" s="137">
        <v>0.05</v>
      </c>
      <c r="K94">
        <f>RANK(0.05,J:J,0)</f>
        <v>135</v>
      </c>
      <c r="L94" s="53">
        <f>RANK(8.78,M:M,0)</f>
        <v>92</v>
      </c>
      <c r="M94" s="189">
        <v>7.95</v>
      </c>
      <c r="N94" s="186">
        <f>VLOOKUP(3045,季財報!A:M,8,0)</f>
        <v>4</v>
      </c>
    </row>
    <row r="95" spans="1:34">
      <c r="A95" s="133">
        <v>5206</v>
      </c>
      <c r="C95">
        <v>193</v>
      </c>
      <c r="D95">
        <v>1879</v>
      </c>
      <c r="E95">
        <v>11</v>
      </c>
      <c r="F95">
        <v>1915</v>
      </c>
      <c r="G95">
        <v>1925</v>
      </c>
      <c r="H95" s="141">
        <v>0.1</v>
      </c>
      <c r="I95">
        <f>RANK(0.1,H:H,0)</f>
        <v>46</v>
      </c>
      <c r="J95" s="137">
        <v>0.05</v>
      </c>
      <c r="K95">
        <f>RANK(0.05,J:J,0)</f>
        <v>135</v>
      </c>
      <c r="L95" s="53">
        <f>RANK(8.39,M:M,0)</f>
        <v>94</v>
      </c>
      <c r="M95" s="189">
        <v>7.17</v>
      </c>
      <c r="N95" s="186">
        <f>VLOOKUP(5206,季財報!A:M,8,0)</f>
        <v>5</v>
      </c>
    </row>
    <row r="96" spans="1:34">
      <c r="A96" s="133">
        <v>4966</v>
      </c>
      <c r="C96">
        <v>297</v>
      </c>
      <c r="D96">
        <v>2932</v>
      </c>
      <c r="E96">
        <v>169</v>
      </c>
      <c r="F96">
        <v>6181</v>
      </c>
      <c r="G96">
        <v>0</v>
      </c>
      <c r="H96" s="141">
        <v>0.1</v>
      </c>
      <c r="I96">
        <f>RANK(0.1,H:H,0)</f>
        <v>46</v>
      </c>
      <c r="J96" s="137">
        <v>0.05</v>
      </c>
      <c r="K96">
        <f>RANK(0.05,J:J,0)</f>
        <v>135</v>
      </c>
      <c r="L96" s="53">
        <f>RANK(8.39,M:M,0)</f>
        <v>94</v>
      </c>
      <c r="M96" s="189">
        <v>7.17</v>
      </c>
      <c r="N96" s="186">
        <f>VLOOKUP(4966,季財報!A:M,8,0)</f>
        <v>2</v>
      </c>
    </row>
    <row r="97" spans="1:14">
      <c r="A97" s="133">
        <v>3528</v>
      </c>
      <c r="C97">
        <v>86</v>
      </c>
      <c r="D97">
        <v>831</v>
      </c>
      <c r="E97">
        <v>16</v>
      </c>
      <c r="F97">
        <v>1171</v>
      </c>
      <c r="G97">
        <v>706</v>
      </c>
      <c r="H97" s="141">
        <v>0.1</v>
      </c>
      <c r="I97">
        <f>RANK(0.1,H:H,0)</f>
        <v>46</v>
      </c>
      <c r="J97" s="137">
        <v>0.05</v>
      </c>
      <c r="K97">
        <f>RANK(0.05,J:J,0)</f>
        <v>135</v>
      </c>
      <c r="L97" s="53">
        <f>RANK(8.39,M:M,0)</f>
        <v>94</v>
      </c>
      <c r="M97" s="189">
        <v>7.17</v>
      </c>
      <c r="N97" s="186">
        <f>VLOOKUP(3528,季財報!A:M,8,0)</f>
        <v>1</v>
      </c>
    </row>
    <row r="98" spans="1:14">
      <c r="A98" s="133">
        <v>6286</v>
      </c>
      <c r="C98">
        <v>473</v>
      </c>
      <c r="D98">
        <v>3925</v>
      </c>
      <c r="E98">
        <v>2884</v>
      </c>
      <c r="F98">
        <v>7294</v>
      </c>
      <c r="G98">
        <v>35</v>
      </c>
      <c r="H98" s="141">
        <v>7.0000000000000007E-2</v>
      </c>
      <c r="I98">
        <f t="shared" ref="I98:I112" si="9">RANK(0.07,H:H,0)</f>
        <v>107</v>
      </c>
      <c r="J98" s="137">
        <v>0.06</v>
      </c>
      <c r="K98">
        <f t="shared" ref="K98:K112" si="10">RANK(0.06,J:J,0)</f>
        <v>84</v>
      </c>
      <c r="L98" s="53">
        <f t="shared" ref="L98:L112" si="11">RANK(7.95,M:M,0)</f>
        <v>97</v>
      </c>
      <c r="M98" s="189">
        <v>7.07</v>
      </c>
      <c r="N98" s="186">
        <f>VLOOKUP(6286,季財報!A:M,8,0)</f>
        <v>6</v>
      </c>
    </row>
    <row r="99" spans="1:14">
      <c r="A99" s="133">
        <v>6452</v>
      </c>
      <c r="C99">
        <v>306</v>
      </c>
      <c r="D99">
        <v>2948</v>
      </c>
      <c r="E99">
        <v>1696</v>
      </c>
      <c r="F99">
        <v>5038</v>
      </c>
      <c r="G99">
        <v>0</v>
      </c>
      <c r="H99" s="141">
        <v>7.0000000000000007E-2</v>
      </c>
      <c r="I99">
        <f t="shared" si="9"/>
        <v>107</v>
      </c>
      <c r="J99" s="137">
        <v>0.06</v>
      </c>
      <c r="K99">
        <f t="shared" si="10"/>
        <v>84</v>
      </c>
      <c r="L99" s="53">
        <f t="shared" si="11"/>
        <v>97</v>
      </c>
      <c r="M99" s="189">
        <v>7.07</v>
      </c>
      <c r="N99" s="186">
        <f>VLOOKUP(6452,季財報!A:M,8,0)</f>
        <v>2</v>
      </c>
    </row>
    <row r="100" spans="1:14">
      <c r="A100" s="133">
        <v>6504</v>
      </c>
      <c r="C100">
        <v>189</v>
      </c>
      <c r="D100">
        <v>826</v>
      </c>
      <c r="E100">
        <v>1826</v>
      </c>
      <c r="F100">
        <v>2629</v>
      </c>
      <c r="G100">
        <v>618</v>
      </c>
      <c r="H100" s="141">
        <v>7.0000000000000007E-2</v>
      </c>
      <c r="I100">
        <f t="shared" si="9"/>
        <v>107</v>
      </c>
      <c r="J100" s="137">
        <v>0.06</v>
      </c>
      <c r="K100">
        <f t="shared" si="10"/>
        <v>84</v>
      </c>
      <c r="L100" s="53">
        <f t="shared" si="11"/>
        <v>97</v>
      </c>
      <c r="M100" s="189">
        <v>6.28</v>
      </c>
      <c r="N100" s="186">
        <f>VLOOKUP(6504,季財報!A:M,8,0)</f>
        <v>2</v>
      </c>
    </row>
    <row r="101" spans="1:14">
      <c r="A101" s="133">
        <v>6202</v>
      </c>
      <c r="C101">
        <v>217</v>
      </c>
      <c r="D101">
        <v>2797</v>
      </c>
      <c r="E101">
        <v>481</v>
      </c>
      <c r="F101">
        <v>3887</v>
      </c>
      <c r="G101">
        <v>0</v>
      </c>
      <c r="H101" s="141">
        <v>7.0000000000000007E-2</v>
      </c>
      <c r="I101">
        <f t="shared" si="9"/>
        <v>107</v>
      </c>
      <c r="J101" s="137">
        <v>0.06</v>
      </c>
      <c r="K101">
        <f t="shared" si="10"/>
        <v>84</v>
      </c>
      <c r="L101" s="53">
        <f t="shared" si="11"/>
        <v>97</v>
      </c>
      <c r="M101" s="189">
        <v>6.28</v>
      </c>
      <c r="N101" s="186">
        <f>VLOOKUP(6202,季財報!A:M,8,0)</f>
        <v>4</v>
      </c>
    </row>
    <row r="102" spans="1:14">
      <c r="A102" s="133">
        <v>6415</v>
      </c>
      <c r="C102">
        <v>247</v>
      </c>
      <c r="D102">
        <v>3240</v>
      </c>
      <c r="E102">
        <v>97</v>
      </c>
      <c r="F102">
        <v>4172</v>
      </c>
      <c r="G102">
        <v>0</v>
      </c>
      <c r="H102" s="141">
        <v>7.0000000000000007E-2</v>
      </c>
      <c r="I102">
        <f t="shared" si="9"/>
        <v>107</v>
      </c>
      <c r="J102" s="137">
        <v>0.06</v>
      </c>
      <c r="K102">
        <f t="shared" si="10"/>
        <v>84</v>
      </c>
      <c r="L102" s="53">
        <f t="shared" si="11"/>
        <v>97</v>
      </c>
      <c r="M102" s="189">
        <v>6.28</v>
      </c>
      <c r="N102" s="186">
        <f>VLOOKUP(6415,季財報!A:M,8,0)</f>
        <v>2</v>
      </c>
    </row>
    <row r="103" spans="1:14">
      <c r="A103" s="133">
        <v>5288</v>
      </c>
      <c r="C103">
        <v>147</v>
      </c>
      <c r="D103">
        <v>1502</v>
      </c>
      <c r="E103">
        <v>678</v>
      </c>
      <c r="F103">
        <v>2343</v>
      </c>
      <c r="G103">
        <v>64</v>
      </c>
      <c r="H103" s="141">
        <v>7.0000000000000007E-2</v>
      </c>
      <c r="I103">
        <f t="shared" si="9"/>
        <v>107</v>
      </c>
      <c r="J103" s="137">
        <v>0.06</v>
      </c>
      <c r="K103">
        <f t="shared" si="10"/>
        <v>84</v>
      </c>
      <c r="L103" s="53">
        <f t="shared" si="11"/>
        <v>97</v>
      </c>
      <c r="M103" s="189">
        <v>6.28</v>
      </c>
      <c r="N103" s="186">
        <f>VLOOKUP(5288,季財報!A:M,8,0)</f>
        <v>4</v>
      </c>
    </row>
    <row r="104" spans="1:14">
      <c r="A104" s="133">
        <v>1507</v>
      </c>
      <c r="C104">
        <v>686</v>
      </c>
      <c r="D104">
        <v>3878</v>
      </c>
      <c r="E104">
        <v>5854</v>
      </c>
      <c r="F104">
        <v>12122</v>
      </c>
      <c r="G104">
        <v>0</v>
      </c>
      <c r="H104" s="141">
        <v>7.0000000000000007E-2</v>
      </c>
      <c r="I104">
        <f t="shared" si="9"/>
        <v>107</v>
      </c>
      <c r="J104" s="137">
        <v>0.06</v>
      </c>
      <c r="K104">
        <f t="shared" si="10"/>
        <v>84</v>
      </c>
      <c r="L104" s="53">
        <f t="shared" si="11"/>
        <v>97</v>
      </c>
      <c r="M104" s="189">
        <v>6.28</v>
      </c>
      <c r="N104" s="186">
        <f>VLOOKUP(1507,季財報!A:M,8,0)</f>
        <v>2</v>
      </c>
    </row>
    <row r="105" spans="1:14">
      <c r="A105" s="133">
        <v>1539</v>
      </c>
      <c r="C105">
        <v>84</v>
      </c>
      <c r="D105">
        <v>423</v>
      </c>
      <c r="E105">
        <v>729</v>
      </c>
      <c r="F105">
        <v>971</v>
      </c>
      <c r="G105">
        <v>540</v>
      </c>
      <c r="H105" s="141">
        <v>7.0000000000000007E-2</v>
      </c>
      <c r="I105">
        <f t="shared" si="9"/>
        <v>107</v>
      </c>
      <c r="J105" s="137">
        <v>0.06</v>
      </c>
      <c r="K105">
        <f t="shared" si="10"/>
        <v>84</v>
      </c>
      <c r="L105" s="53">
        <f t="shared" si="11"/>
        <v>97</v>
      </c>
      <c r="M105" s="189">
        <v>6.28</v>
      </c>
      <c r="N105" s="186">
        <f>VLOOKUP(1539,季財報!A:M,8,0)</f>
        <v>4</v>
      </c>
    </row>
    <row r="106" spans="1:14">
      <c r="A106" s="133">
        <v>2395</v>
      </c>
      <c r="C106">
        <v>1326</v>
      </c>
      <c r="D106">
        <v>9961</v>
      </c>
      <c r="E106">
        <v>9519</v>
      </c>
      <c r="F106">
        <v>22301</v>
      </c>
      <c r="G106">
        <v>84</v>
      </c>
      <c r="H106" s="141">
        <v>7.0000000000000007E-2</v>
      </c>
      <c r="I106">
        <f t="shared" si="9"/>
        <v>107</v>
      </c>
      <c r="J106" s="137">
        <v>0.06</v>
      </c>
      <c r="K106">
        <f t="shared" si="10"/>
        <v>84</v>
      </c>
      <c r="L106" s="53">
        <f t="shared" si="11"/>
        <v>97</v>
      </c>
      <c r="M106" s="189">
        <v>6.28</v>
      </c>
      <c r="N106" s="186">
        <f>VLOOKUP(2395,季財報!A:M,8,0)</f>
        <v>1</v>
      </c>
    </row>
    <row r="107" spans="1:14">
      <c r="A107" s="133">
        <v>2474</v>
      </c>
      <c r="C107">
        <v>7667</v>
      </c>
      <c r="D107">
        <v>50898</v>
      </c>
      <c r="E107">
        <v>58185</v>
      </c>
      <c r="F107">
        <v>110742</v>
      </c>
      <c r="G107">
        <v>21849</v>
      </c>
      <c r="H107" s="141">
        <v>7.0000000000000007E-2</v>
      </c>
      <c r="I107">
        <f t="shared" si="9"/>
        <v>107</v>
      </c>
      <c r="J107" s="137">
        <v>0.06</v>
      </c>
      <c r="K107">
        <f t="shared" si="10"/>
        <v>84</v>
      </c>
      <c r="L107" s="53">
        <f t="shared" si="11"/>
        <v>97</v>
      </c>
      <c r="M107" s="189">
        <v>6.36</v>
      </c>
      <c r="N107" s="186">
        <f>VLOOKUP(2474,季財報!A:M,8,0)</f>
        <v>3</v>
      </c>
    </row>
    <row r="108" spans="1:14">
      <c r="A108" s="133">
        <v>3428</v>
      </c>
      <c r="C108">
        <v>162</v>
      </c>
      <c r="D108">
        <v>737</v>
      </c>
      <c r="E108">
        <v>1463</v>
      </c>
      <c r="F108">
        <v>2335</v>
      </c>
      <c r="G108">
        <v>380</v>
      </c>
      <c r="H108" s="141">
        <v>7.0000000000000007E-2</v>
      </c>
      <c r="I108">
        <f t="shared" si="9"/>
        <v>107</v>
      </c>
      <c r="J108" s="137">
        <v>0.06</v>
      </c>
      <c r="K108">
        <f t="shared" si="10"/>
        <v>84</v>
      </c>
      <c r="L108" s="53">
        <f t="shared" si="11"/>
        <v>97</v>
      </c>
      <c r="M108" s="189">
        <v>6.36</v>
      </c>
      <c r="N108" s="186">
        <f>VLOOKUP(3428,季財報!A:M,8,0)</f>
        <v>5</v>
      </c>
    </row>
    <row r="109" spans="1:14">
      <c r="A109" s="133">
        <v>3479</v>
      </c>
      <c r="C109">
        <v>131</v>
      </c>
      <c r="D109">
        <v>1231</v>
      </c>
      <c r="E109">
        <v>704</v>
      </c>
      <c r="F109">
        <v>2057</v>
      </c>
      <c r="G109">
        <v>0</v>
      </c>
      <c r="H109" s="141">
        <v>7.0000000000000007E-2</v>
      </c>
      <c r="I109">
        <f t="shared" si="9"/>
        <v>107</v>
      </c>
      <c r="J109" s="137">
        <v>0.06</v>
      </c>
      <c r="K109">
        <f t="shared" si="10"/>
        <v>84</v>
      </c>
      <c r="L109" s="53">
        <f t="shared" si="11"/>
        <v>97</v>
      </c>
      <c r="M109" s="189">
        <v>6.36</v>
      </c>
      <c r="N109" s="186">
        <f>VLOOKUP(3479,季財報!A:M,8,0)</f>
        <v>6</v>
      </c>
    </row>
    <row r="110" spans="1:14">
      <c r="A110" s="133">
        <v>3529</v>
      </c>
      <c r="C110">
        <v>107</v>
      </c>
      <c r="D110">
        <v>1055</v>
      </c>
      <c r="E110">
        <v>490</v>
      </c>
      <c r="F110">
        <v>1692</v>
      </c>
      <c r="G110">
        <v>0</v>
      </c>
      <c r="H110" s="141">
        <v>7.0000000000000007E-2</v>
      </c>
      <c r="I110">
        <f t="shared" si="9"/>
        <v>107</v>
      </c>
      <c r="J110" s="137">
        <v>0.06</v>
      </c>
      <c r="K110">
        <f t="shared" si="10"/>
        <v>84</v>
      </c>
      <c r="L110" s="53">
        <f t="shared" si="11"/>
        <v>97</v>
      </c>
      <c r="M110" s="189">
        <v>6.36</v>
      </c>
      <c r="N110" s="186">
        <f>VLOOKUP(3529,季財報!A:M,8,0)</f>
        <v>2</v>
      </c>
    </row>
    <row r="111" spans="1:14">
      <c r="A111" s="133">
        <v>6277</v>
      </c>
      <c r="C111">
        <v>227</v>
      </c>
      <c r="D111">
        <v>1253</v>
      </c>
      <c r="E111">
        <v>2065</v>
      </c>
      <c r="F111">
        <v>3402</v>
      </c>
      <c r="G111">
        <v>698</v>
      </c>
      <c r="H111" s="141">
        <v>7.0000000000000007E-2</v>
      </c>
      <c r="I111">
        <f t="shared" si="9"/>
        <v>107</v>
      </c>
      <c r="J111" s="137">
        <v>0.06</v>
      </c>
      <c r="K111">
        <f t="shared" si="10"/>
        <v>84</v>
      </c>
      <c r="L111" s="53">
        <f t="shared" si="11"/>
        <v>97</v>
      </c>
      <c r="M111" s="189">
        <v>6.36</v>
      </c>
      <c r="N111" s="186">
        <f>VLOOKUP(6277,季財報!A:M,8,0)</f>
        <v>2</v>
      </c>
    </row>
    <row r="112" spans="1:14">
      <c r="A112" s="133">
        <v>3617</v>
      </c>
      <c r="C112">
        <v>230</v>
      </c>
      <c r="D112">
        <v>2950</v>
      </c>
      <c r="E112">
        <v>269</v>
      </c>
      <c r="F112">
        <v>3646</v>
      </c>
      <c r="G112">
        <v>300</v>
      </c>
      <c r="H112" s="141">
        <v>7.0000000000000007E-2</v>
      </c>
      <c r="I112">
        <f t="shared" si="9"/>
        <v>107</v>
      </c>
      <c r="J112" s="137">
        <v>0.06</v>
      </c>
      <c r="K112">
        <f t="shared" si="10"/>
        <v>84</v>
      </c>
      <c r="L112" s="53">
        <f t="shared" si="11"/>
        <v>97</v>
      </c>
      <c r="M112" s="189">
        <v>6.36</v>
      </c>
      <c r="N112" s="186">
        <f>VLOOKUP(3617,季財報!A:M,8,0)</f>
        <v>3</v>
      </c>
    </row>
    <row r="113" spans="1:14">
      <c r="A113" s="133">
        <v>5903</v>
      </c>
      <c r="C113">
        <v>494</v>
      </c>
      <c r="D113">
        <v>0</v>
      </c>
      <c r="E113">
        <v>8578</v>
      </c>
      <c r="F113">
        <v>4763</v>
      </c>
      <c r="G113">
        <v>1621</v>
      </c>
      <c r="H113" s="141">
        <v>0.06</v>
      </c>
      <c r="I113">
        <f>RANK(0.06,H:H,0)</f>
        <v>155</v>
      </c>
      <c r="J113" s="137">
        <v>0.08</v>
      </c>
      <c r="K113">
        <f>RANK(0.08,J:J,0)</f>
        <v>37</v>
      </c>
      <c r="L113" s="53">
        <f>RANK(7.91,M:M,0)</f>
        <v>112</v>
      </c>
      <c r="M113" s="189">
        <v>6.36</v>
      </c>
      <c r="N113" s="186">
        <f>VLOOKUP(5903,季財報!A:M,8,0)</f>
        <v>2</v>
      </c>
    </row>
    <row r="114" spans="1:14">
      <c r="A114" s="133">
        <v>2235</v>
      </c>
      <c r="C114">
        <v>58</v>
      </c>
      <c r="D114">
        <v>0</v>
      </c>
      <c r="E114">
        <v>645</v>
      </c>
      <c r="F114">
        <v>936</v>
      </c>
      <c r="G114">
        <v>334</v>
      </c>
      <c r="H114" s="141">
        <v>0.09</v>
      </c>
      <c r="I114">
        <f>RANK(0.09,H:H,0)</f>
        <v>63</v>
      </c>
      <c r="J114" s="137">
        <v>0.05</v>
      </c>
      <c r="K114">
        <f>RANK(0.05,J:J,0)</f>
        <v>135</v>
      </c>
      <c r="L114" s="53">
        <f>RANK(7.67,M:M,0)</f>
        <v>113</v>
      </c>
      <c r="M114" s="189">
        <v>6.36</v>
      </c>
      <c r="N114" s="186">
        <f>VLOOKUP(2235,季財報!A:M,8,0)</f>
        <v>3</v>
      </c>
    </row>
    <row r="115" spans="1:14">
      <c r="A115" s="133">
        <v>6179</v>
      </c>
      <c r="C115">
        <v>46</v>
      </c>
      <c r="D115">
        <v>705</v>
      </c>
      <c r="E115">
        <v>4</v>
      </c>
      <c r="F115">
        <v>634</v>
      </c>
      <c r="G115">
        <v>0</v>
      </c>
      <c r="H115" s="141">
        <v>0.06</v>
      </c>
      <c r="I115">
        <f>RANK(0.06,H:H,0)</f>
        <v>155</v>
      </c>
      <c r="J115" s="137">
        <v>7.0000000000000007E-2</v>
      </c>
      <c r="K115">
        <f>RANK(0.07,J:J,0)</f>
        <v>57</v>
      </c>
      <c r="L115" s="53">
        <f>RANK(7.17,M:M,0)</f>
        <v>114</v>
      </c>
      <c r="M115" s="189">
        <v>6.36</v>
      </c>
      <c r="N115" s="186">
        <f>VLOOKUP(6179,季財報!A:M,8,0)</f>
        <v>1</v>
      </c>
    </row>
    <row r="116" spans="1:14">
      <c r="A116" s="133">
        <v>1536</v>
      </c>
      <c r="C116">
        <v>318</v>
      </c>
      <c r="D116">
        <v>1280</v>
      </c>
      <c r="E116">
        <v>4344</v>
      </c>
      <c r="F116">
        <v>3608</v>
      </c>
      <c r="G116">
        <v>863</v>
      </c>
      <c r="H116" s="141">
        <v>0.06</v>
      </c>
      <c r="I116">
        <f>RANK(0.06,H:H,0)</f>
        <v>155</v>
      </c>
      <c r="J116" s="137">
        <v>7.0000000000000007E-2</v>
      </c>
      <c r="K116">
        <f>RANK(0.07,J:J,0)</f>
        <v>57</v>
      </c>
      <c r="L116" s="53">
        <f>RANK(7.17,M:M,0)</f>
        <v>114</v>
      </c>
      <c r="M116" s="189">
        <v>6.36</v>
      </c>
      <c r="N116" s="186">
        <f>VLOOKUP(1536,季財報!A:M,8,0)</f>
        <v>4</v>
      </c>
    </row>
    <row r="117" spans="1:14">
      <c r="A117" s="133">
        <v>2330</v>
      </c>
      <c r="C117">
        <v>79183</v>
      </c>
      <c r="D117">
        <v>491972</v>
      </c>
      <c r="E117">
        <v>830825</v>
      </c>
      <c r="F117">
        <v>1150995</v>
      </c>
      <c r="G117">
        <v>57080</v>
      </c>
      <c r="H117" s="141">
        <v>0.06</v>
      </c>
      <c r="I117">
        <f>RANK(0.06,H:H,0)</f>
        <v>155</v>
      </c>
      <c r="J117" s="137">
        <v>7.0000000000000007E-2</v>
      </c>
      <c r="K117">
        <f>RANK(0.07,J:J,0)</f>
        <v>57</v>
      </c>
      <c r="L117" s="53">
        <f>RANK(7.17,M:M,0)</f>
        <v>114</v>
      </c>
      <c r="M117" s="189">
        <v>6.36</v>
      </c>
      <c r="N117" s="186">
        <f>VLOOKUP(2330,季財報!A:M,8,0)</f>
        <v>2</v>
      </c>
    </row>
    <row r="118" spans="1:14">
      <c r="A118" s="133">
        <v>8016</v>
      </c>
      <c r="C118">
        <v>248</v>
      </c>
      <c r="D118">
        <v>2452</v>
      </c>
      <c r="E118">
        <v>677</v>
      </c>
      <c r="F118">
        <v>4130</v>
      </c>
      <c r="G118">
        <v>554</v>
      </c>
      <c r="H118" s="141">
        <v>0.08</v>
      </c>
      <c r="I118">
        <f>RANK(0.08,H:H,0)</f>
        <v>80</v>
      </c>
      <c r="J118" s="137">
        <v>0.05</v>
      </c>
      <c r="K118">
        <f>RANK(0.05,J:J,0)</f>
        <v>135</v>
      </c>
      <c r="L118" s="53">
        <f>RANK(7.07,M:M,0)</f>
        <v>117</v>
      </c>
      <c r="M118" s="189">
        <v>6.36</v>
      </c>
      <c r="N118" s="186">
        <f>VLOOKUP(8016,季財報!A:M,8,0)</f>
        <v>3</v>
      </c>
    </row>
    <row r="119" spans="1:14">
      <c r="A119" s="133">
        <v>4904</v>
      </c>
      <c r="C119">
        <v>4238</v>
      </c>
      <c r="D119">
        <v>0</v>
      </c>
      <c r="E119">
        <v>51833</v>
      </c>
      <c r="F119">
        <v>70577</v>
      </c>
      <c r="G119">
        <v>12507</v>
      </c>
      <c r="H119" s="141">
        <v>0.08</v>
      </c>
      <c r="I119">
        <f>RANK(0.08,H:H,0)</f>
        <v>80</v>
      </c>
      <c r="J119" s="137">
        <v>0.05</v>
      </c>
      <c r="K119">
        <f>RANK(0.05,J:J,0)</f>
        <v>135</v>
      </c>
      <c r="L119" s="53">
        <f>RANK(7.07,M:M,0)</f>
        <v>117</v>
      </c>
      <c r="M119" s="189">
        <v>6.36</v>
      </c>
      <c r="N119" s="186">
        <f>VLOOKUP(4904,季財報!A:M,8,0)</f>
        <v>3</v>
      </c>
    </row>
    <row r="120" spans="1:14">
      <c r="A120" s="133">
        <v>5266</v>
      </c>
      <c r="C120">
        <v>103</v>
      </c>
      <c r="D120">
        <v>1168</v>
      </c>
      <c r="E120">
        <v>93</v>
      </c>
      <c r="F120">
        <v>1310</v>
      </c>
      <c r="G120">
        <v>604</v>
      </c>
      <c r="H120" s="141">
        <v>0.08</v>
      </c>
      <c r="I120">
        <f>RANK(0.08,H:H,0)</f>
        <v>80</v>
      </c>
      <c r="J120" s="137">
        <v>0.05</v>
      </c>
      <c r="K120">
        <f>RANK(0.05,J:J,0)</f>
        <v>135</v>
      </c>
      <c r="L120" s="53">
        <f>RANK(7.07,M:M,0)</f>
        <v>117</v>
      </c>
      <c r="M120" s="189">
        <v>6.36</v>
      </c>
      <c r="N120" s="186">
        <f>VLOOKUP(5266,季財報!A:M,8,0)</f>
        <v>3</v>
      </c>
    </row>
    <row r="121" spans="1:14">
      <c r="A121" s="133">
        <v>3552</v>
      </c>
      <c r="C121">
        <v>254</v>
      </c>
      <c r="D121">
        <v>1887</v>
      </c>
      <c r="E121">
        <v>1362</v>
      </c>
      <c r="F121">
        <v>3551</v>
      </c>
      <c r="G121">
        <v>1832</v>
      </c>
      <c r="H121" s="141">
        <v>0.08</v>
      </c>
      <c r="I121">
        <f>RANK(0.08,H:H,0)</f>
        <v>80</v>
      </c>
      <c r="J121" s="137">
        <v>0.05</v>
      </c>
      <c r="K121">
        <f>RANK(0.05,J:J,0)</f>
        <v>135</v>
      </c>
      <c r="L121" s="53">
        <f>RANK(7.07,M:M,0)</f>
        <v>117</v>
      </c>
      <c r="M121" s="189">
        <v>6.03</v>
      </c>
      <c r="N121" s="186">
        <f>VLOOKUP(3552,季財報!A:M,8,0)</f>
        <v>3</v>
      </c>
    </row>
    <row r="122" spans="1:14">
      <c r="A122" s="133">
        <v>6263</v>
      </c>
      <c r="C122">
        <v>70</v>
      </c>
      <c r="D122">
        <v>1073</v>
      </c>
      <c r="E122">
        <v>17</v>
      </c>
      <c r="F122">
        <v>1103</v>
      </c>
      <c r="G122">
        <v>0</v>
      </c>
      <c r="H122" s="141">
        <v>0.06</v>
      </c>
      <c r="I122">
        <f t="shared" ref="I122:I141" si="12">RANK(0.06,H:H,0)</f>
        <v>155</v>
      </c>
      <c r="J122" s="137">
        <v>0.06</v>
      </c>
      <c r="K122">
        <f t="shared" ref="K122:K141" si="13">RANK(0.06,J:J,0)</f>
        <v>84</v>
      </c>
      <c r="L122" s="53">
        <f t="shared" ref="L122:L141" si="14">RANK(6.36,M:M,0)</f>
        <v>121</v>
      </c>
      <c r="M122" s="189">
        <v>5.24</v>
      </c>
      <c r="N122" s="186">
        <f>VLOOKUP(6263,季財報!A:M,8,0)</f>
        <v>2</v>
      </c>
    </row>
    <row r="123" spans="1:14">
      <c r="A123" s="133">
        <v>6206</v>
      </c>
      <c r="C123">
        <v>281</v>
      </c>
      <c r="D123">
        <v>3407</v>
      </c>
      <c r="E123">
        <v>1137</v>
      </c>
      <c r="F123">
        <v>4773</v>
      </c>
      <c r="G123">
        <v>0</v>
      </c>
      <c r="H123" s="141">
        <v>0.06</v>
      </c>
      <c r="I123">
        <f t="shared" si="12"/>
        <v>155</v>
      </c>
      <c r="J123" s="137">
        <v>0.06</v>
      </c>
      <c r="K123">
        <f t="shared" si="13"/>
        <v>84</v>
      </c>
      <c r="L123" s="53">
        <f t="shared" si="14"/>
        <v>121</v>
      </c>
      <c r="M123" s="189">
        <v>5.24</v>
      </c>
      <c r="N123" s="186">
        <f>VLOOKUP(6206,季財報!A:M,8,0)</f>
        <v>2</v>
      </c>
    </row>
    <row r="124" spans="1:14">
      <c r="A124" s="133">
        <v>6210</v>
      </c>
      <c r="C124">
        <v>45</v>
      </c>
      <c r="D124">
        <v>489</v>
      </c>
      <c r="E124">
        <v>326</v>
      </c>
      <c r="F124">
        <v>747</v>
      </c>
      <c r="G124">
        <v>20</v>
      </c>
      <c r="H124" s="141">
        <v>0.06</v>
      </c>
      <c r="I124">
        <f t="shared" si="12"/>
        <v>155</v>
      </c>
      <c r="J124" s="137">
        <v>0.06</v>
      </c>
      <c r="K124">
        <f t="shared" si="13"/>
        <v>84</v>
      </c>
      <c r="L124" s="53">
        <f t="shared" si="14"/>
        <v>121</v>
      </c>
      <c r="M124" s="189">
        <v>5.24</v>
      </c>
      <c r="N124" s="186">
        <f>VLOOKUP(6210,季財報!A:M,8,0)</f>
        <v>2</v>
      </c>
    </row>
    <row r="125" spans="1:14">
      <c r="A125" s="133">
        <v>6230</v>
      </c>
      <c r="C125">
        <v>208</v>
      </c>
      <c r="D125">
        <v>2287</v>
      </c>
      <c r="E125">
        <v>1000</v>
      </c>
      <c r="F125">
        <v>3349</v>
      </c>
      <c r="G125">
        <v>413</v>
      </c>
      <c r="H125" s="141">
        <v>0.06</v>
      </c>
      <c r="I125">
        <f t="shared" si="12"/>
        <v>155</v>
      </c>
      <c r="J125" s="137">
        <v>0.06</v>
      </c>
      <c r="K125">
        <f t="shared" si="13"/>
        <v>84</v>
      </c>
      <c r="L125" s="53">
        <f t="shared" si="14"/>
        <v>121</v>
      </c>
      <c r="M125" s="189">
        <v>5.24</v>
      </c>
      <c r="N125" s="186">
        <f>VLOOKUP(6230,季財報!A:M,8,0)</f>
        <v>4</v>
      </c>
    </row>
    <row r="126" spans="1:14">
      <c r="A126" s="133">
        <v>4205</v>
      </c>
      <c r="C126">
        <v>70</v>
      </c>
      <c r="D126">
        <v>557</v>
      </c>
      <c r="E126">
        <v>680</v>
      </c>
      <c r="F126">
        <v>1186</v>
      </c>
      <c r="G126">
        <v>0</v>
      </c>
      <c r="H126" s="141">
        <v>0.06</v>
      </c>
      <c r="I126">
        <f t="shared" si="12"/>
        <v>155</v>
      </c>
      <c r="J126" s="137">
        <v>0.06</v>
      </c>
      <c r="K126">
        <f t="shared" si="13"/>
        <v>84</v>
      </c>
      <c r="L126" s="53">
        <f t="shared" si="14"/>
        <v>121</v>
      </c>
      <c r="M126" s="189">
        <v>5.24</v>
      </c>
      <c r="N126" s="186">
        <f>VLOOKUP(4205,季財報!A:M,8,0)</f>
        <v>4</v>
      </c>
    </row>
    <row r="127" spans="1:14">
      <c r="A127" s="133">
        <v>4927</v>
      </c>
      <c r="C127">
        <v>402</v>
      </c>
      <c r="D127">
        <v>0</v>
      </c>
      <c r="E127">
        <v>6199</v>
      </c>
      <c r="F127">
        <v>3939</v>
      </c>
      <c r="G127">
        <v>2797</v>
      </c>
      <c r="H127" s="141">
        <v>0.06</v>
      </c>
      <c r="I127">
        <f t="shared" si="12"/>
        <v>155</v>
      </c>
      <c r="J127" s="137">
        <v>0.06</v>
      </c>
      <c r="K127">
        <f t="shared" si="13"/>
        <v>84</v>
      </c>
      <c r="L127" s="53">
        <f t="shared" si="14"/>
        <v>121</v>
      </c>
      <c r="M127" s="189">
        <v>5.24</v>
      </c>
      <c r="N127" s="186">
        <f>VLOOKUP(4927,季財報!A:M,8,0)</f>
        <v>3</v>
      </c>
    </row>
    <row r="128" spans="1:14">
      <c r="A128" s="133">
        <v>4952</v>
      </c>
      <c r="C128">
        <v>135</v>
      </c>
      <c r="D128">
        <v>1439</v>
      </c>
      <c r="E128">
        <v>667</v>
      </c>
      <c r="F128">
        <v>2079</v>
      </c>
      <c r="G128">
        <v>216</v>
      </c>
      <c r="H128" s="141">
        <v>0.06</v>
      </c>
      <c r="I128">
        <f t="shared" si="12"/>
        <v>155</v>
      </c>
      <c r="J128" s="137">
        <v>0.06</v>
      </c>
      <c r="K128">
        <f t="shared" si="13"/>
        <v>84</v>
      </c>
      <c r="L128" s="53">
        <f t="shared" si="14"/>
        <v>121</v>
      </c>
      <c r="M128" s="189">
        <v>5.24</v>
      </c>
      <c r="N128" s="186">
        <f>VLOOKUP(4952,季財報!A:M,8,0)</f>
        <v>3</v>
      </c>
    </row>
    <row r="129" spans="1:14">
      <c r="A129" s="133">
        <v>1570</v>
      </c>
      <c r="C129">
        <v>34</v>
      </c>
      <c r="D129">
        <v>360</v>
      </c>
      <c r="E129">
        <v>234</v>
      </c>
      <c r="F129">
        <v>606</v>
      </c>
      <c r="G129">
        <v>0</v>
      </c>
      <c r="H129" s="141">
        <v>0.06</v>
      </c>
      <c r="I129">
        <f t="shared" si="12"/>
        <v>155</v>
      </c>
      <c r="J129" s="137">
        <v>0.06</v>
      </c>
      <c r="K129">
        <f t="shared" si="13"/>
        <v>84</v>
      </c>
      <c r="L129" s="53">
        <f t="shared" si="14"/>
        <v>121</v>
      </c>
      <c r="M129" s="189">
        <v>5.24</v>
      </c>
      <c r="N129" s="186">
        <f>VLOOKUP(1570,季財報!A:M,8,0)</f>
        <v>5</v>
      </c>
    </row>
    <row r="130" spans="1:14">
      <c r="A130" s="133">
        <v>1582</v>
      </c>
      <c r="C130">
        <v>358</v>
      </c>
      <c r="D130">
        <v>5239</v>
      </c>
      <c r="E130">
        <v>754</v>
      </c>
      <c r="F130">
        <v>5536</v>
      </c>
      <c r="G130">
        <v>59</v>
      </c>
      <c r="H130" s="141">
        <v>0.06</v>
      </c>
      <c r="I130">
        <f t="shared" si="12"/>
        <v>155</v>
      </c>
      <c r="J130" s="137">
        <v>0.06</v>
      </c>
      <c r="K130">
        <f t="shared" si="13"/>
        <v>84</v>
      </c>
      <c r="L130" s="53">
        <f t="shared" si="14"/>
        <v>121</v>
      </c>
      <c r="M130" s="189">
        <v>5.24</v>
      </c>
      <c r="N130" s="186">
        <f>VLOOKUP(1582,季財報!A:M,8,0)</f>
        <v>3</v>
      </c>
    </row>
    <row r="131" spans="1:14">
      <c r="A131" s="133">
        <v>2108</v>
      </c>
      <c r="C131">
        <v>409</v>
      </c>
      <c r="D131">
        <v>3630</v>
      </c>
      <c r="E131">
        <v>3097</v>
      </c>
      <c r="F131">
        <v>6972</v>
      </c>
      <c r="G131">
        <v>149</v>
      </c>
      <c r="H131" s="141">
        <v>0.06</v>
      </c>
      <c r="I131">
        <f t="shared" si="12"/>
        <v>155</v>
      </c>
      <c r="J131" s="137">
        <v>0.06</v>
      </c>
      <c r="K131">
        <f t="shared" si="13"/>
        <v>84</v>
      </c>
      <c r="L131" s="53">
        <f t="shared" si="14"/>
        <v>121</v>
      </c>
      <c r="M131" s="189">
        <v>5.24</v>
      </c>
      <c r="N131" s="186">
        <f>VLOOKUP(2108,季財報!A:M,8,0)</f>
        <v>3</v>
      </c>
    </row>
    <row r="132" spans="1:14">
      <c r="A132" s="133">
        <v>2345</v>
      </c>
      <c r="C132">
        <v>452</v>
      </c>
      <c r="D132">
        <v>5931</v>
      </c>
      <c r="E132">
        <v>1111</v>
      </c>
      <c r="F132">
        <v>7802</v>
      </c>
      <c r="G132">
        <v>0</v>
      </c>
      <c r="H132" s="141">
        <v>0.06</v>
      </c>
      <c r="I132">
        <f t="shared" si="12"/>
        <v>155</v>
      </c>
      <c r="J132" s="137">
        <v>0.06</v>
      </c>
      <c r="K132">
        <f t="shared" si="13"/>
        <v>84</v>
      </c>
      <c r="L132" s="53">
        <f t="shared" si="14"/>
        <v>121</v>
      </c>
      <c r="M132" s="189">
        <v>5.24</v>
      </c>
      <c r="N132" s="186">
        <f>VLOOKUP(2345,季財報!A:M,8,0)</f>
        <v>4</v>
      </c>
    </row>
    <row r="133" spans="1:14">
      <c r="A133" s="133">
        <v>2929</v>
      </c>
      <c r="C133">
        <v>191</v>
      </c>
      <c r="D133">
        <v>2874</v>
      </c>
      <c r="E133">
        <v>442</v>
      </c>
      <c r="F133">
        <v>3323</v>
      </c>
      <c r="G133">
        <v>0</v>
      </c>
      <c r="H133" s="141">
        <v>0.06</v>
      </c>
      <c r="I133">
        <f t="shared" si="12"/>
        <v>155</v>
      </c>
      <c r="J133" s="137">
        <v>0.06</v>
      </c>
      <c r="K133">
        <f t="shared" si="13"/>
        <v>84</v>
      </c>
      <c r="L133" s="53">
        <f t="shared" si="14"/>
        <v>121</v>
      </c>
      <c r="M133" s="189">
        <v>5.24</v>
      </c>
      <c r="N133" s="186">
        <f>VLOOKUP(2929,季財報!A:M,8,0)</f>
        <v>1</v>
      </c>
    </row>
    <row r="134" spans="1:14">
      <c r="A134" s="133">
        <v>3285</v>
      </c>
      <c r="C134">
        <v>36</v>
      </c>
      <c r="D134">
        <v>537</v>
      </c>
      <c r="E134">
        <v>109</v>
      </c>
      <c r="F134">
        <v>648</v>
      </c>
      <c r="G134">
        <v>0</v>
      </c>
      <c r="H134" s="141">
        <v>0.06</v>
      </c>
      <c r="I134">
        <f t="shared" si="12"/>
        <v>155</v>
      </c>
      <c r="J134" s="137">
        <v>0.06</v>
      </c>
      <c r="K134">
        <f t="shared" si="13"/>
        <v>84</v>
      </c>
      <c r="L134" s="53">
        <f t="shared" si="14"/>
        <v>121</v>
      </c>
      <c r="M134" s="189">
        <v>5.24</v>
      </c>
      <c r="N134" s="186">
        <f>VLOOKUP(3285,季財報!A:M,8,0)</f>
        <v>4</v>
      </c>
    </row>
    <row r="135" spans="1:14">
      <c r="A135" s="133">
        <v>3587</v>
      </c>
      <c r="C135">
        <v>69</v>
      </c>
      <c r="D135">
        <v>341</v>
      </c>
      <c r="E135">
        <v>806</v>
      </c>
      <c r="F135">
        <v>1189</v>
      </c>
      <c r="G135">
        <v>0</v>
      </c>
      <c r="H135" s="141">
        <v>0.06</v>
      </c>
      <c r="I135">
        <f t="shared" si="12"/>
        <v>155</v>
      </c>
      <c r="J135" s="137">
        <v>0.06</v>
      </c>
      <c r="K135">
        <f t="shared" si="13"/>
        <v>84</v>
      </c>
      <c r="L135" s="53">
        <f t="shared" si="14"/>
        <v>121</v>
      </c>
      <c r="M135" s="189">
        <v>5.24</v>
      </c>
      <c r="N135" s="186">
        <f>VLOOKUP(3587,季財報!A:M,8,0)</f>
        <v>4</v>
      </c>
    </row>
    <row r="136" spans="1:14">
      <c r="A136" s="133">
        <v>6422</v>
      </c>
      <c r="C136">
        <v>77</v>
      </c>
      <c r="D136">
        <v>1030</v>
      </c>
      <c r="E136">
        <v>274</v>
      </c>
      <c r="F136">
        <v>1292</v>
      </c>
      <c r="G136">
        <v>1</v>
      </c>
      <c r="H136" s="141">
        <v>0.06</v>
      </c>
      <c r="I136">
        <f t="shared" si="12"/>
        <v>155</v>
      </c>
      <c r="J136" s="137">
        <v>0.06</v>
      </c>
      <c r="K136">
        <f t="shared" si="13"/>
        <v>84</v>
      </c>
      <c r="L136" s="53">
        <f t="shared" si="14"/>
        <v>121</v>
      </c>
      <c r="M136" s="189">
        <v>5.24</v>
      </c>
      <c r="N136" s="186">
        <f>VLOOKUP(6422,季財報!A:M,8,0)</f>
        <v>1</v>
      </c>
    </row>
    <row r="137" spans="1:14">
      <c r="A137" s="133">
        <v>6248</v>
      </c>
      <c r="C137">
        <v>19</v>
      </c>
      <c r="D137">
        <v>303</v>
      </c>
      <c r="E137">
        <v>5</v>
      </c>
      <c r="F137">
        <v>316</v>
      </c>
      <c r="G137">
        <v>0</v>
      </c>
      <c r="H137" s="141">
        <v>0.06</v>
      </c>
      <c r="I137">
        <f t="shared" si="12"/>
        <v>155</v>
      </c>
      <c r="J137" s="137">
        <v>0.06</v>
      </c>
      <c r="K137">
        <f t="shared" si="13"/>
        <v>84</v>
      </c>
      <c r="L137" s="53">
        <f t="shared" si="14"/>
        <v>121</v>
      </c>
      <c r="M137" s="189">
        <v>5.24</v>
      </c>
      <c r="N137" s="186">
        <f>VLOOKUP(6248,季財報!A:M,8,0)</f>
        <v>2</v>
      </c>
    </row>
    <row r="138" spans="1:14">
      <c r="A138" s="133">
        <v>5284</v>
      </c>
      <c r="C138">
        <v>61</v>
      </c>
      <c r="D138">
        <v>315</v>
      </c>
      <c r="E138">
        <v>741</v>
      </c>
      <c r="F138">
        <v>1014</v>
      </c>
      <c r="G138">
        <v>94</v>
      </c>
      <c r="H138" s="141">
        <v>0.06</v>
      </c>
      <c r="I138">
        <f t="shared" si="12"/>
        <v>155</v>
      </c>
      <c r="J138" s="137">
        <v>0.06</v>
      </c>
      <c r="K138">
        <f t="shared" si="13"/>
        <v>84</v>
      </c>
      <c r="L138" s="53">
        <f t="shared" si="14"/>
        <v>121</v>
      </c>
      <c r="M138" s="189">
        <v>5.24</v>
      </c>
      <c r="N138" s="186">
        <f>VLOOKUP(5284,季財報!A:M,8,0)</f>
        <v>4</v>
      </c>
    </row>
    <row r="139" spans="1:14">
      <c r="A139" s="133">
        <v>4557</v>
      </c>
      <c r="C139">
        <v>64</v>
      </c>
      <c r="D139">
        <v>447</v>
      </c>
      <c r="E139">
        <v>576</v>
      </c>
      <c r="F139">
        <v>1059</v>
      </c>
      <c r="G139">
        <v>0</v>
      </c>
      <c r="H139" s="141">
        <v>0.06</v>
      </c>
      <c r="I139">
        <f t="shared" si="12"/>
        <v>155</v>
      </c>
      <c r="J139" s="137">
        <v>0.06</v>
      </c>
      <c r="K139">
        <f t="shared" si="13"/>
        <v>84</v>
      </c>
      <c r="L139" s="53">
        <f t="shared" si="14"/>
        <v>121</v>
      </c>
      <c r="M139" s="189">
        <v>5.24</v>
      </c>
      <c r="N139" s="186">
        <f>VLOOKUP(4557,季財報!A:M,8,0)</f>
        <v>0</v>
      </c>
    </row>
    <row r="140" spans="1:14">
      <c r="A140" s="133">
        <v>1702</v>
      </c>
      <c r="C140">
        <v>588</v>
      </c>
      <c r="D140">
        <v>2279</v>
      </c>
      <c r="E140">
        <v>7942</v>
      </c>
      <c r="F140">
        <v>5542</v>
      </c>
      <c r="G140">
        <v>4723</v>
      </c>
      <c r="H140" s="141">
        <v>0.06</v>
      </c>
      <c r="I140">
        <f t="shared" si="12"/>
        <v>155</v>
      </c>
      <c r="J140" s="137">
        <v>0.06</v>
      </c>
      <c r="K140">
        <f t="shared" si="13"/>
        <v>84</v>
      </c>
      <c r="L140" s="53">
        <f t="shared" si="14"/>
        <v>121</v>
      </c>
      <c r="M140" s="189">
        <v>5.24</v>
      </c>
      <c r="N140" s="186">
        <f>VLOOKUP(1702,季財報!A:M,8,0)</f>
        <v>2</v>
      </c>
    </row>
    <row r="141" spans="1:14">
      <c r="A141" s="133">
        <v>4126</v>
      </c>
      <c r="C141">
        <v>113</v>
      </c>
      <c r="D141">
        <v>719</v>
      </c>
      <c r="E141">
        <v>1238</v>
      </c>
      <c r="F141">
        <v>1915</v>
      </c>
      <c r="G141">
        <v>0</v>
      </c>
      <c r="H141" s="141">
        <v>0.06</v>
      </c>
      <c r="I141">
        <f t="shared" si="12"/>
        <v>155</v>
      </c>
      <c r="J141" s="137">
        <v>0.06</v>
      </c>
      <c r="K141">
        <f t="shared" si="13"/>
        <v>84</v>
      </c>
      <c r="L141" s="53">
        <f t="shared" si="14"/>
        <v>121</v>
      </c>
      <c r="M141" s="189">
        <v>5.24</v>
      </c>
      <c r="N141" s="186">
        <f>VLOOKUP(4126,季財報!A:M,8,0)</f>
        <v>4</v>
      </c>
    </row>
    <row r="142" spans="1:14">
      <c r="A142" s="133">
        <v>5264</v>
      </c>
      <c r="C142">
        <v>1773</v>
      </c>
      <c r="D142">
        <v>11826</v>
      </c>
      <c r="E142">
        <v>15427</v>
      </c>
      <c r="F142">
        <v>29442</v>
      </c>
      <c r="G142">
        <v>4409</v>
      </c>
      <c r="H142" s="141">
        <v>7.0000000000000007E-2</v>
      </c>
      <c r="I142">
        <f t="shared" ref="I142:I151" si="15">RANK(0.07,H:H,0)</f>
        <v>107</v>
      </c>
      <c r="J142" s="137">
        <v>0.05</v>
      </c>
      <c r="K142">
        <f t="shared" ref="K142:K151" si="16">RANK(0.05,J:J,0)</f>
        <v>135</v>
      </c>
      <c r="L142" s="53">
        <f t="shared" ref="L142:L151" si="17">RANK(6.28,M:M,0)</f>
        <v>141</v>
      </c>
      <c r="M142" s="189">
        <v>5.0599999999999996</v>
      </c>
      <c r="N142" s="186">
        <f>VLOOKUP(5264,季財報!A:M,8,0)</f>
        <v>3</v>
      </c>
    </row>
    <row r="143" spans="1:14">
      <c r="A143" s="133">
        <v>5706</v>
      </c>
      <c r="C143">
        <v>56</v>
      </c>
      <c r="D143">
        <v>535</v>
      </c>
      <c r="E143">
        <v>291</v>
      </c>
      <c r="F143">
        <v>1193</v>
      </c>
      <c r="G143">
        <v>0</v>
      </c>
      <c r="H143" s="141">
        <v>7.0000000000000007E-2</v>
      </c>
      <c r="I143">
        <f t="shared" si="15"/>
        <v>107</v>
      </c>
      <c r="J143" s="137">
        <v>0.05</v>
      </c>
      <c r="K143">
        <f t="shared" si="16"/>
        <v>135</v>
      </c>
      <c r="L143" s="53">
        <f t="shared" si="17"/>
        <v>141</v>
      </c>
      <c r="M143" s="189">
        <v>4.82</v>
      </c>
      <c r="N143" s="186">
        <f>VLOOKUP(5706,季財報!A:M,8,0)</f>
        <v>4</v>
      </c>
    </row>
    <row r="144" spans="1:14">
      <c r="A144" s="133">
        <v>4401</v>
      </c>
      <c r="C144">
        <v>185</v>
      </c>
      <c r="D144">
        <v>346</v>
      </c>
      <c r="E144">
        <v>2415</v>
      </c>
      <c r="F144">
        <v>2443</v>
      </c>
      <c r="G144">
        <v>1036</v>
      </c>
      <c r="H144" s="141">
        <v>7.0000000000000007E-2</v>
      </c>
      <c r="I144">
        <f t="shared" si="15"/>
        <v>107</v>
      </c>
      <c r="J144" s="137">
        <v>0.05</v>
      </c>
      <c r="K144">
        <f t="shared" si="16"/>
        <v>135</v>
      </c>
      <c r="L144" s="53">
        <f t="shared" si="17"/>
        <v>141</v>
      </c>
      <c r="M144" s="189">
        <v>4.82</v>
      </c>
      <c r="N144" s="186">
        <f>VLOOKUP(4401,季財報!A:M,8,0)</f>
        <v>2</v>
      </c>
    </row>
    <row r="145" spans="1:14">
      <c r="A145" s="133">
        <v>2308</v>
      </c>
      <c r="C145">
        <v>6297</v>
      </c>
      <c r="D145">
        <v>50813</v>
      </c>
      <c r="E145">
        <v>41852</v>
      </c>
      <c r="F145">
        <v>100489</v>
      </c>
      <c r="G145">
        <v>18887</v>
      </c>
      <c r="H145" s="141">
        <v>7.0000000000000007E-2</v>
      </c>
      <c r="I145">
        <f t="shared" si="15"/>
        <v>107</v>
      </c>
      <c r="J145" s="137">
        <v>0.05</v>
      </c>
      <c r="K145">
        <f t="shared" si="16"/>
        <v>135</v>
      </c>
      <c r="L145" s="53">
        <f t="shared" si="17"/>
        <v>141</v>
      </c>
      <c r="M145" s="189">
        <v>4.6500000000000004</v>
      </c>
      <c r="N145" s="186">
        <f>VLOOKUP(2308,季財報!A:M,8,0)</f>
        <v>4</v>
      </c>
    </row>
    <row r="146" spans="1:14">
      <c r="A146" s="133">
        <v>3034</v>
      </c>
      <c r="C146">
        <v>1695</v>
      </c>
      <c r="D146">
        <v>21151</v>
      </c>
      <c r="E146">
        <v>2051</v>
      </c>
      <c r="F146">
        <v>27033</v>
      </c>
      <c r="G146">
        <v>4799</v>
      </c>
      <c r="H146" s="141">
        <v>7.0000000000000007E-2</v>
      </c>
      <c r="I146">
        <f t="shared" si="15"/>
        <v>107</v>
      </c>
      <c r="J146" s="137">
        <v>0.05</v>
      </c>
      <c r="K146">
        <f t="shared" si="16"/>
        <v>135</v>
      </c>
      <c r="L146" s="53">
        <f t="shared" si="17"/>
        <v>141</v>
      </c>
      <c r="M146" s="189">
        <v>4.6500000000000004</v>
      </c>
      <c r="N146" s="186">
        <f>VLOOKUP(3034,季財報!A:M,8,0)</f>
        <v>3</v>
      </c>
    </row>
    <row r="147" spans="1:14">
      <c r="A147" s="133">
        <v>3092</v>
      </c>
      <c r="C147">
        <v>84</v>
      </c>
      <c r="D147">
        <v>558</v>
      </c>
      <c r="E147">
        <v>593</v>
      </c>
      <c r="F147">
        <v>1210</v>
      </c>
      <c r="G147">
        <v>640</v>
      </c>
      <c r="H147" s="141">
        <v>7.0000000000000007E-2</v>
      </c>
      <c r="I147">
        <f t="shared" si="15"/>
        <v>107</v>
      </c>
      <c r="J147" s="137">
        <v>0.05</v>
      </c>
      <c r="K147">
        <f t="shared" si="16"/>
        <v>135</v>
      </c>
      <c r="L147" s="53">
        <f t="shared" si="17"/>
        <v>141</v>
      </c>
      <c r="M147" s="189">
        <v>4.6500000000000004</v>
      </c>
      <c r="N147" s="186">
        <f>VLOOKUP(3092,季財報!A:M,8,0)</f>
        <v>2</v>
      </c>
    </row>
    <row r="148" spans="1:14">
      <c r="A148" s="133">
        <v>3492</v>
      </c>
      <c r="C148">
        <v>28</v>
      </c>
      <c r="D148">
        <v>241</v>
      </c>
      <c r="E148">
        <v>159</v>
      </c>
      <c r="F148">
        <v>488</v>
      </c>
      <c r="G148">
        <v>53</v>
      </c>
      <c r="H148" s="141">
        <v>7.0000000000000007E-2</v>
      </c>
      <c r="I148">
        <f t="shared" si="15"/>
        <v>107</v>
      </c>
      <c r="J148" s="137">
        <v>0.05</v>
      </c>
      <c r="K148">
        <f t="shared" si="16"/>
        <v>135</v>
      </c>
      <c r="L148" s="53">
        <f t="shared" si="17"/>
        <v>141</v>
      </c>
      <c r="M148" s="189">
        <v>4.6500000000000004</v>
      </c>
      <c r="N148" s="186">
        <f>VLOOKUP(3492,季財報!A:M,8,0)</f>
        <v>4</v>
      </c>
    </row>
    <row r="149" spans="1:14">
      <c r="A149" s="133">
        <v>8383</v>
      </c>
      <c r="C149">
        <v>135</v>
      </c>
      <c r="D149">
        <v>1118</v>
      </c>
      <c r="E149">
        <v>934</v>
      </c>
      <c r="F149">
        <v>2899</v>
      </c>
      <c r="G149">
        <v>0</v>
      </c>
      <c r="H149" s="141">
        <v>7.0000000000000007E-2</v>
      </c>
      <c r="I149">
        <f t="shared" si="15"/>
        <v>107</v>
      </c>
      <c r="J149" s="137">
        <v>0.05</v>
      </c>
      <c r="K149">
        <f t="shared" si="16"/>
        <v>135</v>
      </c>
      <c r="L149" s="53">
        <f t="shared" si="17"/>
        <v>141</v>
      </c>
      <c r="M149" s="189">
        <v>4.6500000000000004</v>
      </c>
      <c r="N149" s="186">
        <f>VLOOKUP(8383,季財報!A:M,8,0)</f>
        <v>3</v>
      </c>
    </row>
    <row r="150" spans="1:14">
      <c r="A150" s="133">
        <v>4506</v>
      </c>
      <c r="C150">
        <v>179</v>
      </c>
      <c r="D150">
        <v>1545</v>
      </c>
      <c r="E150">
        <v>1133</v>
      </c>
      <c r="F150">
        <v>3391</v>
      </c>
      <c r="G150">
        <v>135</v>
      </c>
      <c r="H150" s="141">
        <v>7.0000000000000007E-2</v>
      </c>
      <c r="I150">
        <f t="shared" si="15"/>
        <v>107</v>
      </c>
      <c r="J150" s="137">
        <v>0.05</v>
      </c>
      <c r="K150">
        <f t="shared" si="16"/>
        <v>135</v>
      </c>
      <c r="L150" s="53">
        <f t="shared" si="17"/>
        <v>141</v>
      </c>
      <c r="M150" s="189">
        <v>4.6500000000000004</v>
      </c>
      <c r="N150" s="186">
        <f>VLOOKUP(4506,季財報!A:M,8,0)</f>
        <v>6</v>
      </c>
    </row>
    <row r="151" spans="1:14">
      <c r="A151" s="133">
        <v>2438</v>
      </c>
      <c r="C151">
        <v>42</v>
      </c>
      <c r="D151">
        <v>70</v>
      </c>
      <c r="E151">
        <v>546</v>
      </c>
      <c r="F151">
        <v>677</v>
      </c>
      <c r="G151">
        <v>140</v>
      </c>
      <c r="H151" s="141">
        <v>7.0000000000000007E-2</v>
      </c>
      <c r="I151">
        <f t="shared" si="15"/>
        <v>107</v>
      </c>
      <c r="J151" s="137">
        <v>0.05</v>
      </c>
      <c r="K151">
        <f t="shared" si="16"/>
        <v>135</v>
      </c>
      <c r="L151" s="53">
        <f t="shared" si="17"/>
        <v>141</v>
      </c>
      <c r="M151" s="189">
        <v>4.6500000000000004</v>
      </c>
      <c r="N151" s="186">
        <f>VLOOKUP(2438,季財報!A:M,8,0)</f>
        <v>2</v>
      </c>
    </row>
    <row r="152" spans="1:14">
      <c r="A152" s="133">
        <v>4144</v>
      </c>
      <c r="C152">
        <v>160</v>
      </c>
      <c r="D152">
        <v>1044</v>
      </c>
      <c r="E152">
        <v>236</v>
      </c>
      <c r="F152">
        <v>3420</v>
      </c>
      <c r="G152">
        <v>328</v>
      </c>
      <c r="H152" s="141">
        <v>0.12</v>
      </c>
      <c r="I152">
        <f>RANK(0.12,H:H,0)</f>
        <v>32</v>
      </c>
      <c r="J152" s="137">
        <v>0.04</v>
      </c>
      <c r="K152">
        <f>RANK(0.04,J:J,0)</f>
        <v>220</v>
      </c>
      <c r="L152" s="53">
        <f>RANK(6.03,M:M,0)</f>
        <v>151</v>
      </c>
      <c r="M152" s="189">
        <v>4.1500000000000004</v>
      </c>
      <c r="N152" s="186">
        <f>VLOOKUP(4144,季財報!A:M,8,0)</f>
        <v>3</v>
      </c>
    </row>
    <row r="153" spans="1:14">
      <c r="A153" s="133">
        <v>4105</v>
      </c>
      <c r="C153">
        <v>287</v>
      </c>
      <c r="D153">
        <v>563</v>
      </c>
      <c r="E153">
        <v>2295</v>
      </c>
      <c r="F153">
        <v>4757</v>
      </c>
      <c r="G153">
        <v>2000</v>
      </c>
      <c r="H153" s="141">
        <v>0.1</v>
      </c>
      <c r="I153">
        <f>RANK(0.1,H:H,0)</f>
        <v>46</v>
      </c>
      <c r="J153" s="137">
        <v>0.04</v>
      </c>
      <c r="K153">
        <f>RANK(0.04,J:J,0)</f>
        <v>220</v>
      </c>
      <c r="L153" s="53">
        <f>RANK(5.71,M:M,0)</f>
        <v>152</v>
      </c>
      <c r="M153" s="189">
        <v>4.1500000000000004</v>
      </c>
      <c r="N153" s="186">
        <f>VLOOKUP(4105,季財報!A:M,8,0)</f>
        <v>3</v>
      </c>
    </row>
    <row r="154" spans="1:14">
      <c r="A154" s="133">
        <v>9930</v>
      </c>
      <c r="C154">
        <v>246</v>
      </c>
      <c r="D154">
        <v>0</v>
      </c>
      <c r="E154">
        <v>4029</v>
      </c>
      <c r="F154">
        <v>4264</v>
      </c>
      <c r="G154">
        <v>833</v>
      </c>
      <c r="H154" s="141">
        <v>0.06</v>
      </c>
      <c r="I154">
        <f t="shared" ref="I154:I178" si="18">RANK(0.06,H:H,0)</f>
        <v>155</v>
      </c>
      <c r="J154" s="137">
        <v>0.05</v>
      </c>
      <c r="K154">
        <f t="shared" ref="K154:K178" si="19">RANK(0.05,J:J,0)</f>
        <v>135</v>
      </c>
      <c r="L154" s="53">
        <f t="shared" ref="L154:L178" si="20">RANK(5.24,M:M,0)</f>
        <v>153</v>
      </c>
      <c r="M154" s="189">
        <v>4.1500000000000004</v>
      </c>
      <c r="N154" s="186">
        <f>VLOOKUP(9930,季財報!A:M,8,0)</f>
        <v>3</v>
      </c>
    </row>
    <row r="155" spans="1:14">
      <c r="A155" s="133">
        <v>9924</v>
      </c>
      <c r="C155">
        <v>231</v>
      </c>
      <c r="D155">
        <v>2431</v>
      </c>
      <c r="E155">
        <v>1743</v>
      </c>
      <c r="F155">
        <v>4985</v>
      </c>
      <c r="G155">
        <v>0</v>
      </c>
      <c r="H155" s="141">
        <v>0.06</v>
      </c>
      <c r="I155">
        <f t="shared" si="18"/>
        <v>155</v>
      </c>
      <c r="J155" s="137">
        <v>0.05</v>
      </c>
      <c r="K155">
        <f t="shared" si="19"/>
        <v>135</v>
      </c>
      <c r="L155" s="53">
        <f t="shared" si="20"/>
        <v>153</v>
      </c>
      <c r="M155" s="189">
        <v>4.1500000000000004</v>
      </c>
      <c r="N155" s="186">
        <f>VLOOKUP(9924,季財報!A:M,8,0)</f>
        <v>4</v>
      </c>
    </row>
    <row r="156" spans="1:14">
      <c r="A156" s="133">
        <v>8299</v>
      </c>
      <c r="C156">
        <v>1101</v>
      </c>
      <c r="D156">
        <v>15947</v>
      </c>
      <c r="E156">
        <v>1625</v>
      </c>
      <c r="F156">
        <v>19386</v>
      </c>
      <c r="G156">
        <v>723</v>
      </c>
      <c r="H156" s="141">
        <v>0.06</v>
      </c>
      <c r="I156">
        <f t="shared" si="18"/>
        <v>155</v>
      </c>
      <c r="J156" s="137">
        <v>0.05</v>
      </c>
      <c r="K156">
        <f t="shared" si="19"/>
        <v>135</v>
      </c>
      <c r="L156" s="53">
        <f t="shared" si="20"/>
        <v>153</v>
      </c>
      <c r="M156" s="189">
        <v>4.1500000000000004</v>
      </c>
      <c r="N156" s="186">
        <f>VLOOKUP(8299,季財報!A:M,8,0)</f>
        <v>4</v>
      </c>
    </row>
    <row r="157" spans="1:14">
      <c r="A157" s="133">
        <v>8426</v>
      </c>
      <c r="C157">
        <v>54</v>
      </c>
      <c r="D157">
        <v>323</v>
      </c>
      <c r="E157">
        <v>522</v>
      </c>
      <c r="F157">
        <v>882</v>
      </c>
      <c r="G157">
        <v>107</v>
      </c>
      <c r="H157" s="141">
        <v>0.06</v>
      </c>
      <c r="I157">
        <f t="shared" si="18"/>
        <v>155</v>
      </c>
      <c r="J157" s="137">
        <v>0.05</v>
      </c>
      <c r="K157">
        <f t="shared" si="19"/>
        <v>135</v>
      </c>
      <c r="L157" s="53">
        <f t="shared" si="20"/>
        <v>153</v>
      </c>
      <c r="M157" s="189">
        <v>4.1500000000000004</v>
      </c>
      <c r="N157" s="186">
        <f>VLOOKUP(8426,季財報!A:M,8,0)</f>
        <v>4</v>
      </c>
    </row>
    <row r="158" spans="1:14">
      <c r="A158" s="133">
        <v>8429</v>
      </c>
      <c r="C158">
        <v>380</v>
      </c>
      <c r="D158">
        <v>5369</v>
      </c>
      <c r="E158">
        <v>578</v>
      </c>
      <c r="F158">
        <v>5776</v>
      </c>
      <c r="G158">
        <v>1170</v>
      </c>
      <c r="H158" s="141">
        <v>0.06</v>
      </c>
      <c r="I158">
        <f t="shared" si="18"/>
        <v>155</v>
      </c>
      <c r="J158" s="137">
        <v>0.05</v>
      </c>
      <c r="K158">
        <f t="shared" si="19"/>
        <v>135</v>
      </c>
      <c r="L158" s="53">
        <f t="shared" si="20"/>
        <v>153</v>
      </c>
      <c r="M158" s="189">
        <v>4.1500000000000004</v>
      </c>
      <c r="N158" s="186">
        <f>VLOOKUP(8429,季財報!A:M,8,0)</f>
        <v>1</v>
      </c>
    </row>
    <row r="159" spans="1:14">
      <c r="A159" s="133">
        <v>8050</v>
      </c>
      <c r="C159">
        <v>148</v>
      </c>
      <c r="D159">
        <v>1369</v>
      </c>
      <c r="E159">
        <v>1071</v>
      </c>
      <c r="F159">
        <v>2680</v>
      </c>
      <c r="G159">
        <v>358</v>
      </c>
      <c r="H159" s="141">
        <v>0.06</v>
      </c>
      <c r="I159">
        <f t="shared" si="18"/>
        <v>155</v>
      </c>
      <c r="J159" s="137">
        <v>0.05</v>
      </c>
      <c r="K159">
        <f t="shared" si="19"/>
        <v>135</v>
      </c>
      <c r="L159" s="53">
        <f t="shared" si="20"/>
        <v>153</v>
      </c>
      <c r="M159" s="189">
        <v>4.1500000000000004</v>
      </c>
      <c r="N159" s="186">
        <f>VLOOKUP(8050,季財報!A:M,8,0)</f>
        <v>2</v>
      </c>
    </row>
    <row r="160" spans="1:14">
      <c r="A160" s="133">
        <v>6269</v>
      </c>
      <c r="C160">
        <v>824</v>
      </c>
      <c r="D160">
        <v>8793</v>
      </c>
      <c r="E160">
        <v>5503</v>
      </c>
      <c r="F160">
        <v>14102</v>
      </c>
      <c r="G160">
        <v>974</v>
      </c>
      <c r="H160" s="141">
        <v>0.06</v>
      </c>
      <c r="I160">
        <f t="shared" si="18"/>
        <v>155</v>
      </c>
      <c r="J160" s="137">
        <v>0.05</v>
      </c>
      <c r="K160">
        <f t="shared" si="19"/>
        <v>135</v>
      </c>
      <c r="L160" s="53">
        <f t="shared" si="20"/>
        <v>153</v>
      </c>
      <c r="M160" s="189">
        <v>4.1500000000000004</v>
      </c>
      <c r="N160" s="186">
        <f>VLOOKUP(6269,季財報!A:M,8,0)</f>
        <v>2</v>
      </c>
    </row>
    <row r="161" spans="1:14">
      <c r="A161" s="133">
        <v>5269</v>
      </c>
      <c r="C161">
        <v>64</v>
      </c>
      <c r="D161">
        <v>1046</v>
      </c>
      <c r="E161">
        <v>110</v>
      </c>
      <c r="F161">
        <v>1258</v>
      </c>
      <c r="G161">
        <v>0</v>
      </c>
      <c r="H161" s="141">
        <v>0.06</v>
      </c>
      <c r="I161">
        <f t="shared" si="18"/>
        <v>155</v>
      </c>
      <c r="J161" s="137">
        <v>0.05</v>
      </c>
      <c r="K161">
        <f t="shared" si="19"/>
        <v>135</v>
      </c>
      <c r="L161" s="53">
        <f t="shared" si="20"/>
        <v>153</v>
      </c>
      <c r="M161" s="189">
        <v>4.1500000000000004</v>
      </c>
      <c r="N161" s="186">
        <f>VLOOKUP(5269,季財報!A:M,8,0)</f>
        <v>6</v>
      </c>
    </row>
    <row r="162" spans="1:14">
      <c r="A162" s="133">
        <v>5434</v>
      </c>
      <c r="C162">
        <v>308</v>
      </c>
      <c r="D162">
        <v>2374</v>
      </c>
      <c r="E162">
        <v>2510</v>
      </c>
      <c r="F162">
        <v>5701</v>
      </c>
      <c r="G162">
        <v>608</v>
      </c>
      <c r="H162" s="141">
        <v>0.06</v>
      </c>
      <c r="I162">
        <f t="shared" si="18"/>
        <v>155</v>
      </c>
      <c r="J162" s="137">
        <v>0.05</v>
      </c>
      <c r="K162">
        <f t="shared" si="19"/>
        <v>135</v>
      </c>
      <c r="L162" s="53">
        <f t="shared" si="20"/>
        <v>153</v>
      </c>
      <c r="M162" s="189">
        <v>4.1500000000000004</v>
      </c>
      <c r="N162" s="186">
        <f>VLOOKUP(5434,季財報!A:M,8,0)</f>
        <v>3</v>
      </c>
    </row>
    <row r="163" spans="1:14">
      <c r="A163" s="133">
        <v>5489</v>
      </c>
      <c r="C163">
        <v>112</v>
      </c>
      <c r="D163">
        <v>1287</v>
      </c>
      <c r="E163">
        <v>707</v>
      </c>
      <c r="F163">
        <v>2029</v>
      </c>
      <c r="G163">
        <v>23</v>
      </c>
      <c r="H163" s="141">
        <v>0.06</v>
      </c>
      <c r="I163">
        <f t="shared" si="18"/>
        <v>155</v>
      </c>
      <c r="J163" s="137">
        <v>0.05</v>
      </c>
      <c r="K163">
        <f t="shared" si="19"/>
        <v>135</v>
      </c>
      <c r="L163" s="53">
        <f t="shared" si="20"/>
        <v>153</v>
      </c>
      <c r="M163" s="189">
        <v>4.1500000000000004</v>
      </c>
      <c r="N163" s="186">
        <f>VLOOKUP(5489,季財報!A:M,8,0)</f>
        <v>2</v>
      </c>
    </row>
    <row r="164" spans="1:14">
      <c r="A164" s="133">
        <v>4903</v>
      </c>
      <c r="C164">
        <v>53</v>
      </c>
      <c r="D164">
        <v>776</v>
      </c>
      <c r="E164">
        <v>170</v>
      </c>
      <c r="F164">
        <v>1058</v>
      </c>
      <c r="G164">
        <v>8</v>
      </c>
      <c r="H164" s="141">
        <v>0.06</v>
      </c>
      <c r="I164">
        <f t="shared" si="18"/>
        <v>155</v>
      </c>
      <c r="J164" s="137">
        <v>0.05</v>
      </c>
      <c r="K164">
        <f t="shared" si="19"/>
        <v>135</v>
      </c>
      <c r="L164" s="53">
        <f t="shared" si="20"/>
        <v>153</v>
      </c>
      <c r="M164" s="189">
        <v>4.1500000000000004</v>
      </c>
      <c r="N164" s="186">
        <f>VLOOKUP(4903,季財報!A:M,8,0)</f>
        <v>2</v>
      </c>
    </row>
    <row r="165" spans="1:14">
      <c r="A165" s="133">
        <v>4938</v>
      </c>
      <c r="C165">
        <v>12087</v>
      </c>
      <c r="D165">
        <v>116309</v>
      </c>
      <c r="E165">
        <v>71439</v>
      </c>
      <c r="F165">
        <v>185738</v>
      </c>
      <c r="G165">
        <v>67260</v>
      </c>
      <c r="H165" s="141">
        <v>0.06</v>
      </c>
      <c r="I165">
        <f t="shared" si="18"/>
        <v>155</v>
      </c>
      <c r="J165" s="137">
        <v>0.05</v>
      </c>
      <c r="K165">
        <f t="shared" si="19"/>
        <v>135</v>
      </c>
      <c r="L165" s="53">
        <f t="shared" si="20"/>
        <v>153</v>
      </c>
      <c r="M165" s="189">
        <v>4.1500000000000004</v>
      </c>
      <c r="N165" s="186">
        <f>VLOOKUP(4938,季財報!A:M,8,0)</f>
        <v>1</v>
      </c>
    </row>
    <row r="166" spans="1:14">
      <c r="A166" s="133">
        <v>4958</v>
      </c>
      <c r="C166">
        <v>2935</v>
      </c>
      <c r="D166">
        <v>13108</v>
      </c>
      <c r="E166">
        <v>32811</v>
      </c>
      <c r="F166">
        <v>40583</v>
      </c>
      <c r="G166">
        <v>13572</v>
      </c>
      <c r="H166" s="141">
        <v>0.06</v>
      </c>
      <c r="I166">
        <f t="shared" si="18"/>
        <v>155</v>
      </c>
      <c r="J166" s="137">
        <v>0.05</v>
      </c>
      <c r="K166">
        <f t="shared" si="19"/>
        <v>135</v>
      </c>
      <c r="L166" s="53">
        <f t="shared" si="20"/>
        <v>153</v>
      </c>
      <c r="M166" s="189">
        <v>4.1500000000000004</v>
      </c>
      <c r="N166" s="186">
        <f>VLOOKUP(4958,季財報!A:M,8,0)</f>
        <v>2</v>
      </c>
    </row>
    <row r="167" spans="1:14">
      <c r="A167" s="133">
        <v>1262</v>
      </c>
      <c r="C167">
        <v>488</v>
      </c>
      <c r="D167">
        <v>2177</v>
      </c>
      <c r="E167">
        <v>6521</v>
      </c>
      <c r="F167">
        <v>9911</v>
      </c>
      <c r="G167">
        <v>705</v>
      </c>
      <c r="H167" s="141">
        <v>0.06</v>
      </c>
      <c r="I167">
        <f t="shared" si="18"/>
        <v>155</v>
      </c>
      <c r="J167" s="137">
        <v>0.05</v>
      </c>
      <c r="K167">
        <f t="shared" si="19"/>
        <v>135</v>
      </c>
      <c r="L167" s="53">
        <f t="shared" si="20"/>
        <v>153</v>
      </c>
      <c r="M167" s="189">
        <v>4.1500000000000004</v>
      </c>
      <c r="N167" s="186">
        <f>VLOOKUP(1262,季財報!A:M,8,0)</f>
        <v>3</v>
      </c>
    </row>
    <row r="168" spans="1:14">
      <c r="A168" s="133">
        <v>2114</v>
      </c>
      <c r="C168">
        <v>114</v>
      </c>
      <c r="D168">
        <v>957</v>
      </c>
      <c r="E168">
        <v>1024</v>
      </c>
      <c r="F168">
        <v>2124</v>
      </c>
      <c r="G168">
        <v>0</v>
      </c>
      <c r="H168" s="141">
        <v>0.06</v>
      </c>
      <c r="I168">
        <f t="shared" si="18"/>
        <v>155</v>
      </c>
      <c r="J168" s="137">
        <v>0.05</v>
      </c>
      <c r="K168">
        <f t="shared" si="19"/>
        <v>135</v>
      </c>
      <c r="L168" s="53">
        <f t="shared" si="20"/>
        <v>153</v>
      </c>
      <c r="M168" s="189">
        <v>4.1500000000000004</v>
      </c>
      <c r="N168" s="186">
        <f>VLOOKUP(2114,季財報!A:M,8,0)</f>
        <v>4</v>
      </c>
    </row>
    <row r="169" spans="1:14">
      <c r="A169" s="133">
        <v>2546</v>
      </c>
      <c r="C169">
        <v>103</v>
      </c>
      <c r="D169">
        <v>1634</v>
      </c>
      <c r="E169">
        <v>65</v>
      </c>
      <c r="F169">
        <v>2048</v>
      </c>
      <c r="G169">
        <v>0</v>
      </c>
      <c r="H169" s="141">
        <v>0.06</v>
      </c>
      <c r="I169">
        <f t="shared" si="18"/>
        <v>155</v>
      </c>
      <c r="J169" s="137">
        <v>0.05</v>
      </c>
      <c r="K169">
        <f t="shared" si="19"/>
        <v>135</v>
      </c>
      <c r="L169" s="53">
        <f t="shared" si="20"/>
        <v>153</v>
      </c>
      <c r="M169" s="189">
        <v>4.1500000000000004</v>
      </c>
      <c r="N169" s="186">
        <f>VLOOKUP(2546,季財報!A:M,8,0)</f>
        <v>3</v>
      </c>
    </row>
    <row r="170" spans="1:14">
      <c r="A170" s="133">
        <v>3226</v>
      </c>
      <c r="C170">
        <v>44</v>
      </c>
      <c r="D170">
        <v>683</v>
      </c>
      <c r="E170">
        <v>104</v>
      </c>
      <c r="F170">
        <v>826</v>
      </c>
      <c r="G170">
        <v>0</v>
      </c>
      <c r="H170" s="141">
        <v>0.06</v>
      </c>
      <c r="I170">
        <f t="shared" si="18"/>
        <v>155</v>
      </c>
      <c r="J170" s="137">
        <v>0.05</v>
      </c>
      <c r="K170">
        <f t="shared" si="19"/>
        <v>135</v>
      </c>
      <c r="L170" s="53">
        <f t="shared" si="20"/>
        <v>153</v>
      </c>
      <c r="M170" s="189">
        <v>4.1500000000000004</v>
      </c>
      <c r="N170" s="186">
        <f>VLOOKUP(3226,季財報!A:M,8,0)</f>
        <v>3</v>
      </c>
    </row>
    <row r="171" spans="1:14">
      <c r="A171" s="133">
        <v>3491</v>
      </c>
      <c r="C171">
        <v>85</v>
      </c>
      <c r="D171">
        <v>696</v>
      </c>
      <c r="E171">
        <v>704</v>
      </c>
      <c r="F171">
        <v>1703</v>
      </c>
      <c r="G171">
        <v>150</v>
      </c>
      <c r="H171" s="141">
        <v>0.06</v>
      </c>
      <c r="I171">
        <f t="shared" si="18"/>
        <v>155</v>
      </c>
      <c r="J171" s="137">
        <v>0.05</v>
      </c>
      <c r="K171">
        <f t="shared" si="19"/>
        <v>135</v>
      </c>
      <c r="L171" s="53">
        <f t="shared" si="20"/>
        <v>153</v>
      </c>
      <c r="M171" s="189">
        <v>4.1500000000000004</v>
      </c>
      <c r="N171" s="186">
        <f>VLOOKUP(3491,季財報!A:M,8,0)</f>
        <v>5</v>
      </c>
    </row>
    <row r="172" spans="1:14">
      <c r="A172" s="133">
        <v>3570</v>
      </c>
      <c r="C172">
        <v>28</v>
      </c>
      <c r="D172">
        <v>485</v>
      </c>
      <c r="E172">
        <v>22</v>
      </c>
      <c r="F172">
        <v>534</v>
      </c>
      <c r="G172">
        <v>0</v>
      </c>
      <c r="H172" s="141">
        <v>0.06</v>
      </c>
      <c r="I172">
        <f t="shared" si="18"/>
        <v>155</v>
      </c>
      <c r="J172" s="137">
        <v>0.05</v>
      </c>
      <c r="K172">
        <f t="shared" si="19"/>
        <v>135</v>
      </c>
      <c r="L172" s="53">
        <f t="shared" si="20"/>
        <v>153</v>
      </c>
      <c r="M172" s="189">
        <v>4.1500000000000004</v>
      </c>
      <c r="N172" s="186">
        <f>VLOOKUP(3570,季財報!A:M,8,0)</f>
        <v>2</v>
      </c>
    </row>
    <row r="173" spans="1:14">
      <c r="A173" s="133">
        <v>3672</v>
      </c>
      <c r="C173">
        <v>25</v>
      </c>
      <c r="D173">
        <v>321</v>
      </c>
      <c r="E173">
        <v>129</v>
      </c>
      <c r="F173">
        <v>495</v>
      </c>
      <c r="G173">
        <v>6</v>
      </c>
      <c r="H173" s="141">
        <v>0.06</v>
      </c>
      <c r="I173">
        <f t="shared" si="18"/>
        <v>155</v>
      </c>
      <c r="J173" s="137">
        <v>0.05</v>
      </c>
      <c r="K173">
        <f t="shared" si="19"/>
        <v>135</v>
      </c>
      <c r="L173" s="53">
        <f t="shared" si="20"/>
        <v>153</v>
      </c>
      <c r="M173" s="189">
        <v>4.1500000000000004</v>
      </c>
      <c r="N173" s="186">
        <f>VLOOKUP(3672,季財報!A:M,8,0)</f>
        <v>3</v>
      </c>
    </row>
    <row r="174" spans="1:14">
      <c r="A174" s="133">
        <v>6417</v>
      </c>
      <c r="C174">
        <v>29</v>
      </c>
      <c r="D174">
        <v>342</v>
      </c>
      <c r="E174">
        <v>176</v>
      </c>
      <c r="F174">
        <v>532</v>
      </c>
      <c r="G174">
        <v>8</v>
      </c>
      <c r="H174" s="141">
        <v>0.06</v>
      </c>
      <c r="I174">
        <f t="shared" si="18"/>
        <v>155</v>
      </c>
      <c r="J174" s="137">
        <v>0.05</v>
      </c>
      <c r="K174">
        <f t="shared" si="19"/>
        <v>135</v>
      </c>
      <c r="L174" s="53">
        <f t="shared" si="20"/>
        <v>153</v>
      </c>
      <c r="M174" s="189">
        <v>4.1500000000000004</v>
      </c>
      <c r="N174" s="186">
        <f>VLOOKUP(6417,季財報!A:M,8,0)</f>
        <v>3</v>
      </c>
    </row>
    <row r="175" spans="1:14">
      <c r="A175" s="133">
        <v>5443</v>
      </c>
      <c r="C175">
        <v>148</v>
      </c>
      <c r="D175">
        <v>1942</v>
      </c>
      <c r="E175">
        <v>499</v>
      </c>
      <c r="F175">
        <v>2579</v>
      </c>
      <c r="G175">
        <v>518</v>
      </c>
      <c r="H175" s="141">
        <v>0.06</v>
      </c>
      <c r="I175">
        <f t="shared" si="18"/>
        <v>155</v>
      </c>
      <c r="J175" s="137">
        <v>0.05</v>
      </c>
      <c r="K175">
        <f t="shared" si="19"/>
        <v>135</v>
      </c>
      <c r="L175" s="53">
        <f t="shared" si="20"/>
        <v>153</v>
      </c>
      <c r="M175" s="189">
        <v>4.1500000000000004</v>
      </c>
      <c r="N175" s="186">
        <f>VLOOKUP(5443,季財報!A:M,8,0)</f>
        <v>4</v>
      </c>
    </row>
    <row r="176" spans="1:14">
      <c r="A176" s="133">
        <v>1264</v>
      </c>
      <c r="C176">
        <v>127</v>
      </c>
      <c r="D176">
        <v>1322</v>
      </c>
      <c r="E176">
        <v>632</v>
      </c>
      <c r="F176">
        <v>2178</v>
      </c>
      <c r="G176">
        <v>192</v>
      </c>
      <c r="H176" s="141">
        <v>0.06</v>
      </c>
      <c r="I176">
        <f t="shared" si="18"/>
        <v>155</v>
      </c>
      <c r="J176" s="137">
        <v>0.05</v>
      </c>
      <c r="K176">
        <f t="shared" si="19"/>
        <v>135</v>
      </c>
      <c r="L176" s="53">
        <f t="shared" si="20"/>
        <v>153</v>
      </c>
      <c r="M176" s="189">
        <v>4.1500000000000004</v>
      </c>
      <c r="N176" s="186">
        <f>VLOOKUP(1264,季財報!A:M,8,0)</f>
        <v>2</v>
      </c>
    </row>
    <row r="177" spans="1:14">
      <c r="A177" s="133">
        <v>1521</v>
      </c>
      <c r="C177">
        <v>90</v>
      </c>
      <c r="D177">
        <v>512</v>
      </c>
      <c r="E177">
        <v>986</v>
      </c>
      <c r="F177">
        <v>1729</v>
      </c>
      <c r="G177">
        <v>69</v>
      </c>
      <c r="H177" s="141">
        <v>0.06</v>
      </c>
      <c r="I177">
        <f t="shared" si="18"/>
        <v>155</v>
      </c>
      <c r="J177" s="137">
        <v>0.05</v>
      </c>
      <c r="K177">
        <f t="shared" si="19"/>
        <v>135</v>
      </c>
      <c r="L177" s="53">
        <f t="shared" si="20"/>
        <v>153</v>
      </c>
      <c r="M177" s="189">
        <v>4.1500000000000004</v>
      </c>
      <c r="N177" s="186">
        <f>VLOOKUP(1521,季財報!A:M,8,0)</f>
        <v>2</v>
      </c>
    </row>
    <row r="178" spans="1:14">
      <c r="A178" s="133">
        <v>3105</v>
      </c>
      <c r="C178">
        <v>829</v>
      </c>
      <c r="D178">
        <v>3142</v>
      </c>
      <c r="E178">
        <v>10832</v>
      </c>
      <c r="F178">
        <v>16318</v>
      </c>
      <c r="G178">
        <v>743</v>
      </c>
      <c r="H178" s="141">
        <v>0.06</v>
      </c>
      <c r="I178">
        <f t="shared" si="18"/>
        <v>155</v>
      </c>
      <c r="J178" s="137">
        <v>0.05</v>
      </c>
      <c r="K178">
        <f t="shared" si="19"/>
        <v>135</v>
      </c>
      <c r="L178" s="53">
        <f t="shared" si="20"/>
        <v>153</v>
      </c>
      <c r="M178" s="189">
        <v>4.1500000000000004</v>
      </c>
      <c r="N178" s="186">
        <f>VLOOKUP(3105,季財報!A:M,8,0)</f>
        <v>4</v>
      </c>
    </row>
    <row r="179" spans="1:14">
      <c r="A179" s="133">
        <v>9943</v>
      </c>
      <c r="C179">
        <v>136</v>
      </c>
      <c r="D179">
        <v>894</v>
      </c>
      <c r="E179">
        <v>763</v>
      </c>
      <c r="F179">
        <v>3524</v>
      </c>
      <c r="G179">
        <v>70</v>
      </c>
      <c r="H179" s="141">
        <v>0.08</v>
      </c>
      <c r="I179">
        <f>RANK(0.08,H:H,0)</f>
        <v>80</v>
      </c>
      <c r="J179" s="137">
        <v>0.04</v>
      </c>
      <c r="K179">
        <f>RANK(0.04,J:J,0)</f>
        <v>220</v>
      </c>
      <c r="L179" s="53">
        <f>RANK(5.06,M:M,0)</f>
        <v>178</v>
      </c>
      <c r="M179" s="189">
        <v>4.05</v>
      </c>
      <c r="N179" s="186">
        <f>VLOOKUP(9943,季財報!A:M,8,0)</f>
        <v>2</v>
      </c>
    </row>
    <row r="180" spans="1:14">
      <c r="A180" s="133">
        <v>4991</v>
      </c>
      <c r="C180">
        <v>91</v>
      </c>
      <c r="D180">
        <v>1494</v>
      </c>
      <c r="E180">
        <v>428</v>
      </c>
      <c r="F180">
        <v>1521</v>
      </c>
      <c r="G180">
        <v>31</v>
      </c>
      <c r="H180" s="141">
        <v>0.05</v>
      </c>
      <c r="I180">
        <f>RANK(0.05,H:H,0)</f>
        <v>231</v>
      </c>
      <c r="J180" s="137">
        <v>0.06</v>
      </c>
      <c r="K180">
        <f>RANK(0.06,J:J,0)</f>
        <v>84</v>
      </c>
      <c r="L180" s="53">
        <f>RANK(4.82,M:M,0)</f>
        <v>179</v>
      </c>
      <c r="M180" s="189">
        <v>4.05</v>
      </c>
      <c r="N180" s="186">
        <f>VLOOKUP(4991,季財報!A:M,8,0)</f>
        <v>4</v>
      </c>
    </row>
    <row r="181" spans="1:14">
      <c r="A181" s="133">
        <v>2726</v>
      </c>
      <c r="C181">
        <v>38</v>
      </c>
      <c r="D181">
        <v>516</v>
      </c>
      <c r="E181">
        <v>178</v>
      </c>
      <c r="F181">
        <v>532</v>
      </c>
      <c r="G181">
        <v>147</v>
      </c>
      <c r="H181" s="141">
        <v>0.05</v>
      </c>
      <c r="I181">
        <f>RANK(0.05,H:H,0)</f>
        <v>231</v>
      </c>
      <c r="J181" s="137">
        <v>0.06</v>
      </c>
      <c r="K181">
        <f>RANK(0.06,J:J,0)</f>
        <v>84</v>
      </c>
      <c r="L181" s="53">
        <f>RANK(4.82,M:M,0)</f>
        <v>179</v>
      </c>
      <c r="M181" s="189">
        <v>4.05</v>
      </c>
      <c r="N181" s="186">
        <f>VLOOKUP(2726,季財報!A:M,8,0)</f>
        <v>5</v>
      </c>
    </row>
    <row r="182" spans="1:14">
      <c r="A182" s="133">
        <v>9921</v>
      </c>
      <c r="C182">
        <v>1338</v>
      </c>
      <c r="D182">
        <v>11314</v>
      </c>
      <c r="E182">
        <v>7724</v>
      </c>
      <c r="F182">
        <v>20091</v>
      </c>
      <c r="G182">
        <v>11422</v>
      </c>
      <c r="H182" s="141">
        <v>7.0000000000000007E-2</v>
      </c>
      <c r="I182">
        <f t="shared" ref="I182:I189" si="21">RANK(0.07,H:H,0)</f>
        <v>107</v>
      </c>
      <c r="J182" s="137">
        <v>0.04</v>
      </c>
      <c r="K182">
        <f t="shared" ref="K182:K189" si="22">RANK(0.04,J:J,0)</f>
        <v>220</v>
      </c>
      <c r="L182" s="53">
        <f t="shared" ref="L182:L189" si="23">RANK(4.65,M:M,0)</f>
        <v>181</v>
      </c>
      <c r="M182" s="189">
        <v>4.05</v>
      </c>
      <c r="N182" s="186">
        <f>VLOOKUP(9921,季財報!A:M,8,0)</f>
        <v>3</v>
      </c>
    </row>
    <row r="183" spans="1:14">
      <c r="A183" s="133">
        <v>8406</v>
      </c>
      <c r="C183">
        <v>592</v>
      </c>
      <c r="D183">
        <v>4715</v>
      </c>
      <c r="E183">
        <v>4349</v>
      </c>
      <c r="F183">
        <v>9961</v>
      </c>
      <c r="G183">
        <v>4559</v>
      </c>
      <c r="H183" s="141">
        <v>7.0000000000000007E-2</v>
      </c>
      <c r="I183">
        <f t="shared" si="21"/>
        <v>107</v>
      </c>
      <c r="J183" s="137">
        <v>0.04</v>
      </c>
      <c r="K183">
        <f t="shared" si="22"/>
        <v>220</v>
      </c>
      <c r="L183" s="53">
        <f t="shared" si="23"/>
        <v>181</v>
      </c>
      <c r="M183" s="189">
        <v>4.05</v>
      </c>
      <c r="N183" s="186">
        <f>VLOOKUP(8406,季財報!A:M,8,0)</f>
        <v>1</v>
      </c>
    </row>
    <row r="184" spans="1:14">
      <c r="A184" s="133">
        <v>4915</v>
      </c>
      <c r="C184">
        <v>726</v>
      </c>
      <c r="D184">
        <v>4065</v>
      </c>
      <c r="E184">
        <v>6129</v>
      </c>
      <c r="F184">
        <v>12292</v>
      </c>
      <c r="G184">
        <v>4871</v>
      </c>
      <c r="H184" s="141">
        <v>7.0000000000000007E-2</v>
      </c>
      <c r="I184">
        <f t="shared" si="21"/>
        <v>107</v>
      </c>
      <c r="J184" s="137">
        <v>0.04</v>
      </c>
      <c r="K184">
        <f t="shared" si="22"/>
        <v>220</v>
      </c>
      <c r="L184" s="53">
        <f t="shared" si="23"/>
        <v>181</v>
      </c>
      <c r="M184" s="189">
        <v>4.05</v>
      </c>
      <c r="N184" s="186">
        <f>VLOOKUP(4915,季財報!A:M,8,0)</f>
        <v>5</v>
      </c>
    </row>
    <row r="185" spans="1:14">
      <c r="A185" s="133">
        <v>1215</v>
      </c>
      <c r="C185">
        <v>269</v>
      </c>
      <c r="D185">
        <v>517</v>
      </c>
      <c r="E185">
        <v>3376</v>
      </c>
      <c r="F185">
        <v>5116</v>
      </c>
      <c r="G185">
        <v>2174</v>
      </c>
      <c r="H185" s="141">
        <v>7.0000000000000007E-2</v>
      </c>
      <c r="I185">
        <f t="shared" si="21"/>
        <v>107</v>
      </c>
      <c r="J185" s="137">
        <v>0.04</v>
      </c>
      <c r="K185">
        <f t="shared" si="22"/>
        <v>220</v>
      </c>
      <c r="L185" s="53">
        <f t="shared" si="23"/>
        <v>181</v>
      </c>
      <c r="M185" s="189">
        <v>4.05</v>
      </c>
      <c r="N185" s="186">
        <f>VLOOKUP(1215,季財報!A:M,8,0)</f>
        <v>3</v>
      </c>
    </row>
    <row r="186" spans="1:14">
      <c r="A186" s="133">
        <v>2385</v>
      </c>
      <c r="C186">
        <v>1253</v>
      </c>
      <c r="D186">
        <v>4302</v>
      </c>
      <c r="E186">
        <v>14875</v>
      </c>
      <c r="F186">
        <v>24529</v>
      </c>
      <c r="G186">
        <v>6331</v>
      </c>
      <c r="H186" s="141">
        <v>7.0000000000000007E-2</v>
      </c>
      <c r="I186">
        <f t="shared" si="21"/>
        <v>107</v>
      </c>
      <c r="J186" s="137">
        <v>0.04</v>
      </c>
      <c r="K186">
        <f t="shared" si="22"/>
        <v>220</v>
      </c>
      <c r="L186" s="53">
        <f t="shared" si="23"/>
        <v>181</v>
      </c>
      <c r="M186" s="189">
        <v>4.05</v>
      </c>
      <c r="N186" s="186">
        <f>VLOOKUP(2385,季財報!A:M,8,0)</f>
        <v>1</v>
      </c>
    </row>
    <row r="187" spans="1:14">
      <c r="A187" s="133">
        <v>3023</v>
      </c>
      <c r="C187">
        <v>302</v>
      </c>
      <c r="D187">
        <v>3272</v>
      </c>
      <c r="E187">
        <v>1288</v>
      </c>
      <c r="F187">
        <v>5467</v>
      </c>
      <c r="G187">
        <v>1417</v>
      </c>
      <c r="H187" s="141">
        <v>7.0000000000000007E-2</v>
      </c>
      <c r="I187">
        <f t="shared" si="21"/>
        <v>107</v>
      </c>
      <c r="J187" s="137">
        <v>0.04</v>
      </c>
      <c r="K187">
        <f t="shared" si="22"/>
        <v>220</v>
      </c>
      <c r="L187" s="53">
        <f t="shared" si="23"/>
        <v>181</v>
      </c>
      <c r="M187" s="189">
        <v>3.67</v>
      </c>
      <c r="N187" s="186">
        <f>VLOOKUP(3023,季財報!A:M,8,0)</f>
        <v>3</v>
      </c>
    </row>
    <row r="188" spans="1:14">
      <c r="A188" s="133">
        <v>3048</v>
      </c>
      <c r="C188">
        <v>286</v>
      </c>
      <c r="D188">
        <v>3492</v>
      </c>
      <c r="E188">
        <v>491</v>
      </c>
      <c r="F188">
        <v>3195</v>
      </c>
      <c r="G188">
        <v>3199</v>
      </c>
      <c r="H188" s="141">
        <v>7.0000000000000007E-2</v>
      </c>
      <c r="I188">
        <f t="shared" si="21"/>
        <v>107</v>
      </c>
      <c r="J188" s="137">
        <v>0.04</v>
      </c>
      <c r="K188">
        <f t="shared" si="22"/>
        <v>220</v>
      </c>
      <c r="L188" s="53">
        <f t="shared" si="23"/>
        <v>181</v>
      </c>
      <c r="M188" s="189">
        <v>3.67</v>
      </c>
      <c r="N188" s="186">
        <f>VLOOKUP(3048,季財報!A:M,8,0)</f>
        <v>2</v>
      </c>
    </row>
    <row r="189" spans="1:14">
      <c r="A189" s="133">
        <v>8109</v>
      </c>
      <c r="C189">
        <v>84</v>
      </c>
      <c r="D189">
        <v>966</v>
      </c>
      <c r="E189">
        <v>205</v>
      </c>
      <c r="F189">
        <v>1142</v>
      </c>
      <c r="G189">
        <v>970</v>
      </c>
      <c r="H189" s="141">
        <v>7.0000000000000007E-2</v>
      </c>
      <c r="I189">
        <f t="shared" si="21"/>
        <v>107</v>
      </c>
      <c r="J189" s="137">
        <v>0.04</v>
      </c>
      <c r="K189">
        <f t="shared" si="22"/>
        <v>220</v>
      </c>
      <c r="L189" s="53">
        <f t="shared" si="23"/>
        <v>181</v>
      </c>
      <c r="M189" s="189">
        <v>3.44</v>
      </c>
      <c r="N189" s="186">
        <f>VLOOKUP(8109,季財報!A:M,8,0)</f>
        <v>5</v>
      </c>
    </row>
    <row r="190" spans="1:14">
      <c r="A190" s="133">
        <v>4141</v>
      </c>
      <c r="C190">
        <v>341</v>
      </c>
      <c r="D190">
        <v>0</v>
      </c>
      <c r="E190">
        <v>579</v>
      </c>
      <c r="F190">
        <v>5997</v>
      </c>
      <c r="G190">
        <v>7358</v>
      </c>
      <c r="H190" s="141">
        <v>0.59</v>
      </c>
      <c r="I190">
        <f>RANK(0.59,H:H,0)</f>
        <v>2</v>
      </c>
      <c r="J190" s="137">
        <v>0.03</v>
      </c>
      <c r="K190">
        <f>RANK(0.03,J:J,0)</f>
        <v>334</v>
      </c>
      <c r="L190" s="53">
        <f>RANK(4.52,M:M,0)</f>
        <v>189</v>
      </c>
      <c r="M190" s="189">
        <v>3.37</v>
      </c>
      <c r="N190" s="186">
        <f>VLOOKUP(4141,季財報!A:M,8,0)</f>
        <v>1</v>
      </c>
    </row>
    <row r="191" spans="1:14">
      <c r="A191" s="133">
        <v>8435</v>
      </c>
      <c r="C191">
        <v>35</v>
      </c>
      <c r="D191">
        <v>521</v>
      </c>
      <c r="E191">
        <v>204</v>
      </c>
      <c r="F191">
        <v>738</v>
      </c>
      <c r="G191">
        <v>0</v>
      </c>
      <c r="H191" s="141">
        <v>0.05</v>
      </c>
      <c r="I191">
        <f t="shared" ref="I191:I220" si="24">RANK(0.05,H:H,0)</f>
        <v>231</v>
      </c>
      <c r="J191" s="137">
        <v>0.05</v>
      </c>
      <c r="K191">
        <f t="shared" ref="K191:K220" si="25">RANK(0.05,J:J,0)</f>
        <v>135</v>
      </c>
      <c r="L191" s="53">
        <f t="shared" ref="L191:L220" si="26">RANK(4.15,M:M,0)</f>
        <v>190</v>
      </c>
      <c r="M191" s="189">
        <v>3.37</v>
      </c>
      <c r="N191" s="186">
        <f>VLOOKUP(8435,季財報!A:M,8,0)</f>
        <v>2</v>
      </c>
    </row>
    <row r="192" spans="1:14">
      <c r="A192" s="133">
        <v>8416</v>
      </c>
      <c r="C192">
        <v>34</v>
      </c>
      <c r="D192">
        <v>458</v>
      </c>
      <c r="E192">
        <v>212</v>
      </c>
      <c r="F192">
        <v>692</v>
      </c>
      <c r="G192">
        <v>0</v>
      </c>
      <c r="H192" s="141">
        <v>0.05</v>
      </c>
      <c r="I192">
        <f t="shared" si="24"/>
        <v>231</v>
      </c>
      <c r="J192" s="137">
        <v>0.05</v>
      </c>
      <c r="K192">
        <f t="shared" si="25"/>
        <v>135</v>
      </c>
      <c r="L192" s="53">
        <f t="shared" si="26"/>
        <v>190</v>
      </c>
      <c r="M192" s="189">
        <v>3.37</v>
      </c>
      <c r="N192" s="186">
        <f>VLOOKUP(8416,季財報!A:M,8,0)</f>
        <v>1</v>
      </c>
    </row>
    <row r="193" spans="1:14">
      <c r="A193" s="133">
        <v>6245</v>
      </c>
      <c r="C193">
        <v>115</v>
      </c>
      <c r="D193">
        <v>1088</v>
      </c>
      <c r="E193">
        <v>1111</v>
      </c>
      <c r="F193">
        <v>2222</v>
      </c>
      <c r="G193">
        <v>277</v>
      </c>
      <c r="H193" s="141">
        <v>0.05</v>
      </c>
      <c r="I193">
        <f t="shared" si="24"/>
        <v>231</v>
      </c>
      <c r="J193" s="137">
        <v>0.05</v>
      </c>
      <c r="K193">
        <f t="shared" si="25"/>
        <v>135</v>
      </c>
      <c r="L193" s="53">
        <f t="shared" si="26"/>
        <v>190</v>
      </c>
      <c r="M193" s="189">
        <v>3.37</v>
      </c>
      <c r="N193" s="186">
        <f>VLOOKUP(6245,季財報!A:M,8,0)</f>
        <v>2</v>
      </c>
    </row>
    <row r="194" spans="1:14">
      <c r="A194" s="133">
        <v>6274</v>
      </c>
      <c r="C194">
        <v>320</v>
      </c>
      <c r="D194">
        <v>3928</v>
      </c>
      <c r="E194">
        <v>3052</v>
      </c>
      <c r="F194">
        <v>6194</v>
      </c>
      <c r="G194">
        <v>243</v>
      </c>
      <c r="H194" s="141">
        <v>0.05</v>
      </c>
      <c r="I194">
        <f t="shared" si="24"/>
        <v>231</v>
      </c>
      <c r="J194" s="137">
        <v>0.05</v>
      </c>
      <c r="K194">
        <f t="shared" si="25"/>
        <v>135</v>
      </c>
      <c r="L194" s="53">
        <f t="shared" si="26"/>
        <v>190</v>
      </c>
      <c r="M194" s="189">
        <v>3.37</v>
      </c>
      <c r="N194" s="186">
        <f>VLOOKUP(6274,季財報!A:M,8,0)</f>
        <v>3</v>
      </c>
    </row>
    <row r="195" spans="1:14">
      <c r="A195" s="133">
        <v>6281</v>
      </c>
      <c r="C195">
        <v>100</v>
      </c>
      <c r="D195">
        <v>1794</v>
      </c>
      <c r="E195">
        <v>299</v>
      </c>
      <c r="F195">
        <v>2215</v>
      </c>
      <c r="G195">
        <v>0</v>
      </c>
      <c r="H195" s="141">
        <v>0.05</v>
      </c>
      <c r="I195">
        <f t="shared" si="24"/>
        <v>231</v>
      </c>
      <c r="J195" s="137">
        <v>0.05</v>
      </c>
      <c r="K195">
        <f t="shared" si="25"/>
        <v>135</v>
      </c>
      <c r="L195" s="53">
        <f t="shared" si="26"/>
        <v>190</v>
      </c>
      <c r="M195" s="189">
        <v>3.37</v>
      </c>
      <c r="N195" s="186">
        <f>VLOOKUP(6281,季財報!A:M,8,0)</f>
        <v>0</v>
      </c>
    </row>
    <row r="196" spans="1:14">
      <c r="A196" s="133">
        <v>6217</v>
      </c>
      <c r="C196">
        <v>65</v>
      </c>
      <c r="D196">
        <v>1018</v>
      </c>
      <c r="E196">
        <v>304</v>
      </c>
      <c r="F196">
        <v>1380</v>
      </c>
      <c r="G196">
        <v>0</v>
      </c>
      <c r="H196" s="141">
        <v>0.05</v>
      </c>
      <c r="I196">
        <f t="shared" si="24"/>
        <v>231</v>
      </c>
      <c r="J196" s="137">
        <v>0.05</v>
      </c>
      <c r="K196">
        <f t="shared" si="25"/>
        <v>135</v>
      </c>
      <c r="L196" s="53">
        <f t="shared" si="26"/>
        <v>190</v>
      </c>
      <c r="M196" s="189">
        <v>3.37</v>
      </c>
      <c r="N196" s="186">
        <f>VLOOKUP(6217,季財報!A:M,8,0)</f>
        <v>5</v>
      </c>
    </row>
    <row r="197" spans="1:14">
      <c r="A197" s="133">
        <v>5212</v>
      </c>
      <c r="C197">
        <v>19</v>
      </c>
      <c r="D197">
        <v>264</v>
      </c>
      <c r="E197">
        <v>90</v>
      </c>
      <c r="F197">
        <v>375</v>
      </c>
      <c r="G197">
        <v>33</v>
      </c>
      <c r="H197" s="141">
        <v>0.05</v>
      </c>
      <c r="I197">
        <f t="shared" si="24"/>
        <v>231</v>
      </c>
      <c r="J197" s="137">
        <v>0.05</v>
      </c>
      <c r="K197">
        <f t="shared" si="25"/>
        <v>135</v>
      </c>
      <c r="L197" s="53">
        <f t="shared" si="26"/>
        <v>190</v>
      </c>
      <c r="M197" s="189">
        <v>3.37</v>
      </c>
      <c r="N197" s="186">
        <f>VLOOKUP(5212,季財報!A:M,8,0)</f>
        <v>2</v>
      </c>
    </row>
    <row r="198" spans="1:14">
      <c r="A198" s="133">
        <v>5490</v>
      </c>
      <c r="C198">
        <v>89</v>
      </c>
      <c r="D198">
        <v>1704</v>
      </c>
      <c r="E198">
        <v>105</v>
      </c>
      <c r="F198">
        <v>1722</v>
      </c>
      <c r="G198">
        <v>0</v>
      </c>
      <c r="H198" s="141">
        <v>0.05</v>
      </c>
      <c r="I198">
        <f t="shared" si="24"/>
        <v>231</v>
      </c>
      <c r="J198" s="137">
        <v>0.05</v>
      </c>
      <c r="K198">
        <f t="shared" si="25"/>
        <v>135</v>
      </c>
      <c r="L198" s="53">
        <f t="shared" si="26"/>
        <v>190</v>
      </c>
      <c r="M198" s="189">
        <v>3.37</v>
      </c>
      <c r="N198" s="186">
        <f>VLOOKUP(5490,季財報!A:M,8,0)</f>
        <v>3</v>
      </c>
    </row>
    <row r="199" spans="1:14">
      <c r="A199" s="133">
        <v>4736</v>
      </c>
      <c r="C199">
        <v>152</v>
      </c>
      <c r="D199">
        <v>1658</v>
      </c>
      <c r="E199">
        <v>1242</v>
      </c>
      <c r="F199">
        <v>2689</v>
      </c>
      <c r="G199">
        <v>322</v>
      </c>
      <c r="H199" s="141">
        <v>0.05</v>
      </c>
      <c r="I199">
        <f t="shared" si="24"/>
        <v>231</v>
      </c>
      <c r="J199" s="137">
        <v>0.05</v>
      </c>
      <c r="K199">
        <f t="shared" si="25"/>
        <v>135</v>
      </c>
      <c r="L199" s="53">
        <f t="shared" si="26"/>
        <v>190</v>
      </c>
      <c r="M199" s="189">
        <v>3.37</v>
      </c>
      <c r="N199" s="186">
        <f>VLOOKUP(4736,季財報!A:M,8,0)</f>
        <v>5</v>
      </c>
    </row>
    <row r="200" spans="1:14">
      <c r="A200" s="133">
        <v>4919</v>
      </c>
      <c r="C200">
        <v>151</v>
      </c>
      <c r="D200">
        <v>2299</v>
      </c>
      <c r="E200">
        <v>447</v>
      </c>
      <c r="F200">
        <v>3098</v>
      </c>
      <c r="G200">
        <v>0</v>
      </c>
      <c r="H200" s="141">
        <v>0.05</v>
      </c>
      <c r="I200">
        <f t="shared" si="24"/>
        <v>231</v>
      </c>
      <c r="J200" s="137">
        <v>0.05</v>
      </c>
      <c r="K200">
        <f t="shared" si="25"/>
        <v>135</v>
      </c>
      <c r="L200" s="53">
        <f t="shared" si="26"/>
        <v>190</v>
      </c>
      <c r="M200" s="189">
        <v>3.37</v>
      </c>
      <c r="N200" s="186">
        <f>VLOOKUP(4919,季財報!A:M,8,0)</f>
        <v>1</v>
      </c>
    </row>
    <row r="201" spans="1:14">
      <c r="A201" s="133">
        <v>4971</v>
      </c>
      <c r="C201">
        <v>70</v>
      </c>
      <c r="D201">
        <v>731</v>
      </c>
      <c r="E201">
        <v>597</v>
      </c>
      <c r="F201">
        <v>1437</v>
      </c>
      <c r="G201">
        <v>0</v>
      </c>
      <c r="H201" s="141">
        <v>0.05</v>
      </c>
      <c r="I201">
        <f t="shared" si="24"/>
        <v>231</v>
      </c>
      <c r="J201" s="137">
        <v>0.05</v>
      </c>
      <c r="K201">
        <f t="shared" si="25"/>
        <v>135</v>
      </c>
      <c r="L201" s="53">
        <f t="shared" si="26"/>
        <v>190</v>
      </c>
      <c r="M201" s="189">
        <v>3.37</v>
      </c>
      <c r="N201" s="186">
        <f>VLOOKUP(4971,季財報!A:M,8,0)</f>
        <v>1</v>
      </c>
    </row>
    <row r="202" spans="1:14">
      <c r="A202" s="133">
        <v>1777</v>
      </c>
      <c r="C202">
        <v>47</v>
      </c>
      <c r="D202">
        <v>604</v>
      </c>
      <c r="E202">
        <v>321</v>
      </c>
      <c r="F202">
        <v>936</v>
      </c>
      <c r="G202">
        <v>42</v>
      </c>
      <c r="H202" s="141">
        <v>0.05</v>
      </c>
      <c r="I202">
        <f t="shared" si="24"/>
        <v>231</v>
      </c>
      <c r="J202" s="137">
        <v>0.05</v>
      </c>
      <c r="K202">
        <f t="shared" si="25"/>
        <v>135</v>
      </c>
      <c r="L202" s="53">
        <f t="shared" si="26"/>
        <v>190</v>
      </c>
      <c r="M202" s="189">
        <v>3.37</v>
      </c>
      <c r="N202" s="186">
        <f>VLOOKUP(1777,季財報!A:M,8,0)</f>
        <v>5</v>
      </c>
    </row>
    <row r="203" spans="1:14">
      <c r="A203" s="133">
        <v>2377</v>
      </c>
      <c r="C203">
        <v>1230</v>
      </c>
      <c r="D203">
        <v>17619</v>
      </c>
      <c r="E203">
        <v>5622</v>
      </c>
      <c r="F203">
        <v>24849</v>
      </c>
      <c r="G203">
        <v>164</v>
      </c>
      <c r="H203" s="141">
        <v>0.05</v>
      </c>
      <c r="I203">
        <f t="shared" si="24"/>
        <v>231</v>
      </c>
      <c r="J203" s="137">
        <v>0.05</v>
      </c>
      <c r="K203">
        <f t="shared" si="25"/>
        <v>135</v>
      </c>
      <c r="L203" s="53">
        <f t="shared" si="26"/>
        <v>190</v>
      </c>
      <c r="M203" s="189">
        <v>3.37</v>
      </c>
      <c r="N203" s="186">
        <f>VLOOKUP(2377,季財報!A:M,8,0)</f>
        <v>5</v>
      </c>
    </row>
    <row r="204" spans="1:14">
      <c r="A204" s="133">
        <v>2428</v>
      </c>
      <c r="C204">
        <v>257</v>
      </c>
      <c r="D204">
        <v>3511</v>
      </c>
      <c r="E204">
        <v>1255</v>
      </c>
      <c r="F204">
        <v>4657</v>
      </c>
      <c r="G204">
        <v>329</v>
      </c>
      <c r="H204" s="141">
        <v>0.05</v>
      </c>
      <c r="I204">
        <f t="shared" si="24"/>
        <v>231</v>
      </c>
      <c r="J204" s="137">
        <v>0.05</v>
      </c>
      <c r="K204">
        <f t="shared" si="25"/>
        <v>135</v>
      </c>
      <c r="L204" s="53">
        <f t="shared" si="26"/>
        <v>190</v>
      </c>
      <c r="M204" s="189">
        <v>3.37</v>
      </c>
      <c r="N204" s="186">
        <f>VLOOKUP(2428,季財報!A:M,8,0)</f>
        <v>3</v>
      </c>
    </row>
    <row r="205" spans="1:14">
      <c r="A205" s="133">
        <v>2464</v>
      </c>
      <c r="C205">
        <v>183</v>
      </c>
      <c r="D205">
        <v>1807</v>
      </c>
      <c r="E205">
        <v>1592</v>
      </c>
      <c r="F205">
        <v>3537</v>
      </c>
      <c r="G205">
        <v>283</v>
      </c>
      <c r="H205" s="141">
        <v>0.05</v>
      </c>
      <c r="I205">
        <f t="shared" si="24"/>
        <v>231</v>
      </c>
      <c r="J205" s="137">
        <v>0.05</v>
      </c>
      <c r="K205">
        <f t="shared" si="25"/>
        <v>135</v>
      </c>
      <c r="L205" s="53">
        <f t="shared" si="26"/>
        <v>190</v>
      </c>
      <c r="M205" s="189">
        <v>3.37</v>
      </c>
      <c r="N205" s="186">
        <f>VLOOKUP(2464,季財報!A:M,8,0)</f>
        <v>3</v>
      </c>
    </row>
    <row r="206" spans="1:14">
      <c r="A206" s="133">
        <v>2488</v>
      </c>
      <c r="C206">
        <v>82</v>
      </c>
      <c r="D206">
        <v>1222</v>
      </c>
      <c r="E206">
        <v>445</v>
      </c>
      <c r="F206">
        <v>1746</v>
      </c>
      <c r="G206">
        <v>49</v>
      </c>
      <c r="H206" s="141">
        <v>0.05</v>
      </c>
      <c r="I206">
        <f t="shared" si="24"/>
        <v>231</v>
      </c>
      <c r="J206" s="137">
        <v>0.05</v>
      </c>
      <c r="K206">
        <f t="shared" si="25"/>
        <v>135</v>
      </c>
      <c r="L206" s="53">
        <f t="shared" si="26"/>
        <v>190</v>
      </c>
      <c r="M206" s="189">
        <v>3.37</v>
      </c>
      <c r="N206" s="186">
        <f>VLOOKUP(2488,季財報!A:M,8,0)</f>
        <v>4</v>
      </c>
    </row>
    <row r="207" spans="1:14">
      <c r="A207" s="133">
        <v>2493</v>
      </c>
      <c r="C207">
        <v>105</v>
      </c>
      <c r="D207">
        <v>1551</v>
      </c>
      <c r="E207">
        <v>487</v>
      </c>
      <c r="F207">
        <v>2107</v>
      </c>
      <c r="G207">
        <v>24</v>
      </c>
      <c r="H207" s="141">
        <v>0.05</v>
      </c>
      <c r="I207">
        <f t="shared" si="24"/>
        <v>231</v>
      </c>
      <c r="J207" s="137">
        <v>0.05</v>
      </c>
      <c r="K207">
        <f t="shared" si="25"/>
        <v>135</v>
      </c>
      <c r="L207" s="53">
        <f t="shared" si="26"/>
        <v>190</v>
      </c>
      <c r="M207" s="189">
        <v>3.37</v>
      </c>
      <c r="N207" s="186">
        <f>VLOOKUP(2493,季財報!A:M,8,0)</f>
        <v>3</v>
      </c>
    </row>
    <row r="208" spans="1:14">
      <c r="A208" s="133">
        <v>2729</v>
      </c>
      <c r="C208">
        <v>83</v>
      </c>
      <c r="D208">
        <v>821</v>
      </c>
      <c r="E208">
        <v>931</v>
      </c>
      <c r="F208">
        <v>1797</v>
      </c>
      <c r="G208">
        <v>0</v>
      </c>
      <c r="H208" s="141">
        <v>0.05</v>
      </c>
      <c r="I208">
        <f t="shared" si="24"/>
        <v>231</v>
      </c>
      <c r="J208" s="137">
        <v>0.05</v>
      </c>
      <c r="K208">
        <f t="shared" si="25"/>
        <v>135</v>
      </c>
      <c r="L208" s="53">
        <f t="shared" si="26"/>
        <v>190</v>
      </c>
      <c r="M208" s="189">
        <v>3.37</v>
      </c>
      <c r="N208" s="186">
        <f>VLOOKUP(2729,季財報!A:M,8,0)</f>
        <v>2</v>
      </c>
    </row>
    <row r="209" spans="1:14">
      <c r="A209" s="133">
        <v>3213</v>
      </c>
      <c r="C209">
        <v>60</v>
      </c>
      <c r="D209">
        <v>992</v>
      </c>
      <c r="E209">
        <v>163</v>
      </c>
      <c r="F209">
        <v>1228</v>
      </c>
      <c r="G209">
        <v>0</v>
      </c>
      <c r="H209" s="141">
        <v>0.05</v>
      </c>
      <c r="I209">
        <f t="shared" si="24"/>
        <v>231</v>
      </c>
      <c r="J209" s="137">
        <v>0.05</v>
      </c>
      <c r="K209">
        <f t="shared" si="25"/>
        <v>135</v>
      </c>
      <c r="L209" s="53">
        <f t="shared" si="26"/>
        <v>190</v>
      </c>
      <c r="M209" s="189">
        <v>3.37</v>
      </c>
      <c r="N209" s="186">
        <f>VLOOKUP(3213,季財報!A:M,8,0)</f>
        <v>2</v>
      </c>
    </row>
    <row r="210" spans="1:14">
      <c r="A210" s="133">
        <v>3272</v>
      </c>
      <c r="C210">
        <v>82</v>
      </c>
      <c r="D210">
        <v>1335</v>
      </c>
      <c r="E210">
        <v>214</v>
      </c>
      <c r="F210">
        <v>1418</v>
      </c>
      <c r="G210">
        <v>167</v>
      </c>
      <c r="H210" s="141">
        <v>0.05</v>
      </c>
      <c r="I210">
        <f t="shared" si="24"/>
        <v>231</v>
      </c>
      <c r="J210" s="137">
        <v>0.05</v>
      </c>
      <c r="K210">
        <f t="shared" si="25"/>
        <v>135</v>
      </c>
      <c r="L210" s="53">
        <f t="shared" si="26"/>
        <v>190</v>
      </c>
      <c r="M210" s="189">
        <v>3.37</v>
      </c>
      <c r="N210" s="186">
        <f>VLOOKUP(3272,季財報!A:M,8,0)</f>
        <v>3</v>
      </c>
    </row>
    <row r="211" spans="1:14">
      <c r="A211" s="133">
        <v>3454</v>
      </c>
      <c r="C211">
        <v>118</v>
      </c>
      <c r="D211">
        <v>1748</v>
      </c>
      <c r="E211">
        <v>455</v>
      </c>
      <c r="F211">
        <v>2607</v>
      </c>
      <c r="G211">
        <v>2</v>
      </c>
      <c r="H211" s="141">
        <v>0.05</v>
      </c>
      <c r="I211">
        <f t="shared" si="24"/>
        <v>231</v>
      </c>
      <c r="J211" s="137">
        <v>0.05</v>
      </c>
      <c r="K211">
        <f t="shared" si="25"/>
        <v>135</v>
      </c>
      <c r="L211" s="53">
        <f t="shared" si="26"/>
        <v>190</v>
      </c>
      <c r="M211" s="189">
        <v>3.37</v>
      </c>
      <c r="N211" s="186">
        <f>VLOOKUP(3454,季財報!A:M,8,0)</f>
        <v>2</v>
      </c>
    </row>
    <row r="212" spans="1:14">
      <c r="A212" s="133">
        <v>3490</v>
      </c>
      <c r="C212">
        <v>87</v>
      </c>
      <c r="D212">
        <v>962</v>
      </c>
      <c r="E212">
        <v>822</v>
      </c>
      <c r="F212">
        <v>1664</v>
      </c>
      <c r="G212">
        <v>180</v>
      </c>
      <c r="H212" s="141">
        <v>0.05</v>
      </c>
      <c r="I212">
        <f t="shared" si="24"/>
        <v>231</v>
      </c>
      <c r="J212" s="137">
        <v>0.05</v>
      </c>
      <c r="K212">
        <f t="shared" si="25"/>
        <v>135</v>
      </c>
      <c r="L212" s="53">
        <f t="shared" si="26"/>
        <v>190</v>
      </c>
      <c r="M212" s="189">
        <v>3.27</v>
      </c>
      <c r="N212" s="186">
        <f>VLOOKUP(3490,季財報!A:M,8,0)</f>
        <v>1</v>
      </c>
    </row>
    <row r="213" spans="1:14">
      <c r="A213" s="133">
        <v>3541</v>
      </c>
      <c r="C213">
        <v>43</v>
      </c>
      <c r="D213">
        <v>551</v>
      </c>
      <c r="E213">
        <v>251</v>
      </c>
      <c r="F213">
        <v>799</v>
      </c>
      <c r="G213">
        <v>89</v>
      </c>
      <c r="H213" s="141">
        <v>0.05</v>
      </c>
      <c r="I213">
        <f t="shared" si="24"/>
        <v>231</v>
      </c>
      <c r="J213" s="137">
        <v>0.05</v>
      </c>
      <c r="K213">
        <f t="shared" si="25"/>
        <v>135</v>
      </c>
      <c r="L213" s="53">
        <f t="shared" si="26"/>
        <v>190</v>
      </c>
      <c r="M213" s="189">
        <v>3.27</v>
      </c>
      <c r="N213" s="186">
        <f>VLOOKUP(3541,季財報!A:M,8,0)</f>
        <v>3</v>
      </c>
    </row>
    <row r="214" spans="1:14">
      <c r="A214" s="133">
        <v>3559</v>
      </c>
      <c r="C214">
        <v>87</v>
      </c>
      <c r="D214">
        <v>702</v>
      </c>
      <c r="E214">
        <v>1116</v>
      </c>
      <c r="F214">
        <v>1929</v>
      </c>
      <c r="G214">
        <v>0</v>
      </c>
      <c r="H214" s="141">
        <v>0.05</v>
      </c>
      <c r="I214">
        <f t="shared" si="24"/>
        <v>231</v>
      </c>
      <c r="J214" s="137">
        <v>0.05</v>
      </c>
      <c r="K214">
        <f t="shared" si="25"/>
        <v>135</v>
      </c>
      <c r="L214" s="53">
        <f t="shared" si="26"/>
        <v>190</v>
      </c>
      <c r="M214" s="189">
        <v>3.27</v>
      </c>
      <c r="N214" s="186">
        <f>VLOOKUP(3559,季財報!A:M,8,0)</f>
        <v>3</v>
      </c>
    </row>
    <row r="215" spans="1:14">
      <c r="A215" s="133">
        <v>3563</v>
      </c>
      <c r="C215">
        <v>54</v>
      </c>
      <c r="D215">
        <v>757</v>
      </c>
      <c r="E215">
        <v>225</v>
      </c>
      <c r="F215">
        <v>1028</v>
      </c>
      <c r="G215">
        <v>0</v>
      </c>
      <c r="H215" s="141">
        <v>0.05</v>
      </c>
      <c r="I215">
        <f t="shared" si="24"/>
        <v>231</v>
      </c>
      <c r="J215" s="137">
        <v>0.05</v>
      </c>
      <c r="K215">
        <f t="shared" si="25"/>
        <v>135</v>
      </c>
      <c r="L215" s="53">
        <f t="shared" si="26"/>
        <v>190</v>
      </c>
      <c r="M215" s="189">
        <v>3.27</v>
      </c>
      <c r="N215" s="186">
        <f>VLOOKUP(3563,季財報!A:M,8,0)</f>
        <v>2</v>
      </c>
    </row>
    <row r="216" spans="1:14">
      <c r="A216" s="133">
        <v>3632</v>
      </c>
      <c r="C216">
        <v>29</v>
      </c>
      <c r="D216">
        <v>367</v>
      </c>
      <c r="E216">
        <v>240</v>
      </c>
      <c r="F216">
        <v>455</v>
      </c>
      <c r="G216">
        <v>140</v>
      </c>
      <c r="H216" s="141">
        <v>0.05</v>
      </c>
      <c r="I216">
        <f t="shared" si="24"/>
        <v>231</v>
      </c>
      <c r="J216" s="137">
        <v>0.05</v>
      </c>
      <c r="K216">
        <f t="shared" si="25"/>
        <v>135</v>
      </c>
      <c r="L216" s="53">
        <f t="shared" si="26"/>
        <v>190</v>
      </c>
      <c r="M216" s="189">
        <v>3.27</v>
      </c>
      <c r="N216" s="186">
        <f>VLOOKUP(3632,季財報!A:M,8,0)</f>
        <v>4</v>
      </c>
    </row>
    <row r="217" spans="1:14">
      <c r="A217" s="133">
        <v>4107</v>
      </c>
      <c r="C217">
        <v>86</v>
      </c>
      <c r="D217">
        <v>934</v>
      </c>
      <c r="E217">
        <v>939</v>
      </c>
      <c r="F217">
        <v>1816</v>
      </c>
      <c r="G217">
        <v>78</v>
      </c>
      <c r="H217" s="141">
        <v>0.05</v>
      </c>
      <c r="I217">
        <f t="shared" si="24"/>
        <v>231</v>
      </c>
      <c r="J217" s="137">
        <v>0.05</v>
      </c>
      <c r="K217">
        <f t="shared" si="25"/>
        <v>135</v>
      </c>
      <c r="L217" s="53">
        <f t="shared" si="26"/>
        <v>190</v>
      </c>
      <c r="M217" s="189">
        <v>3.11</v>
      </c>
      <c r="N217" s="186">
        <f>VLOOKUP(4107,季財報!A:M,8,0)</f>
        <v>3</v>
      </c>
    </row>
    <row r="218" spans="1:14">
      <c r="A218" s="133">
        <v>5425</v>
      </c>
      <c r="C218">
        <v>361</v>
      </c>
      <c r="D218">
        <v>3564</v>
      </c>
      <c r="E218">
        <v>3067</v>
      </c>
      <c r="F218">
        <v>6369</v>
      </c>
      <c r="G218">
        <v>365</v>
      </c>
      <c r="H218" s="141">
        <v>0.05</v>
      </c>
      <c r="I218">
        <f t="shared" si="24"/>
        <v>231</v>
      </c>
      <c r="J218" s="137">
        <v>0.05</v>
      </c>
      <c r="K218">
        <f t="shared" si="25"/>
        <v>135</v>
      </c>
      <c r="L218" s="53">
        <f t="shared" si="26"/>
        <v>190</v>
      </c>
      <c r="M218" s="189">
        <v>3.11</v>
      </c>
      <c r="N218" s="186">
        <f>VLOOKUP(5425,季財報!A:M,8,0)</f>
        <v>3</v>
      </c>
    </row>
    <row r="219" spans="1:14">
      <c r="A219" s="133">
        <v>4432</v>
      </c>
      <c r="C219">
        <v>73</v>
      </c>
      <c r="D219">
        <v>1040</v>
      </c>
      <c r="E219">
        <v>316</v>
      </c>
      <c r="F219">
        <v>1449</v>
      </c>
      <c r="G219">
        <v>0</v>
      </c>
      <c r="H219" s="141">
        <v>0.05</v>
      </c>
      <c r="I219">
        <f t="shared" si="24"/>
        <v>231</v>
      </c>
      <c r="J219" s="137">
        <v>0.05</v>
      </c>
      <c r="K219">
        <f t="shared" si="25"/>
        <v>135</v>
      </c>
      <c r="L219" s="53">
        <f t="shared" si="26"/>
        <v>190</v>
      </c>
      <c r="M219" s="189">
        <v>3.11</v>
      </c>
      <c r="N219" s="186">
        <f>VLOOKUP(4432,季財報!A:M,8,0)</f>
        <v>3</v>
      </c>
    </row>
    <row r="220" spans="1:14">
      <c r="A220" s="133">
        <v>2406</v>
      </c>
      <c r="C220">
        <v>588</v>
      </c>
      <c r="D220">
        <v>5262</v>
      </c>
      <c r="E220">
        <v>5460</v>
      </c>
      <c r="F220">
        <v>7986</v>
      </c>
      <c r="G220">
        <v>3381</v>
      </c>
      <c r="H220" s="141">
        <v>0.05</v>
      </c>
      <c r="I220">
        <f t="shared" si="24"/>
        <v>231</v>
      </c>
      <c r="J220" s="137">
        <v>0.05</v>
      </c>
      <c r="K220">
        <f t="shared" si="25"/>
        <v>135</v>
      </c>
      <c r="L220" s="53">
        <f t="shared" si="26"/>
        <v>190</v>
      </c>
      <c r="M220" s="189">
        <v>3.11</v>
      </c>
      <c r="N220" s="186">
        <f>VLOOKUP(2406,季財報!A:M,8,0)</f>
        <v>5</v>
      </c>
    </row>
    <row r="221" spans="1:14">
      <c r="A221" s="133">
        <v>5905</v>
      </c>
      <c r="C221">
        <v>125</v>
      </c>
      <c r="D221">
        <v>15</v>
      </c>
      <c r="E221">
        <v>1109</v>
      </c>
      <c r="F221">
        <v>3125</v>
      </c>
      <c r="G221">
        <v>919</v>
      </c>
      <c r="H221" s="141">
        <v>0.11</v>
      </c>
      <c r="I221">
        <f>RANK(0.11,H:H,0)</f>
        <v>38</v>
      </c>
      <c r="J221" s="137">
        <v>0.03</v>
      </c>
      <c r="K221">
        <f>RANK(0.03,J:J,0)</f>
        <v>334</v>
      </c>
      <c r="L221" s="53">
        <f>RANK(4.08,M:M,0)</f>
        <v>220</v>
      </c>
      <c r="M221" s="189">
        <v>3.11</v>
      </c>
      <c r="N221" s="186">
        <f>VLOOKUP(5905,季財報!A:M,8,0)</f>
        <v>2</v>
      </c>
    </row>
    <row r="222" spans="1:14">
      <c r="A222" s="133">
        <v>9938</v>
      </c>
      <c r="C222">
        <v>491</v>
      </c>
      <c r="D222">
        <v>3641</v>
      </c>
      <c r="E222">
        <v>4847</v>
      </c>
      <c r="F222">
        <v>9236</v>
      </c>
      <c r="G222">
        <v>2885</v>
      </c>
      <c r="H222" s="141">
        <v>0.06</v>
      </c>
      <c r="I222">
        <f t="shared" ref="I222:I236" si="27">RANK(0.06,H:H,0)</f>
        <v>155</v>
      </c>
      <c r="J222" s="137">
        <v>0.04</v>
      </c>
      <c r="K222">
        <f t="shared" ref="K222:K236" si="28">RANK(0.04,J:J,0)</f>
        <v>220</v>
      </c>
      <c r="L222" s="53">
        <f t="shared" ref="L222:L236" si="29">RANK(4.05,M:M,0)</f>
        <v>221</v>
      </c>
      <c r="M222" s="189">
        <v>2.76</v>
      </c>
      <c r="N222" s="186">
        <f>VLOOKUP(9938,季財報!A:M,8,0)</f>
        <v>3</v>
      </c>
    </row>
    <row r="223" spans="1:14">
      <c r="A223" s="133">
        <v>6285</v>
      </c>
      <c r="C223">
        <v>638</v>
      </c>
      <c r="D223">
        <v>5718</v>
      </c>
      <c r="E223">
        <v>5822</v>
      </c>
      <c r="F223">
        <v>11992</v>
      </c>
      <c r="G223">
        <v>2295</v>
      </c>
      <c r="H223" s="141">
        <v>0.06</v>
      </c>
      <c r="I223">
        <f t="shared" si="27"/>
        <v>155</v>
      </c>
      <c r="J223" s="137">
        <v>0.04</v>
      </c>
      <c r="K223">
        <f t="shared" si="28"/>
        <v>220</v>
      </c>
      <c r="L223" s="53">
        <f t="shared" si="29"/>
        <v>221</v>
      </c>
      <c r="M223" s="189">
        <v>2.76</v>
      </c>
      <c r="N223" s="186">
        <f>VLOOKUP(6285,季財報!A:M,8,0)</f>
        <v>4</v>
      </c>
    </row>
    <row r="224" spans="1:14">
      <c r="A224" s="133">
        <v>4163</v>
      </c>
      <c r="C224">
        <v>74</v>
      </c>
      <c r="D224">
        <v>388</v>
      </c>
      <c r="E224">
        <v>867</v>
      </c>
      <c r="F224">
        <v>1302</v>
      </c>
      <c r="G224">
        <v>465</v>
      </c>
      <c r="H224" s="141">
        <v>0.06</v>
      </c>
      <c r="I224">
        <f t="shared" si="27"/>
        <v>155</v>
      </c>
      <c r="J224" s="137">
        <v>0.04</v>
      </c>
      <c r="K224">
        <f t="shared" si="28"/>
        <v>220</v>
      </c>
      <c r="L224" s="53">
        <f t="shared" si="29"/>
        <v>221</v>
      </c>
      <c r="M224" s="189">
        <v>2.76</v>
      </c>
      <c r="N224" s="186">
        <f>VLOOKUP(4163,季財報!A:M,8,0)</f>
        <v>3</v>
      </c>
    </row>
    <row r="225" spans="1:14">
      <c r="A225" s="133">
        <v>4722</v>
      </c>
      <c r="C225">
        <v>102</v>
      </c>
      <c r="D225">
        <v>876</v>
      </c>
      <c r="E225">
        <v>962</v>
      </c>
      <c r="F225">
        <v>1904</v>
      </c>
      <c r="G225">
        <v>666</v>
      </c>
      <c r="H225" s="141">
        <v>0.06</v>
      </c>
      <c r="I225">
        <f t="shared" si="27"/>
        <v>155</v>
      </c>
      <c r="J225" s="137">
        <v>0.04</v>
      </c>
      <c r="K225">
        <f t="shared" si="28"/>
        <v>220</v>
      </c>
      <c r="L225" s="53">
        <f t="shared" si="29"/>
        <v>221</v>
      </c>
      <c r="M225" s="189">
        <v>2.76</v>
      </c>
      <c r="N225" s="186">
        <f>VLOOKUP(4722,季財報!A:M,8,0)</f>
        <v>3</v>
      </c>
    </row>
    <row r="226" spans="1:14">
      <c r="A226" s="133">
        <v>6176</v>
      </c>
      <c r="C226">
        <v>1502</v>
      </c>
      <c r="D226">
        <v>17866</v>
      </c>
      <c r="E226">
        <v>9317</v>
      </c>
      <c r="F226">
        <v>23577</v>
      </c>
      <c r="G226">
        <v>12334</v>
      </c>
      <c r="H226" s="141">
        <v>0.06</v>
      </c>
      <c r="I226">
        <f t="shared" si="27"/>
        <v>155</v>
      </c>
      <c r="J226" s="137">
        <v>0.04</v>
      </c>
      <c r="K226">
        <f t="shared" si="28"/>
        <v>220</v>
      </c>
      <c r="L226" s="53">
        <f t="shared" si="29"/>
        <v>221</v>
      </c>
      <c r="M226" s="189">
        <v>2.76</v>
      </c>
      <c r="N226" s="186">
        <f>VLOOKUP(6176,季財報!A:M,8,0)</f>
        <v>3</v>
      </c>
    </row>
    <row r="227" spans="1:14">
      <c r="A227" s="133">
        <v>1730</v>
      </c>
      <c r="C227">
        <v>51</v>
      </c>
      <c r="D227">
        <v>513</v>
      </c>
      <c r="E227">
        <v>330</v>
      </c>
      <c r="F227">
        <v>1144</v>
      </c>
      <c r="G227">
        <v>177</v>
      </c>
      <c r="H227" s="141">
        <v>0.06</v>
      </c>
      <c r="I227">
        <f t="shared" si="27"/>
        <v>155</v>
      </c>
      <c r="J227" s="137">
        <v>0.04</v>
      </c>
      <c r="K227">
        <f t="shared" si="28"/>
        <v>220</v>
      </c>
      <c r="L227" s="53">
        <f t="shared" si="29"/>
        <v>221</v>
      </c>
      <c r="M227" s="189">
        <v>2.76</v>
      </c>
      <c r="N227" s="186">
        <f>VLOOKUP(1730,季財報!A:M,8,0)</f>
        <v>6</v>
      </c>
    </row>
    <row r="228" spans="1:14">
      <c r="A228" s="133">
        <v>2408</v>
      </c>
      <c r="C228">
        <v>3168</v>
      </c>
      <c r="D228">
        <v>0</v>
      </c>
      <c r="E228">
        <v>50363</v>
      </c>
      <c r="F228">
        <v>52496</v>
      </c>
      <c r="G228">
        <v>33336</v>
      </c>
      <c r="H228" s="141">
        <v>0.06</v>
      </c>
      <c r="I228">
        <f t="shared" si="27"/>
        <v>155</v>
      </c>
      <c r="J228" s="137">
        <v>0.04</v>
      </c>
      <c r="K228">
        <f t="shared" si="28"/>
        <v>220</v>
      </c>
      <c r="L228" s="53">
        <f t="shared" si="29"/>
        <v>221</v>
      </c>
      <c r="M228" s="189">
        <v>2.76</v>
      </c>
      <c r="N228" s="186">
        <f>VLOOKUP(2408,季財報!A:M,8,0)</f>
        <v>2</v>
      </c>
    </row>
    <row r="229" spans="1:14">
      <c r="A229" s="133">
        <v>2731</v>
      </c>
      <c r="C229">
        <v>79</v>
      </c>
      <c r="D229">
        <v>895</v>
      </c>
      <c r="E229">
        <v>353</v>
      </c>
      <c r="F229">
        <v>2210</v>
      </c>
      <c r="G229">
        <v>31</v>
      </c>
      <c r="H229" s="141">
        <v>0.06</v>
      </c>
      <c r="I229">
        <f t="shared" si="27"/>
        <v>155</v>
      </c>
      <c r="J229" s="137">
        <v>0.04</v>
      </c>
      <c r="K229">
        <f t="shared" si="28"/>
        <v>220</v>
      </c>
      <c r="L229" s="53">
        <f t="shared" si="29"/>
        <v>221</v>
      </c>
      <c r="M229" s="189">
        <v>2.76</v>
      </c>
      <c r="N229" s="186">
        <f>VLOOKUP(2731,季財報!A:M,8,0)</f>
        <v>1</v>
      </c>
    </row>
    <row r="230" spans="1:14">
      <c r="A230" s="133">
        <v>8424</v>
      </c>
      <c r="C230">
        <v>34</v>
      </c>
      <c r="D230">
        <v>493</v>
      </c>
      <c r="E230">
        <v>88</v>
      </c>
      <c r="F230">
        <v>847</v>
      </c>
      <c r="G230">
        <v>0</v>
      </c>
      <c r="H230" s="141">
        <v>0.06</v>
      </c>
      <c r="I230">
        <f t="shared" si="27"/>
        <v>155</v>
      </c>
      <c r="J230" s="137">
        <v>0.04</v>
      </c>
      <c r="K230">
        <f t="shared" si="28"/>
        <v>220</v>
      </c>
      <c r="L230" s="53">
        <f t="shared" si="29"/>
        <v>221</v>
      </c>
      <c r="M230" s="189">
        <v>2.76</v>
      </c>
      <c r="N230" s="186">
        <f>VLOOKUP(8424,季財報!A:M,8,0)</f>
        <v>1</v>
      </c>
    </row>
    <row r="231" spans="1:14">
      <c r="A231" s="133">
        <v>6292</v>
      </c>
      <c r="C231">
        <v>45</v>
      </c>
      <c r="D231">
        <v>628</v>
      </c>
      <c r="E231">
        <v>182</v>
      </c>
      <c r="F231">
        <v>939</v>
      </c>
      <c r="G231">
        <v>240</v>
      </c>
      <c r="H231" s="141">
        <v>0.06</v>
      </c>
      <c r="I231">
        <f t="shared" si="27"/>
        <v>155</v>
      </c>
      <c r="J231" s="137">
        <v>0.04</v>
      </c>
      <c r="K231">
        <f t="shared" si="28"/>
        <v>220</v>
      </c>
      <c r="L231" s="53">
        <f t="shared" si="29"/>
        <v>221</v>
      </c>
      <c r="M231" s="189">
        <v>2.76</v>
      </c>
      <c r="N231" s="186">
        <f>VLOOKUP(6292,季財報!A:M,8,0)</f>
        <v>2</v>
      </c>
    </row>
    <row r="232" spans="1:14">
      <c r="A232" s="133">
        <v>6189</v>
      </c>
      <c r="C232">
        <v>200</v>
      </c>
      <c r="D232">
        <v>3127</v>
      </c>
      <c r="E232">
        <v>417</v>
      </c>
      <c r="F232">
        <v>3440</v>
      </c>
      <c r="G232">
        <v>1680</v>
      </c>
      <c r="H232" s="141">
        <v>0.06</v>
      </c>
      <c r="I232">
        <f t="shared" si="27"/>
        <v>155</v>
      </c>
      <c r="J232" s="137">
        <v>0.04</v>
      </c>
      <c r="K232">
        <f t="shared" si="28"/>
        <v>220</v>
      </c>
      <c r="L232" s="53">
        <f t="shared" si="29"/>
        <v>221</v>
      </c>
      <c r="M232" s="189">
        <v>2.76</v>
      </c>
      <c r="N232" s="186">
        <f>VLOOKUP(6189,季財報!A:M,8,0)</f>
        <v>4</v>
      </c>
    </row>
    <row r="233" spans="1:14">
      <c r="A233" s="133">
        <v>5878</v>
      </c>
      <c r="C233">
        <v>18</v>
      </c>
      <c r="D233">
        <v>257</v>
      </c>
      <c r="E233">
        <v>50</v>
      </c>
      <c r="F233">
        <v>428</v>
      </c>
      <c r="G233">
        <v>0</v>
      </c>
      <c r="H233" s="141">
        <v>0.06</v>
      </c>
      <c r="I233">
        <f t="shared" si="27"/>
        <v>155</v>
      </c>
      <c r="J233" s="137">
        <v>0.04</v>
      </c>
      <c r="K233">
        <f t="shared" si="28"/>
        <v>220</v>
      </c>
      <c r="L233" s="53">
        <f t="shared" si="29"/>
        <v>221</v>
      </c>
      <c r="M233" s="189">
        <v>2.76</v>
      </c>
      <c r="N233" s="186">
        <f>VLOOKUP(5878,季財報!A:M,8,0)</f>
        <v>1</v>
      </c>
    </row>
    <row r="234" spans="1:14">
      <c r="A234" s="133">
        <v>6220</v>
      </c>
      <c r="C234">
        <v>161</v>
      </c>
      <c r="D234">
        <v>1418</v>
      </c>
      <c r="E234">
        <v>1251</v>
      </c>
      <c r="F234">
        <v>2465</v>
      </c>
      <c r="G234">
        <v>1392</v>
      </c>
      <c r="H234" s="141">
        <v>0.06</v>
      </c>
      <c r="I234">
        <f t="shared" si="27"/>
        <v>155</v>
      </c>
      <c r="J234" s="137">
        <v>0.04</v>
      </c>
      <c r="K234">
        <f t="shared" si="28"/>
        <v>220</v>
      </c>
      <c r="L234" s="53">
        <f t="shared" si="29"/>
        <v>221</v>
      </c>
      <c r="M234" s="189">
        <v>2.76</v>
      </c>
      <c r="N234" s="186">
        <f>VLOOKUP(6220,季財報!A:M,8,0)</f>
        <v>5</v>
      </c>
    </row>
    <row r="235" spans="1:14">
      <c r="A235" s="133">
        <v>4609</v>
      </c>
      <c r="C235">
        <v>26</v>
      </c>
      <c r="D235">
        <v>246</v>
      </c>
      <c r="E235">
        <v>215</v>
      </c>
      <c r="F235">
        <v>474</v>
      </c>
      <c r="G235">
        <v>171</v>
      </c>
      <c r="H235" s="141">
        <v>0.06</v>
      </c>
      <c r="I235">
        <f t="shared" si="27"/>
        <v>155</v>
      </c>
      <c r="J235" s="137">
        <v>0.04</v>
      </c>
      <c r="K235">
        <f t="shared" si="28"/>
        <v>220</v>
      </c>
      <c r="L235" s="53">
        <f t="shared" si="29"/>
        <v>221</v>
      </c>
      <c r="M235" s="189">
        <v>2.76</v>
      </c>
      <c r="N235" s="186">
        <f>VLOOKUP(4609,季財報!A:M,8,0)</f>
        <v>4</v>
      </c>
    </row>
    <row r="236" spans="1:14">
      <c r="A236" s="133">
        <v>3512</v>
      </c>
      <c r="C236">
        <v>49</v>
      </c>
      <c r="D236">
        <v>494</v>
      </c>
      <c r="E236">
        <v>313</v>
      </c>
      <c r="F236">
        <v>818</v>
      </c>
      <c r="G236">
        <v>334</v>
      </c>
      <c r="H236" s="141">
        <v>0.06</v>
      </c>
      <c r="I236">
        <f t="shared" si="27"/>
        <v>155</v>
      </c>
      <c r="J236" s="137">
        <v>0.04</v>
      </c>
      <c r="K236">
        <f t="shared" si="28"/>
        <v>220</v>
      </c>
      <c r="L236" s="53">
        <f t="shared" si="29"/>
        <v>221</v>
      </c>
      <c r="M236" s="189">
        <v>2.76</v>
      </c>
      <c r="N236" s="186">
        <f>VLOOKUP(3512,季財報!A:M,8,0)</f>
        <v>4</v>
      </c>
    </row>
    <row r="237" spans="1:14">
      <c r="A237" s="133">
        <v>2640</v>
      </c>
      <c r="C237">
        <v>76</v>
      </c>
      <c r="D237">
        <v>0</v>
      </c>
      <c r="E237">
        <v>865</v>
      </c>
      <c r="F237">
        <v>1184</v>
      </c>
      <c r="G237">
        <v>995</v>
      </c>
      <c r="H237" s="141">
        <v>0.09</v>
      </c>
      <c r="I237">
        <f>RANK(0.09,H:H,0)</f>
        <v>63</v>
      </c>
      <c r="J237" s="137">
        <v>0.03</v>
      </c>
      <c r="K237">
        <f>RANK(0.03,J:J,0)</f>
        <v>334</v>
      </c>
      <c r="L237" s="53">
        <f>RANK(3.83,M:M,0)</f>
        <v>236</v>
      </c>
      <c r="M237" s="189">
        <v>2.76</v>
      </c>
      <c r="N237" s="186">
        <f>VLOOKUP(2640,季財報!A:M,8,0)</f>
        <v>0</v>
      </c>
    </row>
    <row r="238" spans="1:14">
      <c r="A238" s="133">
        <v>3558</v>
      </c>
      <c r="C238">
        <v>215</v>
      </c>
      <c r="D238">
        <v>602</v>
      </c>
      <c r="E238">
        <v>5493</v>
      </c>
      <c r="F238">
        <v>3774</v>
      </c>
      <c r="G238">
        <v>21</v>
      </c>
      <c r="H238" s="141">
        <v>0.04</v>
      </c>
      <c r="I238">
        <f>RANK(0.04,H:H,0)</f>
        <v>330</v>
      </c>
      <c r="J238" s="137">
        <v>0.06</v>
      </c>
      <c r="K238">
        <f>RANK(0.06,J:J,0)</f>
        <v>84</v>
      </c>
      <c r="L238" s="53">
        <f>RANK(3.67,M:M,0)</f>
        <v>237</v>
      </c>
      <c r="M238" s="189">
        <v>2.76</v>
      </c>
      <c r="N238" s="186">
        <f>VLOOKUP(3558,季財報!A:M,8,0)</f>
        <v>6</v>
      </c>
    </row>
    <row r="239" spans="1:14">
      <c r="A239" s="133">
        <v>2313</v>
      </c>
      <c r="C239">
        <v>1336</v>
      </c>
      <c r="D239">
        <v>9458</v>
      </c>
      <c r="E239">
        <v>22917</v>
      </c>
      <c r="F239">
        <v>20135</v>
      </c>
      <c r="G239">
        <v>3313</v>
      </c>
      <c r="H239" s="141">
        <v>0.04</v>
      </c>
      <c r="I239">
        <f>RANK(0.04,H:H,0)</f>
        <v>330</v>
      </c>
      <c r="J239" s="137">
        <v>0.06</v>
      </c>
      <c r="K239">
        <f>RANK(0.06,J:J,0)</f>
        <v>84</v>
      </c>
      <c r="L239" s="53">
        <f>RANK(3.67,M:M,0)</f>
        <v>237</v>
      </c>
      <c r="M239" s="189">
        <v>2.76</v>
      </c>
      <c r="N239" s="186">
        <f>VLOOKUP(2313,季財報!A:M,8,0)</f>
        <v>6</v>
      </c>
    </row>
    <row r="240" spans="1:14">
      <c r="A240" s="133">
        <v>1723</v>
      </c>
      <c r="C240">
        <v>247</v>
      </c>
      <c r="D240">
        <v>1776</v>
      </c>
      <c r="E240">
        <v>1396</v>
      </c>
      <c r="F240">
        <v>6331</v>
      </c>
      <c r="G240">
        <v>899</v>
      </c>
      <c r="H240" s="141">
        <v>0.08</v>
      </c>
      <c r="I240">
        <f>RANK(0.08,H:H,0)</f>
        <v>80</v>
      </c>
      <c r="J240" s="137">
        <v>0.03</v>
      </c>
      <c r="K240">
        <f>RANK(0.03,J:J,0)</f>
        <v>334</v>
      </c>
      <c r="L240" s="53">
        <f>RANK(3.67,M:M,0)</f>
        <v>237</v>
      </c>
      <c r="M240" s="189">
        <v>2.76</v>
      </c>
      <c r="N240" s="186">
        <f>VLOOKUP(1723,季財報!A:M,8,0)</f>
        <v>1</v>
      </c>
    </row>
    <row r="241" spans="1:14">
      <c r="A241" s="133">
        <v>6195</v>
      </c>
      <c r="C241">
        <v>45</v>
      </c>
      <c r="D241">
        <v>259</v>
      </c>
      <c r="E241">
        <v>795</v>
      </c>
      <c r="F241">
        <v>745</v>
      </c>
      <c r="G241">
        <v>49</v>
      </c>
      <c r="H241" s="141">
        <v>0.04</v>
      </c>
      <c r="I241">
        <f>RANK(0.04,H:H,0)</f>
        <v>330</v>
      </c>
      <c r="J241" s="137">
        <v>0.06</v>
      </c>
      <c r="K241">
        <f>RANK(0.06,J:J,0)</f>
        <v>84</v>
      </c>
      <c r="L241" s="53">
        <f>RANK(3.67,M:M,0)</f>
        <v>237</v>
      </c>
      <c r="M241" s="189">
        <v>2.76</v>
      </c>
      <c r="N241" s="186">
        <f>VLOOKUP(6195,季財報!A:M,8,0)</f>
        <v>0</v>
      </c>
    </row>
    <row r="242" spans="1:14">
      <c r="A242" s="133">
        <v>6412</v>
      </c>
      <c r="C242">
        <v>318</v>
      </c>
      <c r="D242">
        <v>1414</v>
      </c>
      <c r="E242">
        <v>2716</v>
      </c>
      <c r="F242">
        <v>6098</v>
      </c>
      <c r="G242">
        <v>3292</v>
      </c>
      <c r="H242" s="141">
        <v>0.08</v>
      </c>
      <c r="I242">
        <f>RANK(0.08,H:H,0)</f>
        <v>80</v>
      </c>
      <c r="J242" s="137">
        <v>0.03</v>
      </c>
      <c r="K242">
        <f>RANK(0.03,J:J,0)</f>
        <v>334</v>
      </c>
      <c r="L242" s="53">
        <f>RANK(3.67,M:M,0)</f>
        <v>237</v>
      </c>
      <c r="M242" s="189">
        <v>2.76</v>
      </c>
      <c r="N242" s="186">
        <f>VLOOKUP(6412,季財報!A:M,8,0)</f>
        <v>1</v>
      </c>
    </row>
    <row r="243" spans="1:14">
      <c r="A243" s="133">
        <v>8403</v>
      </c>
      <c r="C243">
        <v>56</v>
      </c>
      <c r="D243">
        <v>489</v>
      </c>
      <c r="E243">
        <v>279</v>
      </c>
      <c r="F243">
        <v>1513</v>
      </c>
      <c r="G243">
        <v>475</v>
      </c>
      <c r="H243" s="141">
        <v>7.0000000000000007E-2</v>
      </c>
      <c r="I243">
        <f>RANK(0.07,H:H,0)</f>
        <v>107</v>
      </c>
      <c r="J243" s="137">
        <v>0.03</v>
      </c>
      <c r="K243">
        <f>RANK(0.03,J:J,0)</f>
        <v>334</v>
      </c>
      <c r="L243" s="53">
        <f>RANK(3.44,M:M,0)</f>
        <v>242</v>
      </c>
      <c r="M243" s="189">
        <v>2.76</v>
      </c>
      <c r="N243" s="186">
        <f>VLOOKUP(8403,季財報!A:M,8,0)</f>
        <v>1</v>
      </c>
    </row>
    <row r="244" spans="1:14">
      <c r="A244" s="133">
        <v>6107</v>
      </c>
      <c r="C244">
        <v>72</v>
      </c>
      <c r="D244">
        <v>927</v>
      </c>
      <c r="E244">
        <v>111</v>
      </c>
      <c r="F244">
        <v>1105</v>
      </c>
      <c r="G244">
        <v>1599</v>
      </c>
      <c r="H244" s="141">
        <v>7.0000000000000007E-2</v>
      </c>
      <c r="I244">
        <f>RANK(0.07,H:H,0)</f>
        <v>107</v>
      </c>
      <c r="J244" s="137">
        <v>0.03</v>
      </c>
      <c r="K244">
        <f>RANK(0.03,J:J,0)</f>
        <v>334</v>
      </c>
      <c r="L244" s="53">
        <f>RANK(3.44,M:M,0)</f>
        <v>242</v>
      </c>
      <c r="M244" s="189">
        <v>2.76</v>
      </c>
      <c r="N244" s="186">
        <f>VLOOKUP(6107,季財報!A:M,8,0)</f>
        <v>1</v>
      </c>
    </row>
    <row r="245" spans="1:14">
      <c r="A245" s="133">
        <v>8454</v>
      </c>
      <c r="C245">
        <v>244</v>
      </c>
      <c r="D245">
        <v>2382</v>
      </c>
      <c r="E245">
        <v>2210</v>
      </c>
      <c r="F245">
        <v>5826</v>
      </c>
      <c r="G245">
        <v>0</v>
      </c>
      <c r="H245" s="141">
        <v>0.05</v>
      </c>
      <c r="I245">
        <f t="shared" ref="I245:I277" si="30">RANK(0.05,H:H,0)</f>
        <v>231</v>
      </c>
      <c r="J245" s="137">
        <v>0.04</v>
      </c>
      <c r="K245">
        <f t="shared" ref="K245:K277" si="31">RANK(0.04,J:J,0)</f>
        <v>220</v>
      </c>
      <c r="L245" s="53">
        <f t="shared" ref="L245:L277" si="32">RANK(3.37,M:M,0)</f>
        <v>244</v>
      </c>
      <c r="M245" s="189">
        <v>2.76</v>
      </c>
      <c r="N245" s="186">
        <f>VLOOKUP(8454,季財報!A:M,8,0)</f>
        <v>2</v>
      </c>
    </row>
    <row r="246" spans="1:14">
      <c r="A246" s="133">
        <v>8049</v>
      </c>
      <c r="C246">
        <v>59</v>
      </c>
      <c r="D246">
        <v>744</v>
      </c>
      <c r="E246">
        <v>385</v>
      </c>
      <c r="F246">
        <v>1349</v>
      </c>
      <c r="G246">
        <v>0</v>
      </c>
      <c r="H246" s="141">
        <v>0.05</v>
      </c>
      <c r="I246">
        <f t="shared" si="30"/>
        <v>231</v>
      </c>
      <c r="J246" s="137">
        <v>0.04</v>
      </c>
      <c r="K246">
        <f t="shared" si="31"/>
        <v>220</v>
      </c>
      <c r="L246" s="53">
        <f t="shared" si="32"/>
        <v>244</v>
      </c>
      <c r="M246" s="189">
        <v>2.76</v>
      </c>
      <c r="N246" s="186">
        <f>VLOOKUP(8049,季財報!A:M,8,0)</f>
        <v>5</v>
      </c>
    </row>
    <row r="247" spans="1:14">
      <c r="A247" s="133">
        <v>6488</v>
      </c>
      <c r="C247">
        <v>758</v>
      </c>
      <c r="D247">
        <v>6739</v>
      </c>
      <c r="E247">
        <v>9535</v>
      </c>
      <c r="F247">
        <v>16465</v>
      </c>
      <c r="G247">
        <v>516</v>
      </c>
      <c r="H247" s="141">
        <v>0.05</v>
      </c>
      <c r="I247">
        <f t="shared" si="30"/>
        <v>231</v>
      </c>
      <c r="J247" s="137">
        <v>0.04</v>
      </c>
      <c r="K247">
        <f t="shared" si="31"/>
        <v>220</v>
      </c>
      <c r="L247" s="53">
        <f t="shared" si="32"/>
        <v>244</v>
      </c>
      <c r="M247" s="189">
        <v>2.76</v>
      </c>
      <c r="N247" s="186">
        <f>VLOOKUP(6488,季財報!A:M,8,0)</f>
        <v>2</v>
      </c>
    </row>
    <row r="248" spans="1:14">
      <c r="A248" s="133">
        <v>8091</v>
      </c>
      <c r="C248">
        <v>91</v>
      </c>
      <c r="D248">
        <v>939</v>
      </c>
      <c r="E248">
        <v>799</v>
      </c>
      <c r="F248">
        <v>2155</v>
      </c>
      <c r="G248">
        <v>270</v>
      </c>
      <c r="H248" s="141">
        <v>0.05</v>
      </c>
      <c r="I248">
        <f t="shared" si="30"/>
        <v>231</v>
      </c>
      <c r="J248" s="137">
        <v>0.04</v>
      </c>
      <c r="K248">
        <f t="shared" si="31"/>
        <v>220</v>
      </c>
      <c r="L248" s="53">
        <f t="shared" si="32"/>
        <v>244</v>
      </c>
      <c r="M248" s="189">
        <v>2.76</v>
      </c>
      <c r="N248" s="186">
        <f>VLOOKUP(8091,季財報!A:M,8,0)</f>
        <v>1</v>
      </c>
    </row>
    <row r="249" spans="1:14">
      <c r="A249" s="133">
        <v>6121</v>
      </c>
      <c r="C249">
        <v>918</v>
      </c>
      <c r="D249">
        <v>13687</v>
      </c>
      <c r="E249">
        <v>6346</v>
      </c>
      <c r="F249">
        <v>20807</v>
      </c>
      <c r="G249">
        <v>3760</v>
      </c>
      <c r="H249" s="141">
        <v>0.05</v>
      </c>
      <c r="I249">
        <f t="shared" si="30"/>
        <v>231</v>
      </c>
      <c r="J249" s="137">
        <v>0.04</v>
      </c>
      <c r="K249">
        <f t="shared" si="31"/>
        <v>220</v>
      </c>
      <c r="L249" s="53">
        <f t="shared" si="32"/>
        <v>244</v>
      </c>
      <c r="M249" s="189">
        <v>2.76</v>
      </c>
      <c r="N249" s="186">
        <f>VLOOKUP(6121,季財報!A:M,8,0)</f>
        <v>2</v>
      </c>
    </row>
    <row r="250" spans="1:14">
      <c r="A250" s="133">
        <v>6185</v>
      </c>
      <c r="C250">
        <v>98</v>
      </c>
      <c r="D250">
        <v>1742</v>
      </c>
      <c r="E250">
        <v>274</v>
      </c>
      <c r="F250">
        <v>2224</v>
      </c>
      <c r="G250">
        <v>25</v>
      </c>
      <c r="H250" s="141">
        <v>0.05</v>
      </c>
      <c r="I250">
        <f t="shared" si="30"/>
        <v>231</v>
      </c>
      <c r="J250" s="137">
        <v>0.04</v>
      </c>
      <c r="K250">
        <f t="shared" si="31"/>
        <v>220</v>
      </c>
      <c r="L250" s="53">
        <f t="shared" si="32"/>
        <v>244</v>
      </c>
      <c r="M250" s="189">
        <v>2.76</v>
      </c>
      <c r="N250" s="186">
        <f>VLOOKUP(6185,季財報!A:M,8,0)</f>
        <v>3</v>
      </c>
    </row>
    <row r="251" spans="1:14">
      <c r="A251" s="133">
        <v>6213</v>
      </c>
      <c r="C251">
        <v>365</v>
      </c>
      <c r="D251">
        <v>3237</v>
      </c>
      <c r="E251">
        <v>3693</v>
      </c>
      <c r="F251">
        <v>6877</v>
      </c>
      <c r="G251">
        <v>3511</v>
      </c>
      <c r="H251" s="141">
        <v>0.05</v>
      </c>
      <c r="I251">
        <f t="shared" si="30"/>
        <v>231</v>
      </c>
      <c r="J251" s="137">
        <v>0.04</v>
      </c>
      <c r="K251">
        <f t="shared" si="31"/>
        <v>220</v>
      </c>
      <c r="L251" s="53">
        <f t="shared" si="32"/>
        <v>244</v>
      </c>
      <c r="M251" s="189">
        <v>2.76</v>
      </c>
      <c r="N251" s="186">
        <f>VLOOKUP(6213,季財報!A:M,8,0)</f>
        <v>4</v>
      </c>
    </row>
    <row r="252" spans="1:14">
      <c r="A252" s="133">
        <v>5306</v>
      </c>
      <c r="C252">
        <v>189</v>
      </c>
      <c r="D252">
        <v>1253</v>
      </c>
      <c r="E252">
        <v>2548</v>
      </c>
      <c r="F252">
        <v>3941</v>
      </c>
      <c r="G252">
        <v>649</v>
      </c>
      <c r="H252" s="141">
        <v>0.05</v>
      </c>
      <c r="I252">
        <f t="shared" si="30"/>
        <v>231</v>
      </c>
      <c r="J252" s="137">
        <v>0.04</v>
      </c>
      <c r="K252">
        <f t="shared" si="31"/>
        <v>220</v>
      </c>
      <c r="L252" s="53">
        <f t="shared" si="32"/>
        <v>244</v>
      </c>
      <c r="M252" s="189">
        <v>2.76</v>
      </c>
      <c r="N252" s="186">
        <f>VLOOKUP(5306,季財報!A:M,8,0)</f>
        <v>4</v>
      </c>
    </row>
    <row r="253" spans="1:14">
      <c r="A253" s="133">
        <v>4417</v>
      </c>
      <c r="C253">
        <v>115</v>
      </c>
      <c r="D253">
        <v>972</v>
      </c>
      <c r="E253">
        <v>1241</v>
      </c>
      <c r="F253">
        <v>2175</v>
      </c>
      <c r="G253">
        <v>814</v>
      </c>
      <c r="H253" s="141">
        <v>0.05</v>
      </c>
      <c r="I253">
        <f t="shared" si="30"/>
        <v>231</v>
      </c>
      <c r="J253" s="137">
        <v>0.04</v>
      </c>
      <c r="K253">
        <f t="shared" si="31"/>
        <v>220</v>
      </c>
      <c r="L253" s="53">
        <f t="shared" si="32"/>
        <v>244</v>
      </c>
      <c r="M253" s="189">
        <v>2.76</v>
      </c>
      <c r="N253" s="186">
        <f>VLOOKUP(4417,季財報!A:M,8,0)</f>
        <v>3</v>
      </c>
    </row>
    <row r="254" spans="1:14">
      <c r="A254" s="133">
        <v>4912</v>
      </c>
      <c r="C254">
        <v>75</v>
      </c>
      <c r="D254">
        <v>809</v>
      </c>
      <c r="E254">
        <v>680</v>
      </c>
      <c r="F254">
        <v>1616</v>
      </c>
      <c r="G254">
        <v>408</v>
      </c>
      <c r="H254" s="141">
        <v>0.05</v>
      </c>
      <c r="I254">
        <f t="shared" si="30"/>
        <v>231</v>
      </c>
      <c r="J254" s="137">
        <v>0.04</v>
      </c>
      <c r="K254">
        <f t="shared" si="31"/>
        <v>220</v>
      </c>
      <c r="L254" s="53">
        <f t="shared" si="32"/>
        <v>244</v>
      </c>
      <c r="M254" s="189">
        <v>2.76</v>
      </c>
      <c r="N254" s="186">
        <f>VLOOKUP(4912,季財報!A:M,8,0)</f>
        <v>2</v>
      </c>
    </row>
    <row r="255" spans="1:14">
      <c r="A255" s="133">
        <v>4935</v>
      </c>
      <c r="C255">
        <v>300</v>
      </c>
      <c r="D255">
        <v>3146</v>
      </c>
      <c r="E255">
        <v>2537</v>
      </c>
      <c r="F255">
        <v>6047</v>
      </c>
      <c r="G255">
        <v>824</v>
      </c>
      <c r="H255" s="141">
        <v>0.05</v>
      </c>
      <c r="I255">
        <f t="shared" si="30"/>
        <v>231</v>
      </c>
      <c r="J255" s="137">
        <v>0.04</v>
      </c>
      <c r="K255">
        <f t="shared" si="31"/>
        <v>220</v>
      </c>
      <c r="L255" s="53">
        <f t="shared" si="32"/>
        <v>244</v>
      </c>
      <c r="M255" s="189">
        <v>2.76</v>
      </c>
      <c r="N255" s="186">
        <f>VLOOKUP(4935,季財報!A:M,8,0)</f>
        <v>6</v>
      </c>
    </row>
    <row r="256" spans="1:14">
      <c r="A256" s="133">
        <v>4972</v>
      </c>
      <c r="C256">
        <v>49</v>
      </c>
      <c r="D256">
        <v>655</v>
      </c>
      <c r="E256">
        <v>329</v>
      </c>
      <c r="F256">
        <v>1166</v>
      </c>
      <c r="G256">
        <v>0</v>
      </c>
      <c r="H256" s="141">
        <v>0.05</v>
      </c>
      <c r="I256">
        <f t="shared" si="30"/>
        <v>231</v>
      </c>
      <c r="J256" s="137">
        <v>0.04</v>
      </c>
      <c r="K256">
        <f t="shared" si="31"/>
        <v>220</v>
      </c>
      <c r="L256" s="53">
        <f t="shared" si="32"/>
        <v>244</v>
      </c>
      <c r="M256" s="189">
        <v>2.76</v>
      </c>
      <c r="N256" s="186">
        <f>VLOOKUP(4972,季財報!A:M,8,0)</f>
        <v>3</v>
      </c>
    </row>
    <row r="257" spans="1:14">
      <c r="A257" s="133">
        <v>4999</v>
      </c>
      <c r="C257">
        <v>123</v>
      </c>
      <c r="D257">
        <v>1867</v>
      </c>
      <c r="E257">
        <v>811</v>
      </c>
      <c r="F257">
        <v>2682</v>
      </c>
      <c r="G257">
        <v>131</v>
      </c>
      <c r="H257" s="141">
        <v>0.05</v>
      </c>
      <c r="I257">
        <f t="shared" si="30"/>
        <v>231</v>
      </c>
      <c r="J257" s="137">
        <v>0.04</v>
      </c>
      <c r="K257">
        <f t="shared" si="31"/>
        <v>220</v>
      </c>
      <c r="L257" s="53">
        <f t="shared" si="32"/>
        <v>244</v>
      </c>
      <c r="M257" s="189">
        <v>2.76</v>
      </c>
      <c r="N257" s="186">
        <f>VLOOKUP(4999,季財報!A:M,8,0)</f>
        <v>4</v>
      </c>
    </row>
    <row r="258" spans="1:14">
      <c r="A258" s="133">
        <v>5398</v>
      </c>
      <c r="C258">
        <v>14</v>
      </c>
      <c r="D258">
        <v>240</v>
      </c>
      <c r="E258">
        <v>34</v>
      </c>
      <c r="F258">
        <v>316</v>
      </c>
      <c r="G258">
        <v>0</v>
      </c>
      <c r="H258" s="141">
        <v>0.05</v>
      </c>
      <c r="I258">
        <f t="shared" si="30"/>
        <v>231</v>
      </c>
      <c r="J258" s="137">
        <v>0.04</v>
      </c>
      <c r="K258">
        <f t="shared" si="31"/>
        <v>220</v>
      </c>
      <c r="L258" s="53">
        <f t="shared" si="32"/>
        <v>244</v>
      </c>
      <c r="M258" s="189">
        <v>2.76</v>
      </c>
      <c r="N258" s="186">
        <f>VLOOKUP(5398,季財報!A:M,8,0)</f>
        <v>2</v>
      </c>
    </row>
    <row r="259" spans="1:14">
      <c r="A259" s="133">
        <v>1340</v>
      </c>
      <c r="C259">
        <v>253</v>
      </c>
      <c r="D259">
        <v>5313</v>
      </c>
      <c r="E259">
        <v>171</v>
      </c>
      <c r="F259">
        <v>5624</v>
      </c>
      <c r="G259">
        <v>62</v>
      </c>
      <c r="H259" s="141">
        <v>0.05</v>
      </c>
      <c r="I259">
        <f t="shared" si="30"/>
        <v>231</v>
      </c>
      <c r="J259" s="137">
        <v>0.04</v>
      </c>
      <c r="K259">
        <f t="shared" si="31"/>
        <v>220</v>
      </c>
      <c r="L259" s="53">
        <f t="shared" si="32"/>
        <v>244</v>
      </c>
      <c r="M259" s="189">
        <v>2.76</v>
      </c>
      <c r="N259" s="186">
        <f>VLOOKUP(1340,季財報!A:M,8,0)</f>
        <v>2</v>
      </c>
    </row>
    <row r="260" spans="1:14">
      <c r="A260" s="133">
        <v>1788</v>
      </c>
      <c r="C260">
        <v>65</v>
      </c>
      <c r="D260">
        <v>908</v>
      </c>
      <c r="E260">
        <v>347</v>
      </c>
      <c r="F260">
        <v>1487</v>
      </c>
      <c r="G260">
        <v>148</v>
      </c>
      <c r="H260" s="141">
        <v>0.05</v>
      </c>
      <c r="I260">
        <f t="shared" si="30"/>
        <v>231</v>
      </c>
      <c r="J260" s="137">
        <v>0.04</v>
      </c>
      <c r="K260">
        <f t="shared" si="31"/>
        <v>220</v>
      </c>
      <c r="L260" s="53">
        <f t="shared" si="32"/>
        <v>244</v>
      </c>
      <c r="M260" s="189">
        <v>2.76</v>
      </c>
      <c r="N260" s="186">
        <f>VLOOKUP(1788,季財報!A:M,8,0)</f>
        <v>1</v>
      </c>
    </row>
    <row r="261" spans="1:14">
      <c r="A261" s="133">
        <v>2331</v>
      </c>
      <c r="C261">
        <v>553</v>
      </c>
      <c r="D261">
        <v>7549</v>
      </c>
      <c r="E261">
        <v>4133</v>
      </c>
      <c r="F261">
        <v>14613</v>
      </c>
      <c r="G261">
        <v>503</v>
      </c>
      <c r="H261" s="141">
        <v>0.05</v>
      </c>
      <c r="I261">
        <f t="shared" si="30"/>
        <v>231</v>
      </c>
      <c r="J261" s="137">
        <v>0.04</v>
      </c>
      <c r="K261">
        <f t="shared" si="31"/>
        <v>220</v>
      </c>
      <c r="L261" s="53">
        <f t="shared" si="32"/>
        <v>244</v>
      </c>
      <c r="M261" s="189">
        <v>2.76</v>
      </c>
      <c r="N261" s="186">
        <f>VLOOKUP(2331,季財報!A:M,8,0)</f>
        <v>4</v>
      </c>
    </row>
    <row r="262" spans="1:14">
      <c r="A262" s="133">
        <v>2355</v>
      </c>
      <c r="C262">
        <v>645</v>
      </c>
      <c r="D262">
        <v>6270</v>
      </c>
      <c r="E262">
        <v>7982</v>
      </c>
      <c r="F262">
        <v>15296</v>
      </c>
      <c r="G262">
        <v>2120</v>
      </c>
      <c r="H262" s="141">
        <v>0.05</v>
      </c>
      <c r="I262">
        <f t="shared" si="30"/>
        <v>231</v>
      </c>
      <c r="J262" s="137">
        <v>0.04</v>
      </c>
      <c r="K262">
        <f t="shared" si="31"/>
        <v>220</v>
      </c>
      <c r="L262" s="53">
        <f t="shared" si="32"/>
        <v>244</v>
      </c>
      <c r="M262" s="189">
        <v>2.69</v>
      </c>
      <c r="N262" s="186">
        <f>VLOOKUP(2355,季財報!A:M,8,0)</f>
        <v>3</v>
      </c>
    </row>
    <row r="263" spans="1:14">
      <c r="A263" s="133">
        <v>2412</v>
      </c>
      <c r="C263">
        <v>14045</v>
      </c>
      <c r="D263">
        <v>13745</v>
      </c>
      <c r="E263">
        <v>292963</v>
      </c>
      <c r="F263">
        <v>364353</v>
      </c>
      <c r="G263">
        <v>174</v>
      </c>
      <c r="H263" s="141">
        <v>0.05</v>
      </c>
      <c r="I263">
        <f t="shared" si="30"/>
        <v>231</v>
      </c>
      <c r="J263" s="137">
        <v>0.04</v>
      </c>
      <c r="K263">
        <f t="shared" si="31"/>
        <v>220</v>
      </c>
      <c r="L263" s="53">
        <f t="shared" si="32"/>
        <v>244</v>
      </c>
      <c r="M263" s="189">
        <v>2.69</v>
      </c>
      <c r="N263" s="186">
        <f>VLOOKUP(2412,季財報!A:M,8,0)</f>
        <v>3</v>
      </c>
    </row>
    <row r="264" spans="1:14">
      <c r="A264" s="133">
        <v>2455</v>
      </c>
      <c r="C264">
        <v>155</v>
      </c>
      <c r="D264">
        <v>1705</v>
      </c>
      <c r="E264">
        <v>1656</v>
      </c>
      <c r="F264">
        <v>3459</v>
      </c>
      <c r="G264">
        <v>0</v>
      </c>
      <c r="H264" s="141">
        <v>0.05</v>
      </c>
      <c r="I264">
        <f t="shared" si="30"/>
        <v>231</v>
      </c>
      <c r="J264" s="137">
        <v>0.04</v>
      </c>
      <c r="K264">
        <f t="shared" si="31"/>
        <v>220</v>
      </c>
      <c r="L264" s="53">
        <f t="shared" si="32"/>
        <v>244</v>
      </c>
      <c r="M264" s="189">
        <v>2.69</v>
      </c>
      <c r="N264" s="186">
        <f>VLOOKUP(2455,季財報!A:M,8,0)</f>
        <v>2</v>
      </c>
    </row>
    <row r="265" spans="1:14">
      <c r="A265" s="133">
        <v>3299</v>
      </c>
      <c r="C265">
        <v>87</v>
      </c>
      <c r="D265">
        <v>1169</v>
      </c>
      <c r="E265">
        <v>545</v>
      </c>
      <c r="F265">
        <v>1440</v>
      </c>
      <c r="G265">
        <v>616</v>
      </c>
      <c r="H265" s="141">
        <v>0.05</v>
      </c>
      <c r="I265">
        <f t="shared" si="30"/>
        <v>231</v>
      </c>
      <c r="J265" s="137">
        <v>0.04</v>
      </c>
      <c r="K265">
        <f t="shared" si="31"/>
        <v>220</v>
      </c>
      <c r="L265" s="53">
        <f t="shared" si="32"/>
        <v>244</v>
      </c>
      <c r="M265" s="189">
        <v>2.69</v>
      </c>
      <c r="N265" s="186">
        <f>VLOOKUP(3299,季財報!A:M,8,0)</f>
        <v>2</v>
      </c>
    </row>
    <row r="266" spans="1:14">
      <c r="A266" s="133">
        <v>3356</v>
      </c>
      <c r="C266">
        <v>80</v>
      </c>
      <c r="D266">
        <v>1609</v>
      </c>
      <c r="E266">
        <v>166</v>
      </c>
      <c r="F266">
        <v>1918</v>
      </c>
      <c r="G266">
        <v>0</v>
      </c>
      <c r="H266" s="141">
        <v>0.05</v>
      </c>
      <c r="I266">
        <f t="shared" si="30"/>
        <v>231</v>
      </c>
      <c r="J266" s="137">
        <v>0.04</v>
      </c>
      <c r="K266">
        <f t="shared" si="31"/>
        <v>220</v>
      </c>
      <c r="L266" s="53">
        <f t="shared" si="32"/>
        <v>244</v>
      </c>
      <c r="M266" s="189">
        <v>2.69</v>
      </c>
      <c r="N266" s="186">
        <f>VLOOKUP(3356,季財報!A:M,8,0)</f>
        <v>4</v>
      </c>
    </row>
    <row r="267" spans="1:14">
      <c r="A267" s="133">
        <v>8249</v>
      </c>
      <c r="C267">
        <v>140</v>
      </c>
      <c r="D267">
        <v>1898</v>
      </c>
      <c r="E267">
        <v>962</v>
      </c>
      <c r="F267">
        <v>3601</v>
      </c>
      <c r="G267">
        <v>0</v>
      </c>
      <c r="H267" s="141">
        <v>0.05</v>
      </c>
      <c r="I267">
        <f t="shared" si="30"/>
        <v>231</v>
      </c>
      <c r="J267" s="137">
        <v>0.04</v>
      </c>
      <c r="K267">
        <f t="shared" si="31"/>
        <v>220</v>
      </c>
      <c r="L267" s="53">
        <f t="shared" si="32"/>
        <v>244</v>
      </c>
      <c r="M267" s="189">
        <v>2.69</v>
      </c>
      <c r="N267" s="186">
        <f>VLOOKUP(8249,季財報!A:M,8,0)</f>
        <v>4</v>
      </c>
    </row>
    <row r="268" spans="1:14">
      <c r="A268" s="133">
        <v>8255</v>
      </c>
      <c r="C268">
        <v>133</v>
      </c>
      <c r="D268">
        <v>893</v>
      </c>
      <c r="E268">
        <v>1784</v>
      </c>
      <c r="F268">
        <v>2910</v>
      </c>
      <c r="G268">
        <v>305</v>
      </c>
      <c r="H268" s="141">
        <v>0.05</v>
      </c>
      <c r="I268">
        <f t="shared" si="30"/>
        <v>231</v>
      </c>
      <c r="J268" s="137">
        <v>0.04</v>
      </c>
      <c r="K268">
        <f t="shared" si="31"/>
        <v>220</v>
      </c>
      <c r="L268" s="53">
        <f t="shared" si="32"/>
        <v>244</v>
      </c>
      <c r="M268" s="189">
        <v>2.69</v>
      </c>
      <c r="N268" s="186">
        <f>VLOOKUP(8255,季財報!A:M,8,0)</f>
        <v>3</v>
      </c>
    </row>
    <row r="269" spans="1:14">
      <c r="A269" s="133">
        <v>6432</v>
      </c>
      <c r="C269">
        <v>21</v>
      </c>
      <c r="D269">
        <v>342</v>
      </c>
      <c r="E269">
        <v>62</v>
      </c>
      <c r="F269">
        <v>432</v>
      </c>
      <c r="G269">
        <v>51</v>
      </c>
      <c r="H269" s="141">
        <v>0.05</v>
      </c>
      <c r="I269">
        <f t="shared" si="30"/>
        <v>231</v>
      </c>
      <c r="J269" s="137">
        <v>0.04</v>
      </c>
      <c r="K269">
        <f t="shared" si="31"/>
        <v>220</v>
      </c>
      <c r="L269" s="53">
        <f t="shared" si="32"/>
        <v>244</v>
      </c>
      <c r="M269" s="189">
        <v>2.69</v>
      </c>
      <c r="N269" s="186">
        <f>VLOOKUP(6432,季財報!A:M,8,0)</f>
        <v>6</v>
      </c>
    </row>
    <row r="270" spans="1:14">
      <c r="A270" s="133">
        <v>8163</v>
      </c>
      <c r="C270">
        <v>442</v>
      </c>
      <c r="D270">
        <v>3028</v>
      </c>
      <c r="E270">
        <v>5795</v>
      </c>
      <c r="F270">
        <v>9276</v>
      </c>
      <c r="G270">
        <v>1442</v>
      </c>
      <c r="H270" s="141">
        <v>0.05</v>
      </c>
      <c r="I270">
        <f t="shared" si="30"/>
        <v>231</v>
      </c>
      <c r="J270" s="137">
        <v>0.04</v>
      </c>
      <c r="K270">
        <f t="shared" si="31"/>
        <v>220</v>
      </c>
      <c r="L270" s="53">
        <f t="shared" si="32"/>
        <v>244</v>
      </c>
      <c r="M270" s="189">
        <v>2.69</v>
      </c>
      <c r="N270" s="186">
        <f>VLOOKUP(8163,季財報!A:M,8,0)</f>
        <v>2</v>
      </c>
    </row>
    <row r="271" spans="1:14">
      <c r="A271" s="133">
        <v>6457</v>
      </c>
      <c r="C271">
        <v>21</v>
      </c>
      <c r="D271">
        <v>414</v>
      </c>
      <c r="E271">
        <v>22</v>
      </c>
      <c r="F271">
        <v>468</v>
      </c>
      <c r="G271">
        <v>0</v>
      </c>
      <c r="H271" s="141">
        <v>0.05</v>
      </c>
      <c r="I271">
        <f t="shared" si="30"/>
        <v>231</v>
      </c>
      <c r="J271" s="137">
        <v>0.04</v>
      </c>
      <c r="K271">
        <f t="shared" si="31"/>
        <v>220</v>
      </c>
      <c r="L271" s="53">
        <f t="shared" si="32"/>
        <v>244</v>
      </c>
      <c r="M271" s="189">
        <v>2.69</v>
      </c>
      <c r="N271" s="186">
        <f>VLOOKUP(6457,季財報!A:M,8,0)</f>
        <v>3</v>
      </c>
    </row>
    <row r="272" spans="1:14">
      <c r="A272" s="133">
        <v>6109</v>
      </c>
      <c r="C272">
        <v>37</v>
      </c>
      <c r="D272">
        <v>567</v>
      </c>
      <c r="E272">
        <v>125</v>
      </c>
      <c r="F272">
        <v>864</v>
      </c>
      <c r="G272">
        <v>108</v>
      </c>
      <c r="H272" s="141">
        <v>0.05</v>
      </c>
      <c r="I272">
        <f t="shared" si="30"/>
        <v>231</v>
      </c>
      <c r="J272" s="137">
        <v>0.04</v>
      </c>
      <c r="K272">
        <f t="shared" si="31"/>
        <v>220</v>
      </c>
      <c r="L272" s="53">
        <f t="shared" si="32"/>
        <v>244</v>
      </c>
      <c r="M272" s="189">
        <v>2.69</v>
      </c>
      <c r="N272" s="186">
        <f>VLOOKUP(6109,季財報!A:M,8,0)</f>
        <v>2</v>
      </c>
    </row>
    <row r="273" spans="1:14">
      <c r="A273" s="133">
        <v>5015</v>
      </c>
      <c r="C273">
        <v>52</v>
      </c>
      <c r="D273">
        <v>704</v>
      </c>
      <c r="E273">
        <v>324</v>
      </c>
      <c r="F273">
        <v>979</v>
      </c>
      <c r="G273">
        <v>204</v>
      </c>
      <c r="H273" s="141">
        <v>0.05</v>
      </c>
      <c r="I273">
        <f t="shared" si="30"/>
        <v>231</v>
      </c>
      <c r="J273" s="137">
        <v>0.04</v>
      </c>
      <c r="K273">
        <f t="shared" si="31"/>
        <v>220</v>
      </c>
      <c r="L273" s="53">
        <f t="shared" si="32"/>
        <v>244</v>
      </c>
      <c r="M273" s="189">
        <v>2.69</v>
      </c>
      <c r="N273" s="186">
        <f>VLOOKUP(5015,季財報!A:M,8,0)</f>
        <v>3</v>
      </c>
    </row>
    <row r="274" spans="1:14">
      <c r="A274" s="133">
        <v>5493</v>
      </c>
      <c r="C274">
        <v>71</v>
      </c>
      <c r="D274">
        <v>840</v>
      </c>
      <c r="E274">
        <v>732</v>
      </c>
      <c r="F274">
        <v>1787</v>
      </c>
      <c r="G274">
        <v>202</v>
      </c>
      <c r="H274" s="141">
        <v>0.05</v>
      </c>
      <c r="I274">
        <f t="shared" si="30"/>
        <v>231</v>
      </c>
      <c r="J274" s="137">
        <v>0.04</v>
      </c>
      <c r="K274">
        <f t="shared" si="31"/>
        <v>220</v>
      </c>
      <c r="L274" s="53">
        <f t="shared" si="32"/>
        <v>244</v>
      </c>
      <c r="M274" s="189">
        <v>2.69</v>
      </c>
      <c r="N274" s="186">
        <f>VLOOKUP(5493,季財報!A:M,8,0)</f>
        <v>2</v>
      </c>
    </row>
    <row r="275" spans="1:14">
      <c r="A275" s="133">
        <v>1709</v>
      </c>
      <c r="C275">
        <v>271</v>
      </c>
      <c r="D275">
        <v>3261</v>
      </c>
      <c r="E275">
        <v>2712</v>
      </c>
      <c r="F275">
        <v>6864</v>
      </c>
      <c r="G275">
        <v>861</v>
      </c>
      <c r="H275" s="141">
        <v>0.05</v>
      </c>
      <c r="I275">
        <f t="shared" si="30"/>
        <v>231</v>
      </c>
      <c r="J275" s="137">
        <v>0.04</v>
      </c>
      <c r="K275">
        <f t="shared" si="31"/>
        <v>220</v>
      </c>
      <c r="L275" s="53">
        <f t="shared" si="32"/>
        <v>244</v>
      </c>
      <c r="M275" s="189">
        <v>2.69</v>
      </c>
      <c r="N275" s="186">
        <f>VLOOKUP(1709,季財報!A:M,8,0)</f>
        <v>2</v>
      </c>
    </row>
    <row r="276" spans="1:14">
      <c r="A276" s="133">
        <v>2636</v>
      </c>
      <c r="C276">
        <v>104</v>
      </c>
      <c r="D276">
        <v>2029</v>
      </c>
      <c r="E276">
        <v>265</v>
      </c>
      <c r="F276">
        <v>2507</v>
      </c>
      <c r="G276">
        <v>83</v>
      </c>
      <c r="H276" s="141">
        <v>0.05</v>
      </c>
      <c r="I276">
        <f t="shared" si="30"/>
        <v>231</v>
      </c>
      <c r="J276" s="137">
        <v>0.04</v>
      </c>
      <c r="K276">
        <f t="shared" si="31"/>
        <v>220</v>
      </c>
      <c r="L276" s="53">
        <f t="shared" si="32"/>
        <v>244</v>
      </c>
      <c r="M276" s="189">
        <v>2.69</v>
      </c>
      <c r="N276" s="186">
        <f>VLOOKUP(2636,季財報!A:M,8,0)</f>
        <v>2</v>
      </c>
    </row>
    <row r="277" spans="1:14">
      <c r="A277" s="133">
        <v>3443</v>
      </c>
      <c r="C277">
        <v>144</v>
      </c>
      <c r="D277">
        <v>2648</v>
      </c>
      <c r="E277">
        <v>359</v>
      </c>
      <c r="F277">
        <v>3360</v>
      </c>
      <c r="G277">
        <v>0</v>
      </c>
      <c r="H277" s="141">
        <v>0.05</v>
      </c>
      <c r="I277">
        <f t="shared" si="30"/>
        <v>231</v>
      </c>
      <c r="J277" s="137">
        <v>0.04</v>
      </c>
      <c r="K277">
        <f t="shared" si="31"/>
        <v>220</v>
      </c>
      <c r="L277" s="53">
        <f t="shared" si="32"/>
        <v>244</v>
      </c>
      <c r="M277" s="189">
        <v>2.69</v>
      </c>
      <c r="N277" s="186">
        <f>VLOOKUP(3443,季財報!A:M,8,0)</f>
        <v>3</v>
      </c>
    </row>
    <row r="278" spans="1:14">
      <c r="A278" s="133">
        <v>9942</v>
      </c>
      <c r="C278">
        <v>128</v>
      </c>
      <c r="D278">
        <v>1792</v>
      </c>
      <c r="E278">
        <v>1250</v>
      </c>
      <c r="F278">
        <v>2658</v>
      </c>
      <c r="G278">
        <v>174</v>
      </c>
      <c r="H278" s="141">
        <v>0.04</v>
      </c>
      <c r="I278">
        <f t="shared" ref="I278:I284" si="33">RANK(0.04,H:H,0)</f>
        <v>330</v>
      </c>
      <c r="J278" s="137">
        <v>0.05</v>
      </c>
      <c r="K278">
        <f t="shared" ref="K278:K284" si="34">RANK(0.05,J:J,0)</f>
        <v>135</v>
      </c>
      <c r="L278" s="53">
        <f t="shared" ref="L278:L284" si="35">RANK(3.27,M:M,0)</f>
        <v>277</v>
      </c>
      <c r="M278" s="189">
        <v>2.52</v>
      </c>
      <c r="N278" s="186">
        <f>VLOOKUP(9942,季財報!A:M,8,0)</f>
        <v>2</v>
      </c>
    </row>
    <row r="279" spans="1:14">
      <c r="A279" s="133">
        <v>4175</v>
      </c>
      <c r="C279">
        <v>35</v>
      </c>
      <c r="D279">
        <v>342</v>
      </c>
      <c r="E279">
        <v>452</v>
      </c>
      <c r="F279">
        <v>643</v>
      </c>
      <c r="G279">
        <v>15</v>
      </c>
      <c r="H279" s="141">
        <v>0.04</v>
      </c>
      <c r="I279">
        <f t="shared" si="33"/>
        <v>330</v>
      </c>
      <c r="J279" s="137">
        <v>0.05</v>
      </c>
      <c r="K279">
        <f t="shared" si="34"/>
        <v>135</v>
      </c>
      <c r="L279" s="53">
        <f t="shared" si="35"/>
        <v>277</v>
      </c>
      <c r="M279" s="189">
        <v>2.5299999999999998</v>
      </c>
      <c r="N279" s="186">
        <f>VLOOKUP(4175,季財報!A:M,8,0)</f>
        <v>1</v>
      </c>
    </row>
    <row r="280" spans="1:14">
      <c r="A280" s="133">
        <v>4974</v>
      </c>
      <c r="C280">
        <v>79</v>
      </c>
      <c r="D280">
        <v>1568</v>
      </c>
      <c r="E280">
        <v>553</v>
      </c>
      <c r="F280">
        <v>1693</v>
      </c>
      <c r="G280">
        <v>0</v>
      </c>
      <c r="H280" s="141">
        <v>0.04</v>
      </c>
      <c r="I280">
        <f t="shared" si="33"/>
        <v>330</v>
      </c>
      <c r="J280" s="137">
        <v>0.05</v>
      </c>
      <c r="K280">
        <f t="shared" si="34"/>
        <v>135</v>
      </c>
      <c r="L280" s="53">
        <f t="shared" si="35"/>
        <v>277</v>
      </c>
      <c r="M280" s="189">
        <v>2.5299999999999998</v>
      </c>
      <c r="N280" s="186">
        <f>VLOOKUP(4974,季財報!A:M,8,0)</f>
        <v>2</v>
      </c>
    </row>
    <row r="281" spans="1:14">
      <c r="A281" s="133">
        <v>1733</v>
      </c>
      <c r="C281">
        <v>87</v>
      </c>
      <c r="D281">
        <v>1054</v>
      </c>
      <c r="E281">
        <v>918</v>
      </c>
      <c r="F281">
        <v>1826</v>
      </c>
      <c r="G281">
        <v>0</v>
      </c>
      <c r="H281" s="141">
        <v>0.04</v>
      </c>
      <c r="I281">
        <f t="shared" si="33"/>
        <v>330</v>
      </c>
      <c r="J281" s="137">
        <v>0.05</v>
      </c>
      <c r="K281">
        <f t="shared" si="34"/>
        <v>135</v>
      </c>
      <c r="L281" s="53">
        <f t="shared" si="35"/>
        <v>277</v>
      </c>
      <c r="M281" s="189">
        <v>2.33</v>
      </c>
      <c r="N281" s="186">
        <f>VLOOKUP(1733,季財報!A:M,8,0)</f>
        <v>4</v>
      </c>
    </row>
    <row r="282" spans="1:14">
      <c r="A282" s="133">
        <v>3564</v>
      </c>
      <c r="C282">
        <v>28</v>
      </c>
      <c r="D282">
        <v>287</v>
      </c>
      <c r="E282">
        <v>462</v>
      </c>
      <c r="F282">
        <v>525</v>
      </c>
      <c r="G282">
        <v>14</v>
      </c>
      <c r="H282" s="141">
        <v>0.04</v>
      </c>
      <c r="I282">
        <f t="shared" si="33"/>
        <v>330</v>
      </c>
      <c r="J282" s="137">
        <v>0.05</v>
      </c>
      <c r="K282">
        <f t="shared" si="34"/>
        <v>135</v>
      </c>
      <c r="L282" s="53">
        <f t="shared" si="35"/>
        <v>277</v>
      </c>
      <c r="M282" s="189">
        <v>2.33</v>
      </c>
      <c r="N282" s="186">
        <f>VLOOKUP(3564,季財報!A:M,8,0)</f>
        <v>3</v>
      </c>
    </row>
    <row r="283" spans="1:14">
      <c r="A283" s="133">
        <v>8215</v>
      </c>
      <c r="C283">
        <v>232</v>
      </c>
      <c r="D283">
        <v>1204</v>
      </c>
      <c r="E283">
        <v>4262</v>
      </c>
      <c r="F283">
        <v>4599</v>
      </c>
      <c r="G283">
        <v>384</v>
      </c>
      <c r="H283" s="141">
        <v>0.04</v>
      </c>
      <c r="I283">
        <f t="shared" si="33"/>
        <v>330</v>
      </c>
      <c r="J283" s="137">
        <v>0.05</v>
      </c>
      <c r="K283">
        <f t="shared" si="34"/>
        <v>135</v>
      </c>
      <c r="L283" s="53">
        <f t="shared" si="35"/>
        <v>277</v>
      </c>
      <c r="M283" s="189">
        <v>2.33</v>
      </c>
      <c r="N283" s="186">
        <f>VLOOKUP(8215,季財報!A:M,8,0)</f>
        <v>2</v>
      </c>
    </row>
    <row r="284" spans="1:14">
      <c r="A284" s="133">
        <v>3693</v>
      </c>
      <c r="C284">
        <v>99</v>
      </c>
      <c r="D284">
        <v>1664</v>
      </c>
      <c r="E284">
        <v>596</v>
      </c>
      <c r="F284">
        <v>1819</v>
      </c>
      <c r="G284">
        <v>0</v>
      </c>
      <c r="H284" s="141">
        <v>0.04</v>
      </c>
      <c r="I284">
        <f t="shared" si="33"/>
        <v>330</v>
      </c>
      <c r="J284" s="137">
        <v>0.05</v>
      </c>
      <c r="K284">
        <f t="shared" si="34"/>
        <v>135</v>
      </c>
      <c r="L284" s="53">
        <f t="shared" si="35"/>
        <v>277</v>
      </c>
      <c r="M284" s="189">
        <v>2.29</v>
      </c>
      <c r="N284" s="186">
        <f>VLOOKUP(3693,季財報!A:M,8,0)</f>
        <v>4</v>
      </c>
    </row>
    <row r="285" spans="1:14">
      <c r="A285" s="133">
        <v>9945</v>
      </c>
      <c r="C285">
        <v>1048</v>
      </c>
      <c r="D285">
        <v>12477</v>
      </c>
      <c r="E285">
        <v>4183</v>
      </c>
      <c r="F285">
        <v>28578</v>
      </c>
      <c r="G285">
        <v>9730</v>
      </c>
      <c r="H285" s="141">
        <v>0.06</v>
      </c>
      <c r="I285">
        <f t="shared" ref="I285:I290" si="36">RANK(0.06,H:H,0)</f>
        <v>155</v>
      </c>
      <c r="J285" s="137">
        <v>0.03</v>
      </c>
      <c r="K285">
        <f t="shared" ref="K285:K290" si="37">RANK(0.03,J:J,0)</f>
        <v>334</v>
      </c>
      <c r="L285" s="53">
        <f t="shared" ref="L285:L290" si="38">RANK(3.11,M:M,0)</f>
        <v>284</v>
      </c>
      <c r="M285" s="189">
        <v>2.29</v>
      </c>
      <c r="N285" s="186">
        <f>VLOOKUP(9945,季財報!A:M,8,0)</f>
        <v>5</v>
      </c>
    </row>
    <row r="286" spans="1:14">
      <c r="A286" s="133">
        <v>6196</v>
      </c>
      <c r="C286">
        <v>187</v>
      </c>
      <c r="D286">
        <v>1849</v>
      </c>
      <c r="E286">
        <v>1444</v>
      </c>
      <c r="F286">
        <v>4341</v>
      </c>
      <c r="G286">
        <v>2399</v>
      </c>
      <c r="H286" s="141">
        <v>0.06</v>
      </c>
      <c r="I286">
        <f t="shared" si="36"/>
        <v>155</v>
      </c>
      <c r="J286" s="137">
        <v>0.03</v>
      </c>
      <c r="K286">
        <f t="shared" si="37"/>
        <v>334</v>
      </c>
      <c r="L286" s="53">
        <f t="shared" si="38"/>
        <v>284</v>
      </c>
      <c r="M286" s="189">
        <v>2.29</v>
      </c>
      <c r="N286" s="186">
        <f>VLOOKUP(6196,季財報!A:M,8,0)</f>
        <v>3</v>
      </c>
    </row>
    <row r="287" spans="1:14">
      <c r="A287" s="133">
        <v>3022</v>
      </c>
      <c r="C287">
        <v>317</v>
      </c>
      <c r="D287">
        <v>3969</v>
      </c>
      <c r="E287">
        <v>1346</v>
      </c>
      <c r="F287">
        <v>7357</v>
      </c>
      <c r="G287">
        <v>3279</v>
      </c>
      <c r="H287" s="141">
        <v>0.06</v>
      </c>
      <c r="I287">
        <f t="shared" si="36"/>
        <v>155</v>
      </c>
      <c r="J287" s="137">
        <v>0.03</v>
      </c>
      <c r="K287">
        <f t="shared" si="37"/>
        <v>334</v>
      </c>
      <c r="L287" s="53">
        <f t="shared" si="38"/>
        <v>284</v>
      </c>
      <c r="M287" s="189">
        <v>2.29</v>
      </c>
      <c r="N287" s="186">
        <f>VLOOKUP(3022,季財報!A:M,8,0)</f>
        <v>2</v>
      </c>
    </row>
    <row r="288" spans="1:14">
      <c r="A288" s="133">
        <v>3661</v>
      </c>
      <c r="C288">
        <v>101</v>
      </c>
      <c r="D288">
        <v>1275</v>
      </c>
      <c r="E288">
        <v>375</v>
      </c>
      <c r="F288">
        <v>2742</v>
      </c>
      <c r="G288">
        <v>697</v>
      </c>
      <c r="H288" s="141">
        <v>0.06</v>
      </c>
      <c r="I288">
        <f t="shared" si="36"/>
        <v>155</v>
      </c>
      <c r="J288" s="137">
        <v>0.03</v>
      </c>
      <c r="K288">
        <f t="shared" si="37"/>
        <v>334</v>
      </c>
      <c r="L288" s="53">
        <f t="shared" si="38"/>
        <v>284</v>
      </c>
      <c r="M288" s="189">
        <v>2.29</v>
      </c>
      <c r="N288" s="186">
        <f>VLOOKUP(3661,季財報!A:M,8,0)</f>
        <v>2</v>
      </c>
    </row>
    <row r="289" spans="1:14">
      <c r="A289" s="133">
        <v>3694</v>
      </c>
      <c r="C289">
        <v>87</v>
      </c>
      <c r="D289">
        <v>508</v>
      </c>
      <c r="E289">
        <v>931</v>
      </c>
      <c r="F289">
        <v>1522</v>
      </c>
      <c r="G289">
        <v>1189</v>
      </c>
      <c r="H289" s="141">
        <v>0.06</v>
      </c>
      <c r="I289">
        <f t="shared" si="36"/>
        <v>155</v>
      </c>
      <c r="J289" s="137">
        <v>0.03</v>
      </c>
      <c r="K289">
        <f t="shared" si="37"/>
        <v>334</v>
      </c>
      <c r="L289" s="53">
        <f t="shared" si="38"/>
        <v>284</v>
      </c>
      <c r="M289" s="189">
        <v>2.29</v>
      </c>
      <c r="N289" s="186">
        <f>VLOOKUP(3694,季財報!A:M,8,0)</f>
        <v>5</v>
      </c>
    </row>
    <row r="290" spans="1:14">
      <c r="A290" s="133">
        <v>3289</v>
      </c>
      <c r="C290">
        <v>75</v>
      </c>
      <c r="D290">
        <v>0</v>
      </c>
      <c r="E290">
        <v>1216</v>
      </c>
      <c r="F290">
        <v>1796</v>
      </c>
      <c r="G290">
        <v>625</v>
      </c>
      <c r="H290" s="141">
        <v>0.06</v>
      </c>
      <c r="I290">
        <f t="shared" si="36"/>
        <v>155</v>
      </c>
      <c r="J290" s="137">
        <v>0.03</v>
      </c>
      <c r="K290">
        <f t="shared" si="37"/>
        <v>334</v>
      </c>
      <c r="L290" s="53">
        <f t="shared" si="38"/>
        <v>284</v>
      </c>
      <c r="M290" s="189">
        <v>2.29</v>
      </c>
      <c r="N290" s="186">
        <f>VLOOKUP(3289,季財報!A:M,8,0)</f>
        <v>4</v>
      </c>
    </row>
    <row r="291" spans="1:14">
      <c r="A291" s="133">
        <v>8210</v>
      </c>
      <c r="C291">
        <v>119</v>
      </c>
      <c r="D291">
        <v>1477</v>
      </c>
      <c r="E291">
        <v>1225</v>
      </c>
      <c r="F291">
        <v>2611</v>
      </c>
      <c r="G291">
        <v>238</v>
      </c>
      <c r="H291" s="141">
        <v>0.04</v>
      </c>
      <c r="I291">
        <f t="shared" ref="I291:I337" si="39">RANK(0.04,H:H,0)</f>
        <v>330</v>
      </c>
      <c r="J291" s="137">
        <v>0.04</v>
      </c>
      <c r="K291">
        <f t="shared" ref="K291:K337" si="40">RANK(0.04,J:J,0)</f>
        <v>220</v>
      </c>
      <c r="L291" s="53">
        <f t="shared" ref="L291:L337" si="41">RANK(2.76,M:M,0)</f>
        <v>290</v>
      </c>
      <c r="M291" s="189">
        <v>2.29</v>
      </c>
      <c r="N291" s="186">
        <f>VLOOKUP(8210,季財報!A:M,8,0)</f>
        <v>4</v>
      </c>
    </row>
    <row r="292" spans="1:14">
      <c r="A292" s="133">
        <v>6451</v>
      </c>
      <c r="C292">
        <v>242</v>
      </c>
      <c r="D292">
        <v>4158</v>
      </c>
      <c r="E292">
        <v>1326</v>
      </c>
      <c r="F292">
        <v>5975</v>
      </c>
      <c r="G292">
        <v>348</v>
      </c>
      <c r="H292" s="141">
        <v>0.04</v>
      </c>
      <c r="I292">
        <f t="shared" si="39"/>
        <v>330</v>
      </c>
      <c r="J292" s="137">
        <v>0.04</v>
      </c>
      <c r="K292">
        <f t="shared" si="40"/>
        <v>220</v>
      </c>
      <c r="L292" s="53">
        <f t="shared" si="41"/>
        <v>290</v>
      </c>
      <c r="M292" s="189">
        <v>2.29</v>
      </c>
      <c r="N292" s="186">
        <f>VLOOKUP(6451,季財報!A:M,8,0)</f>
        <v>1</v>
      </c>
    </row>
    <row r="293" spans="1:14">
      <c r="A293" s="133">
        <v>8039</v>
      </c>
      <c r="C293">
        <v>326</v>
      </c>
      <c r="D293">
        <v>4753</v>
      </c>
      <c r="E293">
        <v>2652</v>
      </c>
      <c r="F293">
        <v>6765</v>
      </c>
      <c r="G293">
        <v>1311</v>
      </c>
      <c r="H293" s="141">
        <v>0.04</v>
      </c>
      <c r="I293">
        <f t="shared" si="39"/>
        <v>330</v>
      </c>
      <c r="J293" s="137">
        <v>0.04</v>
      </c>
      <c r="K293">
        <f t="shared" si="40"/>
        <v>220</v>
      </c>
      <c r="L293" s="53">
        <f t="shared" si="41"/>
        <v>290</v>
      </c>
      <c r="M293" s="189">
        <v>2.29</v>
      </c>
      <c r="N293" s="186">
        <f>VLOOKUP(8039,季財報!A:M,8,0)</f>
        <v>5</v>
      </c>
    </row>
    <row r="294" spans="1:14">
      <c r="A294" s="133">
        <v>6153</v>
      </c>
      <c r="C294">
        <v>385</v>
      </c>
      <c r="D294">
        <v>4175</v>
      </c>
      <c r="E294">
        <v>5460</v>
      </c>
      <c r="F294">
        <v>8365</v>
      </c>
      <c r="G294">
        <v>691</v>
      </c>
      <c r="H294" s="141">
        <v>0.04</v>
      </c>
      <c r="I294">
        <f t="shared" si="39"/>
        <v>330</v>
      </c>
      <c r="J294" s="137">
        <v>0.04</v>
      </c>
      <c r="K294">
        <f t="shared" si="40"/>
        <v>220</v>
      </c>
      <c r="L294" s="53">
        <f t="shared" si="41"/>
        <v>290</v>
      </c>
      <c r="M294" s="189">
        <v>2.29</v>
      </c>
      <c r="N294" s="186">
        <f>VLOOKUP(6153,季財報!A:M,8,0)</f>
        <v>3</v>
      </c>
    </row>
    <row r="295" spans="1:14">
      <c r="A295" s="133">
        <v>6192</v>
      </c>
      <c r="C295">
        <v>173</v>
      </c>
      <c r="D295">
        <v>3511</v>
      </c>
      <c r="E295">
        <v>910</v>
      </c>
      <c r="F295">
        <v>4033</v>
      </c>
      <c r="G295">
        <v>94</v>
      </c>
      <c r="H295" s="141">
        <v>0.04</v>
      </c>
      <c r="I295">
        <f t="shared" si="39"/>
        <v>330</v>
      </c>
      <c r="J295" s="137">
        <v>0.04</v>
      </c>
      <c r="K295">
        <f t="shared" si="40"/>
        <v>220</v>
      </c>
      <c r="L295" s="53">
        <f t="shared" si="41"/>
        <v>290</v>
      </c>
      <c r="M295" s="189">
        <v>2.29</v>
      </c>
      <c r="N295" s="186">
        <f>VLOOKUP(6192,季財報!A:M,8,0)</f>
        <v>3</v>
      </c>
    </row>
    <row r="296" spans="1:14">
      <c r="A296" s="133">
        <v>6216</v>
      </c>
      <c r="C296">
        <v>55</v>
      </c>
      <c r="D296">
        <v>1208</v>
      </c>
      <c r="E296">
        <v>147</v>
      </c>
      <c r="F296">
        <v>1325</v>
      </c>
      <c r="G296">
        <v>16</v>
      </c>
      <c r="H296" s="141">
        <v>0.04</v>
      </c>
      <c r="I296">
        <f t="shared" si="39"/>
        <v>330</v>
      </c>
      <c r="J296" s="137">
        <v>0.04</v>
      </c>
      <c r="K296">
        <f t="shared" si="40"/>
        <v>220</v>
      </c>
      <c r="L296" s="53">
        <f t="shared" si="41"/>
        <v>290</v>
      </c>
      <c r="M296" s="189">
        <v>2.29</v>
      </c>
      <c r="N296" s="186">
        <f>VLOOKUP(6216,季財報!A:M,8,0)</f>
        <v>2</v>
      </c>
    </row>
    <row r="297" spans="1:14">
      <c r="A297" s="133">
        <v>4995</v>
      </c>
      <c r="C297">
        <v>19</v>
      </c>
      <c r="D297">
        <v>397</v>
      </c>
      <c r="E297">
        <v>73</v>
      </c>
      <c r="F297">
        <v>496</v>
      </c>
      <c r="G297">
        <v>0</v>
      </c>
      <c r="H297" s="141">
        <v>0.04</v>
      </c>
      <c r="I297">
        <f t="shared" si="39"/>
        <v>330</v>
      </c>
      <c r="J297" s="137">
        <v>0.04</v>
      </c>
      <c r="K297">
        <f t="shared" si="40"/>
        <v>220</v>
      </c>
      <c r="L297" s="53">
        <f t="shared" si="41"/>
        <v>290</v>
      </c>
      <c r="M297" s="189">
        <v>2.29</v>
      </c>
      <c r="N297" s="186">
        <f>VLOOKUP(4995,季財報!A:M,8,0)</f>
        <v>2</v>
      </c>
    </row>
    <row r="298" spans="1:14">
      <c r="A298" s="133">
        <v>5234</v>
      </c>
      <c r="C298">
        <v>73</v>
      </c>
      <c r="D298">
        <v>890</v>
      </c>
      <c r="E298">
        <v>1162</v>
      </c>
      <c r="F298">
        <v>1901</v>
      </c>
      <c r="G298">
        <v>176</v>
      </c>
      <c r="H298" s="141">
        <v>0.04</v>
      </c>
      <c r="I298">
        <f t="shared" si="39"/>
        <v>330</v>
      </c>
      <c r="J298" s="137">
        <v>0.04</v>
      </c>
      <c r="K298">
        <f t="shared" si="40"/>
        <v>220</v>
      </c>
      <c r="L298" s="53">
        <f t="shared" si="41"/>
        <v>290</v>
      </c>
      <c r="M298" s="189">
        <v>2.29</v>
      </c>
      <c r="N298" s="186">
        <f>VLOOKUP(5234,季財報!A:M,8,0)</f>
        <v>3</v>
      </c>
    </row>
    <row r="299" spans="1:14">
      <c r="A299" s="133">
        <v>5603</v>
      </c>
      <c r="C299">
        <v>60</v>
      </c>
      <c r="D299">
        <v>110</v>
      </c>
      <c r="E299">
        <v>1334</v>
      </c>
      <c r="F299">
        <v>1273</v>
      </c>
      <c r="G299">
        <v>311</v>
      </c>
      <c r="H299" s="141">
        <v>0.04</v>
      </c>
      <c r="I299">
        <f t="shared" si="39"/>
        <v>330</v>
      </c>
      <c r="J299" s="137">
        <v>0.04</v>
      </c>
      <c r="K299">
        <f t="shared" si="40"/>
        <v>220</v>
      </c>
      <c r="L299" s="53">
        <f t="shared" si="41"/>
        <v>290</v>
      </c>
      <c r="M299" s="189">
        <v>2.29</v>
      </c>
      <c r="N299" s="186">
        <f>VLOOKUP(5603,季財報!A:M,8,0)</f>
        <v>2</v>
      </c>
    </row>
    <row r="300" spans="1:14">
      <c r="A300" s="133">
        <v>4555</v>
      </c>
      <c r="C300">
        <v>108</v>
      </c>
      <c r="D300">
        <v>689</v>
      </c>
      <c r="E300">
        <v>1783</v>
      </c>
      <c r="F300">
        <v>2390</v>
      </c>
      <c r="G300">
        <v>532</v>
      </c>
      <c r="H300" s="141">
        <v>0.04</v>
      </c>
      <c r="I300">
        <f t="shared" si="39"/>
        <v>330</v>
      </c>
      <c r="J300" s="137">
        <v>0.04</v>
      </c>
      <c r="K300">
        <f t="shared" si="40"/>
        <v>220</v>
      </c>
      <c r="L300" s="53">
        <f t="shared" si="41"/>
        <v>290</v>
      </c>
      <c r="M300" s="189">
        <v>2.29</v>
      </c>
      <c r="N300" s="186">
        <f>VLOOKUP(4555,季財報!A:M,8,0)</f>
        <v>2</v>
      </c>
    </row>
    <row r="301" spans="1:14">
      <c r="A301" s="133">
        <v>4977</v>
      </c>
      <c r="C301">
        <v>60</v>
      </c>
      <c r="D301">
        <v>1131</v>
      </c>
      <c r="E301">
        <v>209</v>
      </c>
      <c r="F301">
        <v>1370</v>
      </c>
      <c r="G301">
        <v>0</v>
      </c>
      <c r="H301" s="141">
        <v>0.04</v>
      </c>
      <c r="I301">
        <f t="shared" si="39"/>
        <v>330</v>
      </c>
      <c r="J301" s="137">
        <v>0.04</v>
      </c>
      <c r="K301">
        <f t="shared" si="40"/>
        <v>220</v>
      </c>
      <c r="L301" s="53">
        <f t="shared" si="41"/>
        <v>290</v>
      </c>
      <c r="M301" s="189">
        <v>2.29</v>
      </c>
      <c r="N301" s="186">
        <f>VLOOKUP(4977,季財報!A:M,8,0)</f>
        <v>4</v>
      </c>
    </row>
    <row r="302" spans="1:14">
      <c r="A302" s="133">
        <v>4984</v>
      </c>
      <c r="C302">
        <v>63</v>
      </c>
      <c r="D302">
        <v>1566</v>
      </c>
      <c r="E302">
        <v>44</v>
      </c>
      <c r="F302">
        <v>1686</v>
      </c>
      <c r="G302">
        <v>0</v>
      </c>
      <c r="H302" s="141">
        <v>0.04</v>
      </c>
      <c r="I302">
        <f t="shared" si="39"/>
        <v>330</v>
      </c>
      <c r="J302" s="137">
        <v>0.04</v>
      </c>
      <c r="K302">
        <f t="shared" si="40"/>
        <v>220</v>
      </c>
      <c r="L302" s="53">
        <f t="shared" si="41"/>
        <v>290</v>
      </c>
      <c r="M302" s="189">
        <v>2.29</v>
      </c>
      <c r="N302" s="186">
        <f>VLOOKUP(4984,季財報!A:M,8,0)</f>
        <v>4</v>
      </c>
    </row>
    <row r="303" spans="1:14">
      <c r="A303" s="133">
        <v>5007</v>
      </c>
      <c r="C303">
        <v>241</v>
      </c>
      <c r="D303">
        <v>1795</v>
      </c>
      <c r="E303">
        <v>3562</v>
      </c>
      <c r="F303">
        <v>5184</v>
      </c>
      <c r="G303">
        <v>874</v>
      </c>
      <c r="H303" s="141">
        <v>0.04</v>
      </c>
      <c r="I303">
        <f t="shared" si="39"/>
        <v>330</v>
      </c>
      <c r="J303" s="137">
        <v>0.04</v>
      </c>
      <c r="K303">
        <f t="shared" si="40"/>
        <v>220</v>
      </c>
      <c r="L303" s="53">
        <f t="shared" si="41"/>
        <v>290</v>
      </c>
      <c r="M303" s="189">
        <v>2.29</v>
      </c>
      <c r="N303" s="186">
        <f>VLOOKUP(5007,季財報!A:M,8,0)</f>
        <v>2</v>
      </c>
    </row>
    <row r="304" spans="1:14">
      <c r="A304" s="133">
        <v>1259</v>
      </c>
      <c r="C304">
        <v>59</v>
      </c>
      <c r="D304">
        <v>1162</v>
      </c>
      <c r="E304">
        <v>349</v>
      </c>
      <c r="F304">
        <v>1654</v>
      </c>
      <c r="G304">
        <v>0</v>
      </c>
      <c r="H304" s="141">
        <v>0.04</v>
      </c>
      <c r="I304">
        <f t="shared" si="39"/>
        <v>330</v>
      </c>
      <c r="J304" s="137">
        <v>0.04</v>
      </c>
      <c r="K304">
        <f t="shared" si="40"/>
        <v>220</v>
      </c>
      <c r="L304" s="53">
        <f t="shared" si="41"/>
        <v>290</v>
      </c>
      <c r="M304" s="189">
        <v>2.29</v>
      </c>
      <c r="N304" s="186">
        <f>VLOOKUP(1259,季財報!A:M,8,0)</f>
        <v>3</v>
      </c>
    </row>
    <row r="305" spans="1:14">
      <c r="A305" s="133">
        <v>1560</v>
      </c>
      <c r="C305">
        <v>157</v>
      </c>
      <c r="D305">
        <v>996</v>
      </c>
      <c r="E305">
        <v>2743</v>
      </c>
      <c r="F305">
        <v>3721</v>
      </c>
      <c r="G305">
        <v>280</v>
      </c>
      <c r="H305" s="141">
        <v>0.04</v>
      </c>
      <c r="I305">
        <f t="shared" si="39"/>
        <v>330</v>
      </c>
      <c r="J305" s="137">
        <v>0.04</v>
      </c>
      <c r="K305">
        <f t="shared" si="40"/>
        <v>220</v>
      </c>
      <c r="L305" s="53">
        <f t="shared" si="41"/>
        <v>290</v>
      </c>
      <c r="M305" s="189">
        <v>2.29</v>
      </c>
      <c r="N305" s="186">
        <f>VLOOKUP(1560,季財報!A:M,8,0)</f>
        <v>4</v>
      </c>
    </row>
    <row r="306" spans="1:14">
      <c r="A306" s="133">
        <v>1593</v>
      </c>
      <c r="C306">
        <v>31</v>
      </c>
      <c r="D306">
        <v>524</v>
      </c>
      <c r="E306">
        <v>278</v>
      </c>
      <c r="F306">
        <v>795</v>
      </c>
      <c r="G306">
        <v>2</v>
      </c>
      <c r="H306" s="141">
        <v>0.04</v>
      </c>
      <c r="I306">
        <f t="shared" si="39"/>
        <v>330</v>
      </c>
      <c r="J306" s="137">
        <v>0.04</v>
      </c>
      <c r="K306">
        <f t="shared" si="40"/>
        <v>220</v>
      </c>
      <c r="L306" s="53">
        <f t="shared" si="41"/>
        <v>290</v>
      </c>
      <c r="M306" s="189">
        <v>2.29</v>
      </c>
      <c r="N306" s="186">
        <f>VLOOKUP(1593,季財報!A:M,8,0)</f>
        <v>3</v>
      </c>
    </row>
    <row r="307" spans="1:14">
      <c r="A307" s="133">
        <v>1708</v>
      </c>
      <c r="C307">
        <v>250</v>
      </c>
      <c r="D307">
        <v>442</v>
      </c>
      <c r="E307">
        <v>5132</v>
      </c>
      <c r="F307">
        <v>5225</v>
      </c>
      <c r="G307">
        <v>1115</v>
      </c>
      <c r="H307" s="141">
        <v>0.04</v>
      </c>
      <c r="I307">
        <f t="shared" si="39"/>
        <v>330</v>
      </c>
      <c r="J307" s="137">
        <v>0.04</v>
      </c>
      <c r="K307">
        <f t="shared" si="40"/>
        <v>220</v>
      </c>
      <c r="L307" s="53">
        <f t="shared" si="41"/>
        <v>290</v>
      </c>
      <c r="M307" s="189">
        <v>2.29</v>
      </c>
      <c r="N307" s="186">
        <f>VLOOKUP(1708,季財報!A:M,8,0)</f>
        <v>4</v>
      </c>
    </row>
    <row r="308" spans="1:14">
      <c r="A308" s="133">
        <v>1726</v>
      </c>
      <c r="C308">
        <v>276</v>
      </c>
      <c r="D308">
        <v>5970</v>
      </c>
      <c r="E308">
        <v>1487</v>
      </c>
      <c r="F308">
        <v>7751</v>
      </c>
      <c r="G308">
        <v>0</v>
      </c>
      <c r="H308" s="141">
        <v>0.04</v>
      </c>
      <c r="I308">
        <f t="shared" si="39"/>
        <v>330</v>
      </c>
      <c r="J308" s="137">
        <v>0.04</v>
      </c>
      <c r="K308">
        <f t="shared" si="40"/>
        <v>220</v>
      </c>
      <c r="L308" s="53">
        <f t="shared" si="41"/>
        <v>290</v>
      </c>
      <c r="M308" s="189">
        <v>2.29</v>
      </c>
      <c r="N308" s="186">
        <f>VLOOKUP(1726,季財報!A:M,8,0)</f>
        <v>3</v>
      </c>
    </row>
    <row r="309" spans="1:14">
      <c r="A309" s="133">
        <v>1787</v>
      </c>
      <c r="C309">
        <v>48</v>
      </c>
      <c r="D309">
        <v>597</v>
      </c>
      <c r="E309">
        <v>573</v>
      </c>
      <c r="F309">
        <v>1075</v>
      </c>
      <c r="G309">
        <v>117</v>
      </c>
      <c r="H309" s="141">
        <v>0.04</v>
      </c>
      <c r="I309">
        <f t="shared" si="39"/>
        <v>330</v>
      </c>
      <c r="J309" s="137">
        <v>0.04</v>
      </c>
      <c r="K309">
        <f t="shared" si="40"/>
        <v>220</v>
      </c>
      <c r="L309" s="53">
        <f t="shared" si="41"/>
        <v>290</v>
      </c>
      <c r="M309" s="189">
        <v>2.29</v>
      </c>
      <c r="N309" s="186">
        <f>VLOOKUP(1787,季財報!A:M,8,0)</f>
        <v>5</v>
      </c>
    </row>
    <row r="310" spans="1:14">
      <c r="A310" s="133">
        <v>2105</v>
      </c>
      <c r="C310">
        <v>4714</v>
      </c>
      <c r="D310">
        <v>10975</v>
      </c>
      <c r="E310">
        <v>108774</v>
      </c>
      <c r="F310">
        <v>88777</v>
      </c>
      <c r="G310">
        <v>24837</v>
      </c>
      <c r="H310" s="141">
        <v>0.04</v>
      </c>
      <c r="I310">
        <f t="shared" si="39"/>
        <v>330</v>
      </c>
      <c r="J310" s="137">
        <v>0.04</v>
      </c>
      <c r="K310">
        <f t="shared" si="40"/>
        <v>220</v>
      </c>
      <c r="L310" s="53">
        <f t="shared" si="41"/>
        <v>290</v>
      </c>
      <c r="M310" s="189">
        <v>2.29</v>
      </c>
      <c r="N310" s="186">
        <f>VLOOKUP(2105,季財報!A:M,8,0)</f>
        <v>1</v>
      </c>
    </row>
    <row r="311" spans="1:14">
      <c r="A311" s="133">
        <v>2106</v>
      </c>
      <c r="C311">
        <v>1050</v>
      </c>
      <c r="D311">
        <v>17579</v>
      </c>
      <c r="E311">
        <v>10128</v>
      </c>
      <c r="F311">
        <v>21235</v>
      </c>
      <c r="G311">
        <v>4313</v>
      </c>
      <c r="H311" s="141">
        <v>0.04</v>
      </c>
      <c r="I311">
        <f t="shared" si="39"/>
        <v>330</v>
      </c>
      <c r="J311" s="137">
        <v>0.04</v>
      </c>
      <c r="K311">
        <f t="shared" si="40"/>
        <v>220</v>
      </c>
      <c r="L311" s="53">
        <f t="shared" si="41"/>
        <v>290</v>
      </c>
      <c r="M311" s="189">
        <v>2.29</v>
      </c>
      <c r="N311" s="186">
        <f>VLOOKUP(2106,季財報!A:M,8,0)</f>
        <v>3</v>
      </c>
    </row>
    <row r="312" spans="1:14">
      <c r="A312" s="133">
        <v>2325</v>
      </c>
      <c r="C312">
        <v>3066</v>
      </c>
      <c r="D312">
        <v>17929</v>
      </c>
      <c r="E312">
        <v>65594</v>
      </c>
      <c r="F312">
        <v>69239</v>
      </c>
      <c r="G312">
        <v>6868</v>
      </c>
      <c r="H312" s="141">
        <v>0.04</v>
      </c>
      <c r="I312">
        <f t="shared" si="39"/>
        <v>330</v>
      </c>
      <c r="J312" s="137">
        <v>0.04</v>
      </c>
      <c r="K312">
        <f t="shared" si="40"/>
        <v>220</v>
      </c>
      <c r="L312" s="53">
        <f t="shared" si="41"/>
        <v>290</v>
      </c>
      <c r="M312" s="189">
        <v>2.29</v>
      </c>
      <c r="N312" s="186">
        <f>VLOOKUP(2325,季財報!A:M,8,0)</f>
        <v>1</v>
      </c>
    </row>
    <row r="313" spans="1:14">
      <c r="A313" s="133">
        <v>2421</v>
      </c>
      <c r="C313">
        <v>166</v>
      </c>
      <c r="D313">
        <v>1952</v>
      </c>
      <c r="E313">
        <v>1794</v>
      </c>
      <c r="F313">
        <v>3909</v>
      </c>
      <c r="G313">
        <v>508</v>
      </c>
      <c r="H313" s="141">
        <v>0.04</v>
      </c>
      <c r="I313">
        <f t="shared" si="39"/>
        <v>330</v>
      </c>
      <c r="J313" s="137">
        <v>0.04</v>
      </c>
      <c r="K313">
        <f t="shared" si="40"/>
        <v>220</v>
      </c>
      <c r="L313" s="53">
        <f t="shared" si="41"/>
        <v>290</v>
      </c>
      <c r="M313" s="189">
        <v>2.29</v>
      </c>
      <c r="N313" s="186">
        <f>VLOOKUP(2421,季財報!A:M,8,0)</f>
        <v>5</v>
      </c>
    </row>
    <row r="314" spans="1:14">
      <c r="A314" s="133">
        <v>2437</v>
      </c>
      <c r="C314">
        <v>150</v>
      </c>
      <c r="D314">
        <v>2320</v>
      </c>
      <c r="E314">
        <v>1148</v>
      </c>
      <c r="F314">
        <v>3403</v>
      </c>
      <c r="G314">
        <v>666</v>
      </c>
      <c r="H314" s="141">
        <v>0.04</v>
      </c>
      <c r="I314">
        <f t="shared" si="39"/>
        <v>330</v>
      </c>
      <c r="J314" s="137">
        <v>0.04</v>
      </c>
      <c r="K314">
        <f t="shared" si="40"/>
        <v>220</v>
      </c>
      <c r="L314" s="53">
        <f t="shared" si="41"/>
        <v>290</v>
      </c>
      <c r="M314" s="189">
        <v>2.29</v>
      </c>
      <c r="N314" s="186">
        <f>VLOOKUP(2437,季財報!A:M,8,0)</f>
        <v>3</v>
      </c>
    </row>
    <row r="315" spans="1:14">
      <c r="A315" s="133">
        <v>2439</v>
      </c>
      <c r="C315">
        <v>258</v>
      </c>
      <c r="D315">
        <v>3339</v>
      </c>
      <c r="E315">
        <v>2842</v>
      </c>
      <c r="F315">
        <v>5653</v>
      </c>
      <c r="G315">
        <v>155</v>
      </c>
      <c r="H315" s="141">
        <v>0.04</v>
      </c>
      <c r="I315">
        <f t="shared" si="39"/>
        <v>330</v>
      </c>
      <c r="J315" s="137">
        <v>0.04</v>
      </c>
      <c r="K315">
        <f t="shared" si="40"/>
        <v>220</v>
      </c>
      <c r="L315" s="53">
        <f t="shared" si="41"/>
        <v>290</v>
      </c>
      <c r="M315" s="189">
        <v>2.29</v>
      </c>
      <c r="N315" s="186">
        <f>VLOOKUP(2439,季財報!A:M,8,0)</f>
        <v>2</v>
      </c>
    </row>
    <row r="316" spans="1:14">
      <c r="A316" s="133">
        <v>2441</v>
      </c>
      <c r="C316">
        <v>517</v>
      </c>
      <c r="D316">
        <v>5688</v>
      </c>
      <c r="E316">
        <v>7236</v>
      </c>
      <c r="F316">
        <v>13298</v>
      </c>
      <c r="G316">
        <v>0</v>
      </c>
      <c r="H316" s="141">
        <v>0.04</v>
      </c>
      <c r="I316">
        <f t="shared" si="39"/>
        <v>330</v>
      </c>
      <c r="J316" s="137">
        <v>0.04</v>
      </c>
      <c r="K316">
        <f t="shared" si="40"/>
        <v>220</v>
      </c>
      <c r="L316" s="53">
        <f t="shared" si="41"/>
        <v>290</v>
      </c>
      <c r="M316" s="189">
        <v>2.29</v>
      </c>
      <c r="N316" s="186">
        <f>VLOOKUP(2441,季財報!A:M,8,0)</f>
        <v>2</v>
      </c>
    </row>
    <row r="317" spans="1:14">
      <c r="A317" s="133">
        <v>2608</v>
      </c>
      <c r="C317">
        <v>376</v>
      </c>
      <c r="D317">
        <v>8</v>
      </c>
      <c r="E317">
        <v>8910</v>
      </c>
      <c r="F317">
        <v>7984</v>
      </c>
      <c r="G317">
        <v>529</v>
      </c>
      <c r="H317" s="141">
        <v>0.04</v>
      </c>
      <c r="I317">
        <f t="shared" si="39"/>
        <v>330</v>
      </c>
      <c r="J317" s="137">
        <v>0.04</v>
      </c>
      <c r="K317">
        <f t="shared" si="40"/>
        <v>220</v>
      </c>
      <c r="L317" s="53">
        <f t="shared" si="41"/>
        <v>290</v>
      </c>
      <c r="M317" s="189">
        <v>2.29</v>
      </c>
      <c r="N317" s="186">
        <f>VLOOKUP(2608,季財報!A:M,8,0)</f>
        <v>3</v>
      </c>
    </row>
    <row r="318" spans="1:14">
      <c r="A318" s="133">
        <v>2712</v>
      </c>
      <c r="C318">
        <v>54</v>
      </c>
      <c r="D318">
        <v>0</v>
      </c>
      <c r="E318">
        <v>1497</v>
      </c>
      <c r="F318">
        <v>1293</v>
      </c>
      <c r="G318">
        <v>75</v>
      </c>
      <c r="H318" s="141">
        <v>0.04</v>
      </c>
      <c r="I318">
        <f t="shared" si="39"/>
        <v>330</v>
      </c>
      <c r="J318" s="137">
        <v>0.04</v>
      </c>
      <c r="K318">
        <f t="shared" si="40"/>
        <v>220</v>
      </c>
      <c r="L318" s="53">
        <f t="shared" si="41"/>
        <v>290</v>
      </c>
      <c r="M318" s="189">
        <v>2.29</v>
      </c>
      <c r="N318" s="186">
        <f>VLOOKUP(2712,季財報!A:M,8,0)</f>
        <v>2</v>
      </c>
    </row>
    <row r="319" spans="1:14">
      <c r="A319" s="133">
        <v>2732</v>
      </c>
      <c r="C319">
        <v>33</v>
      </c>
      <c r="D319">
        <v>484</v>
      </c>
      <c r="E319">
        <v>284</v>
      </c>
      <c r="F319">
        <v>835</v>
      </c>
      <c r="G319">
        <v>75</v>
      </c>
      <c r="H319" s="141">
        <v>0.04</v>
      </c>
      <c r="I319">
        <f t="shared" si="39"/>
        <v>330</v>
      </c>
      <c r="J319" s="137">
        <v>0.04</v>
      </c>
      <c r="K319">
        <f t="shared" si="40"/>
        <v>220</v>
      </c>
      <c r="L319" s="53">
        <f t="shared" si="41"/>
        <v>290</v>
      </c>
      <c r="M319" s="189">
        <v>2.29</v>
      </c>
      <c r="N319" s="186">
        <f>VLOOKUP(2732,季財報!A:M,8,0)</f>
        <v>4</v>
      </c>
    </row>
    <row r="320" spans="1:14">
      <c r="A320" s="133">
        <v>3004</v>
      </c>
      <c r="C320">
        <v>70</v>
      </c>
      <c r="D320">
        <v>57</v>
      </c>
      <c r="E320">
        <v>1544</v>
      </c>
      <c r="F320">
        <v>1249</v>
      </c>
      <c r="G320">
        <v>314</v>
      </c>
      <c r="H320" s="141">
        <v>0.04</v>
      </c>
      <c r="I320">
        <f t="shared" si="39"/>
        <v>330</v>
      </c>
      <c r="J320" s="137">
        <v>0.04</v>
      </c>
      <c r="K320">
        <f t="shared" si="40"/>
        <v>220</v>
      </c>
      <c r="L320" s="53">
        <f t="shared" si="41"/>
        <v>290</v>
      </c>
      <c r="M320" s="189">
        <v>2.29</v>
      </c>
      <c r="N320" s="186">
        <f>VLOOKUP(3004,季財報!A:M,8,0)</f>
        <v>4</v>
      </c>
    </row>
    <row r="321" spans="1:14">
      <c r="A321" s="133">
        <v>3014</v>
      </c>
      <c r="C321">
        <v>129</v>
      </c>
      <c r="D321">
        <v>2756</v>
      </c>
      <c r="E321">
        <v>273</v>
      </c>
      <c r="F321">
        <v>3595</v>
      </c>
      <c r="G321">
        <v>0</v>
      </c>
      <c r="H321" s="141">
        <v>0.04</v>
      </c>
      <c r="I321">
        <f t="shared" si="39"/>
        <v>330</v>
      </c>
      <c r="J321" s="137">
        <v>0.04</v>
      </c>
      <c r="K321">
        <f t="shared" si="40"/>
        <v>220</v>
      </c>
      <c r="L321" s="53">
        <f t="shared" si="41"/>
        <v>290</v>
      </c>
      <c r="M321" s="189">
        <v>2.14</v>
      </c>
      <c r="N321" s="186">
        <f>VLOOKUP(3014,季財報!A:M,8,0)</f>
        <v>3</v>
      </c>
    </row>
    <row r="322" spans="1:14">
      <c r="A322" s="133">
        <v>3060</v>
      </c>
      <c r="C322">
        <v>183</v>
      </c>
      <c r="D322">
        <v>3179</v>
      </c>
      <c r="E322">
        <v>1367</v>
      </c>
      <c r="F322">
        <v>5041</v>
      </c>
      <c r="G322">
        <v>49</v>
      </c>
      <c r="H322" s="141">
        <v>0.04</v>
      </c>
      <c r="I322">
        <f t="shared" si="39"/>
        <v>330</v>
      </c>
      <c r="J322" s="137">
        <v>0.04</v>
      </c>
      <c r="K322">
        <f t="shared" si="40"/>
        <v>220</v>
      </c>
      <c r="L322" s="53">
        <f t="shared" si="41"/>
        <v>290</v>
      </c>
      <c r="M322" s="189">
        <v>2.13</v>
      </c>
      <c r="N322" s="186">
        <f>VLOOKUP(3060,季財報!A:M,8,0)</f>
        <v>3</v>
      </c>
    </row>
    <row r="323" spans="1:14">
      <c r="A323" s="133">
        <v>3078</v>
      </c>
      <c r="C323">
        <v>164</v>
      </c>
      <c r="D323">
        <v>2268</v>
      </c>
      <c r="E323">
        <v>1409</v>
      </c>
      <c r="F323">
        <v>3811</v>
      </c>
      <c r="G323">
        <v>345</v>
      </c>
      <c r="H323" s="141">
        <v>0.04</v>
      </c>
      <c r="I323">
        <f t="shared" si="39"/>
        <v>330</v>
      </c>
      <c r="J323" s="137">
        <v>0.04</v>
      </c>
      <c r="K323">
        <f t="shared" si="40"/>
        <v>220</v>
      </c>
      <c r="L323" s="53">
        <f t="shared" si="41"/>
        <v>290</v>
      </c>
      <c r="M323" s="189">
        <v>2.12</v>
      </c>
      <c r="N323" s="186">
        <f>VLOOKUP(3078,季財報!A:M,8,0)</f>
        <v>4</v>
      </c>
    </row>
    <row r="324" spans="1:14">
      <c r="A324" s="133">
        <v>3118</v>
      </c>
      <c r="C324">
        <v>21</v>
      </c>
      <c r="D324">
        <v>325</v>
      </c>
      <c r="E324">
        <v>155</v>
      </c>
      <c r="F324">
        <v>501</v>
      </c>
      <c r="G324">
        <v>0</v>
      </c>
      <c r="H324" s="141">
        <v>0.04</v>
      </c>
      <c r="I324">
        <f t="shared" si="39"/>
        <v>330</v>
      </c>
      <c r="J324" s="137">
        <v>0.04</v>
      </c>
      <c r="K324">
        <f t="shared" si="40"/>
        <v>220</v>
      </c>
      <c r="L324" s="53">
        <f t="shared" si="41"/>
        <v>290</v>
      </c>
      <c r="M324" s="189">
        <v>2.21</v>
      </c>
      <c r="N324" s="186">
        <f>VLOOKUP(3118,季財報!A:M,8,0)</f>
        <v>3</v>
      </c>
    </row>
    <row r="325" spans="1:14">
      <c r="A325" s="133">
        <v>3206</v>
      </c>
      <c r="C325">
        <v>28</v>
      </c>
      <c r="D325">
        <v>554</v>
      </c>
      <c r="E325">
        <v>113</v>
      </c>
      <c r="F325">
        <v>760</v>
      </c>
      <c r="G325">
        <v>0</v>
      </c>
      <c r="H325" s="141">
        <v>0.04</v>
      </c>
      <c r="I325">
        <f t="shared" si="39"/>
        <v>330</v>
      </c>
      <c r="J325" s="137">
        <v>0.04</v>
      </c>
      <c r="K325">
        <f t="shared" si="40"/>
        <v>220</v>
      </c>
      <c r="L325" s="53">
        <f t="shared" si="41"/>
        <v>290</v>
      </c>
      <c r="M325" s="189">
        <v>2.21</v>
      </c>
      <c r="N325" s="186">
        <f>VLOOKUP(3206,季財報!A:M,8,0)</f>
        <v>0</v>
      </c>
    </row>
    <row r="326" spans="1:14">
      <c r="A326" s="133">
        <v>3293</v>
      </c>
      <c r="C326">
        <v>96</v>
      </c>
      <c r="D326">
        <v>1246</v>
      </c>
      <c r="E326">
        <v>1331</v>
      </c>
      <c r="F326">
        <v>2694</v>
      </c>
      <c r="G326">
        <v>0</v>
      </c>
      <c r="H326" s="141">
        <v>0.04</v>
      </c>
      <c r="I326">
        <f t="shared" si="39"/>
        <v>330</v>
      </c>
      <c r="J326" s="137">
        <v>0.04</v>
      </c>
      <c r="K326">
        <f t="shared" si="40"/>
        <v>220</v>
      </c>
      <c r="L326" s="53">
        <f t="shared" si="41"/>
        <v>290</v>
      </c>
      <c r="M326" s="189">
        <v>2.21</v>
      </c>
      <c r="N326" s="186">
        <f>VLOOKUP(3293,季財報!A:M,8,0)</f>
        <v>5</v>
      </c>
    </row>
    <row r="327" spans="1:14">
      <c r="A327" s="133">
        <v>3376</v>
      </c>
      <c r="C327">
        <v>468</v>
      </c>
      <c r="D327">
        <v>7639</v>
      </c>
      <c r="E327">
        <v>3431</v>
      </c>
      <c r="F327">
        <v>11402</v>
      </c>
      <c r="G327">
        <v>836</v>
      </c>
      <c r="H327" s="141">
        <v>0.04</v>
      </c>
      <c r="I327">
        <f t="shared" si="39"/>
        <v>330</v>
      </c>
      <c r="J327" s="137">
        <v>0.04</v>
      </c>
      <c r="K327">
        <f t="shared" si="40"/>
        <v>220</v>
      </c>
      <c r="L327" s="53">
        <f t="shared" si="41"/>
        <v>290</v>
      </c>
      <c r="M327" s="189">
        <v>2.21</v>
      </c>
      <c r="N327" s="186">
        <f>VLOOKUP(3376,季財報!A:M,8,0)</f>
        <v>3</v>
      </c>
    </row>
    <row r="328" spans="1:14">
      <c r="A328" s="133">
        <v>3416</v>
      </c>
      <c r="C328">
        <v>60</v>
      </c>
      <c r="D328">
        <v>994</v>
      </c>
      <c r="E328">
        <v>493</v>
      </c>
      <c r="F328">
        <v>1584</v>
      </c>
      <c r="G328">
        <v>0</v>
      </c>
      <c r="H328" s="141">
        <v>0.04</v>
      </c>
      <c r="I328">
        <f t="shared" si="39"/>
        <v>330</v>
      </c>
      <c r="J328" s="137">
        <v>0.04</v>
      </c>
      <c r="K328">
        <f t="shared" si="40"/>
        <v>220</v>
      </c>
      <c r="L328" s="53">
        <f t="shared" si="41"/>
        <v>290</v>
      </c>
      <c r="M328" s="189">
        <v>2.21</v>
      </c>
      <c r="N328" s="186">
        <f>VLOOKUP(3416,季財報!A:M,8,0)</f>
        <v>2</v>
      </c>
    </row>
    <row r="329" spans="1:14">
      <c r="A329" s="133">
        <v>3501</v>
      </c>
      <c r="C329">
        <v>232</v>
      </c>
      <c r="D329">
        <v>3077</v>
      </c>
      <c r="E329">
        <v>2239</v>
      </c>
      <c r="F329">
        <v>5473</v>
      </c>
      <c r="G329">
        <v>289</v>
      </c>
      <c r="H329" s="141">
        <v>0.04</v>
      </c>
      <c r="I329">
        <f t="shared" si="39"/>
        <v>330</v>
      </c>
      <c r="J329" s="137">
        <v>0.04</v>
      </c>
      <c r="K329">
        <f t="shared" si="40"/>
        <v>220</v>
      </c>
      <c r="L329" s="53">
        <f t="shared" si="41"/>
        <v>290</v>
      </c>
      <c r="M329" s="189">
        <v>2.21</v>
      </c>
      <c r="N329" s="186">
        <f>VLOOKUP(3501,季財報!A:M,8,0)</f>
        <v>5</v>
      </c>
    </row>
    <row r="330" spans="1:14">
      <c r="A330" s="133">
        <v>3665</v>
      </c>
      <c r="C330">
        <v>173</v>
      </c>
      <c r="D330">
        <v>2753</v>
      </c>
      <c r="E330">
        <v>1295</v>
      </c>
      <c r="F330">
        <v>4260</v>
      </c>
      <c r="G330">
        <v>251</v>
      </c>
      <c r="H330" s="141">
        <v>0.04</v>
      </c>
      <c r="I330">
        <f t="shared" si="39"/>
        <v>330</v>
      </c>
      <c r="J330" s="137">
        <v>0.04</v>
      </c>
      <c r="K330">
        <f t="shared" si="40"/>
        <v>220</v>
      </c>
      <c r="L330" s="53">
        <f t="shared" si="41"/>
        <v>290</v>
      </c>
      <c r="M330" s="189">
        <v>2.21</v>
      </c>
      <c r="N330" s="186">
        <f>VLOOKUP(3665,季財報!A:M,8,0)</f>
        <v>3</v>
      </c>
    </row>
    <row r="331" spans="1:14">
      <c r="A331" s="133">
        <v>9905</v>
      </c>
      <c r="C331">
        <v>310</v>
      </c>
      <c r="D331">
        <v>3707</v>
      </c>
      <c r="E331">
        <v>3208</v>
      </c>
      <c r="F331">
        <v>7190</v>
      </c>
      <c r="G331">
        <v>562</v>
      </c>
      <c r="H331" s="141">
        <v>0.04</v>
      </c>
      <c r="I331">
        <f t="shared" si="39"/>
        <v>330</v>
      </c>
      <c r="J331" s="137">
        <v>0.04</v>
      </c>
      <c r="K331">
        <f t="shared" si="40"/>
        <v>220</v>
      </c>
      <c r="L331" s="53">
        <f t="shared" si="41"/>
        <v>290</v>
      </c>
      <c r="M331" s="189">
        <v>2.21</v>
      </c>
      <c r="N331" s="186">
        <f>VLOOKUP(9905,季財報!A:M,8,0)</f>
        <v>0</v>
      </c>
    </row>
    <row r="332" spans="1:14">
      <c r="A332" s="133">
        <v>8436</v>
      </c>
      <c r="C332">
        <v>69</v>
      </c>
      <c r="D332">
        <v>966</v>
      </c>
      <c r="E332">
        <v>757</v>
      </c>
      <c r="F332">
        <v>1843</v>
      </c>
      <c r="G332">
        <v>100</v>
      </c>
      <c r="H332" s="141">
        <v>0.04</v>
      </c>
      <c r="I332">
        <f t="shared" si="39"/>
        <v>330</v>
      </c>
      <c r="J332" s="137">
        <v>0.04</v>
      </c>
      <c r="K332">
        <f t="shared" si="40"/>
        <v>220</v>
      </c>
      <c r="L332" s="53">
        <f t="shared" si="41"/>
        <v>290</v>
      </c>
      <c r="M332" s="189">
        <v>2.09</v>
      </c>
      <c r="N332" s="186">
        <f>VLOOKUP(8436,季財報!A:M,8,0)</f>
        <v>4</v>
      </c>
    </row>
    <row r="333" spans="1:14">
      <c r="A333" s="133">
        <v>4305</v>
      </c>
      <c r="C333">
        <v>39</v>
      </c>
      <c r="D333">
        <v>610</v>
      </c>
      <c r="E333">
        <v>304</v>
      </c>
      <c r="F333">
        <v>908</v>
      </c>
      <c r="G333">
        <v>0</v>
      </c>
      <c r="H333" s="141">
        <v>0.04</v>
      </c>
      <c r="I333">
        <f t="shared" si="39"/>
        <v>330</v>
      </c>
      <c r="J333" s="137">
        <v>0.04</v>
      </c>
      <c r="K333">
        <f t="shared" si="40"/>
        <v>220</v>
      </c>
      <c r="L333" s="53">
        <f t="shared" si="41"/>
        <v>290</v>
      </c>
      <c r="M333" s="189">
        <v>2.09</v>
      </c>
      <c r="N333" s="186">
        <f>VLOOKUP(4305,季財報!A:M,8,0)</f>
        <v>4</v>
      </c>
    </row>
    <row r="334" spans="1:14">
      <c r="A334" s="133">
        <v>2317</v>
      </c>
      <c r="C334">
        <v>42989</v>
      </c>
      <c r="D334">
        <v>676147</v>
      </c>
      <c r="E334">
        <v>328891</v>
      </c>
      <c r="F334">
        <v>1027087</v>
      </c>
      <c r="G334">
        <v>127010</v>
      </c>
      <c r="H334" s="141">
        <v>0.04</v>
      </c>
      <c r="I334">
        <f t="shared" si="39"/>
        <v>330</v>
      </c>
      <c r="J334" s="137">
        <v>0.04</v>
      </c>
      <c r="K334">
        <f t="shared" si="40"/>
        <v>220</v>
      </c>
      <c r="L334" s="53">
        <f t="shared" si="41"/>
        <v>290</v>
      </c>
      <c r="M334" s="189">
        <v>2.09</v>
      </c>
      <c r="N334" s="186">
        <f>VLOOKUP(2317,季財報!A:M,8,0)</f>
        <v>1</v>
      </c>
    </row>
    <row r="335" spans="1:14">
      <c r="A335" s="133">
        <v>2348</v>
      </c>
      <c r="C335">
        <v>55</v>
      </c>
      <c r="D335">
        <v>1449</v>
      </c>
      <c r="E335">
        <v>1</v>
      </c>
      <c r="F335">
        <v>1113</v>
      </c>
      <c r="G335">
        <v>314</v>
      </c>
      <c r="H335" s="141">
        <v>0.04</v>
      </c>
      <c r="I335">
        <f t="shared" si="39"/>
        <v>330</v>
      </c>
      <c r="J335" s="137">
        <v>0.04</v>
      </c>
      <c r="K335">
        <f t="shared" si="40"/>
        <v>220</v>
      </c>
      <c r="L335" s="53">
        <f t="shared" si="41"/>
        <v>290</v>
      </c>
      <c r="M335" s="189">
        <v>2.09</v>
      </c>
      <c r="N335" s="186">
        <f>VLOOKUP(2348,季財報!A:M,8,0)</f>
        <v>2</v>
      </c>
    </row>
    <row r="336" spans="1:14">
      <c r="A336" s="133">
        <v>2360</v>
      </c>
      <c r="C336">
        <v>377</v>
      </c>
      <c r="D336">
        <v>6252</v>
      </c>
      <c r="E336">
        <v>2782</v>
      </c>
      <c r="F336">
        <v>9390</v>
      </c>
      <c r="G336">
        <v>858</v>
      </c>
      <c r="H336" s="141">
        <v>0.04</v>
      </c>
      <c r="I336">
        <f t="shared" si="39"/>
        <v>330</v>
      </c>
      <c r="J336" s="137">
        <v>0.04</v>
      </c>
      <c r="K336">
        <f t="shared" si="40"/>
        <v>220</v>
      </c>
      <c r="L336" s="53">
        <f t="shared" si="41"/>
        <v>290</v>
      </c>
      <c r="M336" s="189">
        <v>2.09</v>
      </c>
      <c r="N336" s="186">
        <f>VLOOKUP(2360,季財報!A:M,8,0)</f>
        <v>1</v>
      </c>
    </row>
    <row r="337" spans="1:14">
      <c r="A337" s="133">
        <v>3642</v>
      </c>
      <c r="C337">
        <v>28</v>
      </c>
      <c r="D337">
        <v>582</v>
      </c>
      <c r="E337">
        <v>137</v>
      </c>
      <c r="F337">
        <v>674</v>
      </c>
      <c r="G337">
        <v>0</v>
      </c>
      <c r="H337" s="141">
        <v>0.04</v>
      </c>
      <c r="I337">
        <f t="shared" si="39"/>
        <v>330</v>
      </c>
      <c r="J337" s="137">
        <v>0.04</v>
      </c>
      <c r="K337">
        <f t="shared" si="40"/>
        <v>220</v>
      </c>
      <c r="L337" s="53">
        <f t="shared" si="41"/>
        <v>290</v>
      </c>
      <c r="M337" s="189">
        <v>2.09</v>
      </c>
      <c r="N337" s="186">
        <f>VLOOKUP(3642,季財報!A:M,8,0)</f>
        <v>1</v>
      </c>
    </row>
    <row r="338" spans="1:14">
      <c r="A338" s="133">
        <v>5312</v>
      </c>
      <c r="C338">
        <v>47</v>
      </c>
      <c r="D338">
        <v>194</v>
      </c>
      <c r="E338">
        <v>310</v>
      </c>
      <c r="F338">
        <v>2252</v>
      </c>
      <c r="G338">
        <v>0</v>
      </c>
      <c r="H338" s="141">
        <v>0.09</v>
      </c>
      <c r="I338">
        <f>RANK(0.09,H:H,0)</f>
        <v>63</v>
      </c>
      <c r="J338" s="137">
        <v>0.02</v>
      </c>
      <c r="K338">
        <f>RANK(0.02,J:J,0)</f>
        <v>496</v>
      </c>
      <c r="L338" s="53">
        <f>RANK(2.72,M:M,0)</f>
        <v>337</v>
      </c>
      <c r="M338" s="189">
        <v>2.09</v>
      </c>
      <c r="N338" s="186">
        <f>VLOOKUP(5312,季財報!A:M,8,0)</f>
        <v>4</v>
      </c>
    </row>
    <row r="339" spans="1:14">
      <c r="A339" s="133">
        <v>9911</v>
      </c>
      <c r="C339">
        <v>133</v>
      </c>
      <c r="D339">
        <v>1292</v>
      </c>
      <c r="E339">
        <v>1396</v>
      </c>
      <c r="F339">
        <v>4156</v>
      </c>
      <c r="G339">
        <v>50</v>
      </c>
      <c r="H339" s="141">
        <v>0.05</v>
      </c>
      <c r="I339">
        <f t="shared" ref="I339:I359" si="42">RANK(0.05,H:H,0)</f>
        <v>231</v>
      </c>
      <c r="J339" s="137">
        <v>0.03</v>
      </c>
      <c r="K339">
        <f t="shared" ref="K339:K359" si="43">RANK(0.03,J:J,0)</f>
        <v>334</v>
      </c>
      <c r="L339" s="53">
        <f t="shared" ref="L339:L359" si="44">RANK(2.69,M:M,0)</f>
        <v>338</v>
      </c>
      <c r="M339" s="189">
        <v>2.09</v>
      </c>
      <c r="N339" s="186">
        <f>VLOOKUP(9911,季財報!A:M,8,0)</f>
        <v>2</v>
      </c>
    </row>
    <row r="340" spans="1:14">
      <c r="A340" s="133">
        <v>8404</v>
      </c>
      <c r="C340">
        <v>163</v>
      </c>
      <c r="D340">
        <v>2049</v>
      </c>
      <c r="E340">
        <v>1573</v>
      </c>
      <c r="F340">
        <v>4737</v>
      </c>
      <c r="G340">
        <v>1234</v>
      </c>
      <c r="H340" s="141">
        <v>0.05</v>
      </c>
      <c r="I340">
        <f t="shared" si="42"/>
        <v>231</v>
      </c>
      <c r="J340" s="137">
        <v>0.03</v>
      </c>
      <c r="K340">
        <f t="shared" si="43"/>
        <v>334</v>
      </c>
      <c r="L340" s="53">
        <f t="shared" si="44"/>
        <v>338</v>
      </c>
      <c r="M340" s="189">
        <v>1.9</v>
      </c>
      <c r="N340" s="186">
        <f>VLOOKUP(8404,季財報!A:M,8,0)</f>
        <v>2</v>
      </c>
    </row>
    <row r="341" spans="1:14">
      <c r="A341" s="133">
        <v>6183</v>
      </c>
      <c r="C341">
        <v>68</v>
      </c>
      <c r="D341">
        <v>867</v>
      </c>
      <c r="E341">
        <v>568</v>
      </c>
      <c r="F341">
        <v>2014</v>
      </c>
      <c r="G341">
        <v>3</v>
      </c>
      <c r="H341" s="141">
        <v>0.05</v>
      </c>
      <c r="I341">
        <f t="shared" si="42"/>
        <v>231</v>
      </c>
      <c r="J341" s="137">
        <v>0.03</v>
      </c>
      <c r="K341">
        <f t="shared" si="43"/>
        <v>334</v>
      </c>
      <c r="L341" s="53">
        <f t="shared" si="44"/>
        <v>338</v>
      </c>
      <c r="M341" s="189">
        <v>1.9</v>
      </c>
      <c r="N341" s="186">
        <f>VLOOKUP(6183,季財報!A:M,8,0)</f>
        <v>1</v>
      </c>
    </row>
    <row r="342" spans="1:14">
      <c r="A342" s="133">
        <v>6207</v>
      </c>
      <c r="C342">
        <v>80</v>
      </c>
      <c r="D342">
        <v>1270</v>
      </c>
      <c r="E342">
        <v>243</v>
      </c>
      <c r="F342">
        <v>1594</v>
      </c>
      <c r="G342">
        <v>1177</v>
      </c>
      <c r="H342" s="141">
        <v>0.05</v>
      </c>
      <c r="I342">
        <f t="shared" si="42"/>
        <v>231</v>
      </c>
      <c r="J342" s="137">
        <v>0.03</v>
      </c>
      <c r="K342">
        <f t="shared" si="43"/>
        <v>334</v>
      </c>
      <c r="L342" s="53">
        <f t="shared" si="44"/>
        <v>338</v>
      </c>
      <c r="M342" s="189">
        <v>1.9</v>
      </c>
      <c r="N342" s="186">
        <f>VLOOKUP(6207,季財報!A:M,8,0)</f>
        <v>4</v>
      </c>
    </row>
    <row r="343" spans="1:14">
      <c r="A343" s="133">
        <v>6166</v>
      </c>
      <c r="C343">
        <v>157</v>
      </c>
      <c r="D343">
        <v>1870</v>
      </c>
      <c r="E343">
        <v>1128</v>
      </c>
      <c r="F343">
        <v>3815</v>
      </c>
      <c r="G343">
        <v>1093</v>
      </c>
      <c r="H343" s="141">
        <v>0.05</v>
      </c>
      <c r="I343">
        <f t="shared" si="42"/>
        <v>231</v>
      </c>
      <c r="J343" s="137">
        <v>0.03</v>
      </c>
      <c r="K343">
        <f t="shared" si="43"/>
        <v>334</v>
      </c>
      <c r="L343" s="53">
        <f t="shared" si="44"/>
        <v>338</v>
      </c>
      <c r="M343" s="189">
        <v>1.9</v>
      </c>
      <c r="N343" s="186">
        <f>VLOOKUP(6166,季財報!A:M,8,0)</f>
        <v>2</v>
      </c>
    </row>
    <row r="344" spans="1:14">
      <c r="A344" s="133">
        <v>4528</v>
      </c>
      <c r="C344">
        <v>79</v>
      </c>
      <c r="D344">
        <v>57</v>
      </c>
      <c r="E344">
        <v>1689</v>
      </c>
      <c r="F344">
        <v>1647</v>
      </c>
      <c r="G344">
        <v>794</v>
      </c>
      <c r="H344" s="141">
        <v>0.05</v>
      </c>
      <c r="I344">
        <f t="shared" si="42"/>
        <v>231</v>
      </c>
      <c r="J344" s="137">
        <v>0.03</v>
      </c>
      <c r="K344">
        <f t="shared" si="43"/>
        <v>334</v>
      </c>
      <c r="L344" s="53">
        <f t="shared" si="44"/>
        <v>338</v>
      </c>
      <c r="M344" s="189">
        <v>1.9</v>
      </c>
      <c r="N344" s="186">
        <f>VLOOKUP(4528,季財報!A:M,8,0)</f>
        <v>2</v>
      </c>
    </row>
    <row r="345" spans="1:14">
      <c r="A345" s="133">
        <v>1513</v>
      </c>
      <c r="C345">
        <v>292</v>
      </c>
      <c r="D345">
        <v>2691</v>
      </c>
      <c r="E345">
        <v>3387</v>
      </c>
      <c r="F345">
        <v>7690</v>
      </c>
      <c r="G345">
        <v>2323</v>
      </c>
      <c r="H345" s="141">
        <v>0.05</v>
      </c>
      <c r="I345">
        <f t="shared" si="42"/>
        <v>231</v>
      </c>
      <c r="J345" s="137">
        <v>0.03</v>
      </c>
      <c r="K345">
        <f t="shared" si="43"/>
        <v>334</v>
      </c>
      <c r="L345" s="53">
        <f t="shared" si="44"/>
        <v>338</v>
      </c>
      <c r="M345" s="189">
        <v>1.9</v>
      </c>
      <c r="N345" s="186">
        <f>VLOOKUP(1513,季財報!A:M,8,0)</f>
        <v>2</v>
      </c>
    </row>
    <row r="346" spans="1:14">
      <c r="A346" s="133">
        <v>1515</v>
      </c>
      <c r="C346">
        <v>131</v>
      </c>
      <c r="D346">
        <v>449</v>
      </c>
      <c r="E346">
        <v>2344</v>
      </c>
      <c r="F346">
        <v>2449</v>
      </c>
      <c r="G346">
        <v>1341</v>
      </c>
      <c r="H346" s="141">
        <v>0.05</v>
      </c>
      <c r="I346">
        <f t="shared" si="42"/>
        <v>231</v>
      </c>
      <c r="J346" s="137">
        <v>0.03</v>
      </c>
      <c r="K346">
        <f t="shared" si="43"/>
        <v>334</v>
      </c>
      <c r="L346" s="53">
        <f t="shared" si="44"/>
        <v>338</v>
      </c>
      <c r="M346" s="189">
        <v>1.9</v>
      </c>
      <c r="N346" s="186">
        <f>VLOOKUP(1515,季財報!A:M,8,0)</f>
        <v>5</v>
      </c>
    </row>
    <row r="347" spans="1:14">
      <c r="A347" s="133">
        <v>1590</v>
      </c>
      <c r="C347">
        <v>574</v>
      </c>
      <c r="D347">
        <v>327</v>
      </c>
      <c r="E347">
        <v>12089</v>
      </c>
      <c r="F347">
        <v>10421</v>
      </c>
      <c r="G347">
        <v>6899</v>
      </c>
      <c r="H347" s="141">
        <v>0.05</v>
      </c>
      <c r="I347">
        <f t="shared" si="42"/>
        <v>231</v>
      </c>
      <c r="J347" s="137">
        <v>0.03</v>
      </c>
      <c r="K347">
        <f t="shared" si="43"/>
        <v>334</v>
      </c>
      <c r="L347" s="53">
        <f t="shared" si="44"/>
        <v>338</v>
      </c>
      <c r="M347" s="189">
        <v>1.9</v>
      </c>
      <c r="N347" s="186">
        <f>VLOOKUP(1590,季財報!A:M,8,0)</f>
        <v>1</v>
      </c>
    </row>
    <row r="348" spans="1:14">
      <c r="A348" s="133">
        <v>1795</v>
      </c>
      <c r="C348">
        <v>243</v>
      </c>
      <c r="D348">
        <v>2638</v>
      </c>
      <c r="E348">
        <v>1931</v>
      </c>
      <c r="F348">
        <v>8749</v>
      </c>
      <c r="G348">
        <v>640</v>
      </c>
      <c r="H348" s="141">
        <v>0.05</v>
      </c>
      <c r="I348">
        <f t="shared" si="42"/>
        <v>231</v>
      </c>
      <c r="J348" s="137">
        <v>0.03</v>
      </c>
      <c r="K348">
        <f t="shared" si="43"/>
        <v>334</v>
      </c>
      <c r="L348" s="53">
        <f t="shared" si="44"/>
        <v>338</v>
      </c>
      <c r="M348" s="189">
        <v>1.9</v>
      </c>
      <c r="N348" s="186">
        <f>VLOOKUP(1795,季財報!A:M,8,0)</f>
        <v>4</v>
      </c>
    </row>
    <row r="349" spans="1:14">
      <c r="A349" s="133">
        <v>2357</v>
      </c>
      <c r="C349">
        <v>5253</v>
      </c>
      <c r="D349">
        <v>89829</v>
      </c>
      <c r="E349">
        <v>9269</v>
      </c>
      <c r="F349">
        <v>169334</v>
      </c>
      <c r="G349">
        <v>3913</v>
      </c>
      <c r="H349" s="141">
        <v>0.05</v>
      </c>
      <c r="I349">
        <f t="shared" si="42"/>
        <v>231</v>
      </c>
      <c r="J349" s="137">
        <v>0.03</v>
      </c>
      <c r="K349">
        <f t="shared" si="43"/>
        <v>334</v>
      </c>
      <c r="L349" s="53">
        <f t="shared" si="44"/>
        <v>338</v>
      </c>
      <c r="M349" s="189">
        <v>1.9</v>
      </c>
      <c r="N349" s="186">
        <f>VLOOKUP(2357,季財報!A:M,8,0)</f>
        <v>0</v>
      </c>
    </row>
    <row r="350" spans="1:14">
      <c r="A350" s="133">
        <v>2454</v>
      </c>
      <c r="C350">
        <v>7785</v>
      </c>
      <c r="D350">
        <v>116551</v>
      </c>
      <c r="E350">
        <v>30473</v>
      </c>
      <c r="F350">
        <v>237075</v>
      </c>
      <c r="G350">
        <v>57085</v>
      </c>
      <c r="H350" s="141">
        <v>0.05</v>
      </c>
      <c r="I350">
        <f t="shared" si="42"/>
        <v>231</v>
      </c>
      <c r="J350" s="137">
        <v>0.03</v>
      </c>
      <c r="K350">
        <f t="shared" si="43"/>
        <v>334</v>
      </c>
      <c r="L350" s="53">
        <f t="shared" si="44"/>
        <v>338</v>
      </c>
      <c r="M350" s="189">
        <v>1.9</v>
      </c>
      <c r="N350" s="186">
        <f>VLOOKUP(2454,季財報!A:M,8,0)</f>
        <v>1</v>
      </c>
    </row>
    <row r="351" spans="1:14">
      <c r="A351" s="133">
        <v>2923</v>
      </c>
      <c r="C351">
        <v>1953</v>
      </c>
      <c r="D351">
        <v>34791</v>
      </c>
      <c r="E351">
        <v>992</v>
      </c>
      <c r="F351">
        <v>58608</v>
      </c>
      <c r="G351">
        <v>5142</v>
      </c>
      <c r="H351" s="141">
        <v>0.05</v>
      </c>
      <c r="I351">
        <f t="shared" si="42"/>
        <v>231</v>
      </c>
      <c r="J351" s="137">
        <v>0.03</v>
      </c>
      <c r="K351">
        <f t="shared" si="43"/>
        <v>334</v>
      </c>
      <c r="L351" s="53">
        <f t="shared" si="44"/>
        <v>338</v>
      </c>
      <c r="M351" s="189">
        <v>1.9</v>
      </c>
      <c r="N351" s="186">
        <f>VLOOKUP(2923,季財報!A:M,8,0)</f>
        <v>4</v>
      </c>
    </row>
    <row r="352" spans="1:14">
      <c r="A352" s="133">
        <v>3035</v>
      </c>
      <c r="C352">
        <v>184</v>
      </c>
      <c r="D352">
        <v>2889</v>
      </c>
      <c r="E352">
        <v>596</v>
      </c>
      <c r="F352">
        <v>5207</v>
      </c>
      <c r="G352">
        <v>152</v>
      </c>
      <c r="H352" s="141">
        <v>0.05</v>
      </c>
      <c r="I352">
        <f t="shared" si="42"/>
        <v>231</v>
      </c>
      <c r="J352" s="137">
        <v>0.03</v>
      </c>
      <c r="K352">
        <f t="shared" si="43"/>
        <v>334</v>
      </c>
      <c r="L352" s="53">
        <f t="shared" si="44"/>
        <v>338</v>
      </c>
      <c r="M352" s="189">
        <v>1.9</v>
      </c>
      <c r="N352" s="186">
        <f>VLOOKUP(3035,季財報!A:M,8,0)</f>
        <v>1</v>
      </c>
    </row>
    <row r="353" spans="1:14">
      <c r="A353" s="133">
        <v>3144</v>
      </c>
      <c r="C353">
        <v>68</v>
      </c>
      <c r="D353">
        <v>723</v>
      </c>
      <c r="E353">
        <v>644</v>
      </c>
      <c r="F353">
        <v>1353</v>
      </c>
      <c r="G353">
        <v>667</v>
      </c>
      <c r="H353" s="141">
        <v>0.05</v>
      </c>
      <c r="I353">
        <f t="shared" si="42"/>
        <v>231</v>
      </c>
      <c r="J353" s="137">
        <v>0.03</v>
      </c>
      <c r="K353">
        <f t="shared" si="43"/>
        <v>334</v>
      </c>
      <c r="L353" s="53">
        <f t="shared" si="44"/>
        <v>338</v>
      </c>
      <c r="M353" s="189">
        <v>1.9</v>
      </c>
      <c r="N353" s="186">
        <f>VLOOKUP(3144,季財報!A:M,8,0)</f>
        <v>2</v>
      </c>
    </row>
    <row r="354" spans="1:14">
      <c r="A354" s="133">
        <v>3294</v>
      </c>
      <c r="C354">
        <v>126</v>
      </c>
      <c r="D354">
        <v>1079</v>
      </c>
      <c r="E354">
        <v>1415</v>
      </c>
      <c r="F354">
        <v>2649</v>
      </c>
      <c r="G354">
        <v>1349</v>
      </c>
      <c r="H354" s="141">
        <v>0.05</v>
      </c>
      <c r="I354">
        <f t="shared" si="42"/>
        <v>231</v>
      </c>
      <c r="J354" s="137">
        <v>0.03</v>
      </c>
      <c r="K354">
        <f t="shared" si="43"/>
        <v>334</v>
      </c>
      <c r="L354" s="53">
        <f t="shared" si="44"/>
        <v>338</v>
      </c>
      <c r="M354" s="189">
        <v>1.9</v>
      </c>
      <c r="N354" s="186">
        <f>VLOOKUP(3294,季財報!A:M,8,0)</f>
        <v>5</v>
      </c>
    </row>
    <row r="355" spans="1:14">
      <c r="A355" s="133">
        <v>6123</v>
      </c>
      <c r="C355">
        <v>61</v>
      </c>
      <c r="D355">
        <v>484</v>
      </c>
      <c r="E355">
        <v>718</v>
      </c>
      <c r="F355">
        <v>1302</v>
      </c>
      <c r="G355">
        <v>755</v>
      </c>
      <c r="H355" s="141">
        <v>0.05</v>
      </c>
      <c r="I355">
        <f t="shared" si="42"/>
        <v>231</v>
      </c>
      <c r="J355" s="137">
        <v>0.03</v>
      </c>
      <c r="K355">
        <f t="shared" si="43"/>
        <v>334</v>
      </c>
      <c r="L355" s="53">
        <f t="shared" si="44"/>
        <v>338</v>
      </c>
      <c r="M355" s="189">
        <v>1.9</v>
      </c>
      <c r="N355" s="186">
        <f>VLOOKUP(6123,季財報!A:M,8,0)</f>
        <v>3</v>
      </c>
    </row>
    <row r="356" spans="1:14">
      <c r="A356" s="133">
        <v>6128</v>
      </c>
      <c r="C356">
        <v>95</v>
      </c>
      <c r="D356">
        <v>0</v>
      </c>
      <c r="E356">
        <v>1769</v>
      </c>
      <c r="F356">
        <v>1751</v>
      </c>
      <c r="G356">
        <v>1199</v>
      </c>
      <c r="H356" s="141">
        <v>0.05</v>
      </c>
      <c r="I356">
        <f t="shared" si="42"/>
        <v>231</v>
      </c>
      <c r="J356" s="137">
        <v>0.03</v>
      </c>
      <c r="K356">
        <f t="shared" si="43"/>
        <v>334</v>
      </c>
      <c r="L356" s="53">
        <f t="shared" si="44"/>
        <v>338</v>
      </c>
      <c r="M356" s="189">
        <v>1.9</v>
      </c>
      <c r="N356" s="186">
        <f>VLOOKUP(6128,季財報!A:M,8,0)</f>
        <v>3</v>
      </c>
    </row>
    <row r="357" spans="1:14">
      <c r="A357" s="133">
        <v>6227</v>
      </c>
      <c r="C357">
        <v>65</v>
      </c>
      <c r="D357">
        <v>1218</v>
      </c>
      <c r="E357">
        <v>5</v>
      </c>
      <c r="F357">
        <v>1351</v>
      </c>
      <c r="G357">
        <v>798</v>
      </c>
      <c r="H357" s="141">
        <v>0.05</v>
      </c>
      <c r="I357">
        <f t="shared" si="42"/>
        <v>231</v>
      </c>
      <c r="J357" s="137">
        <v>0.03</v>
      </c>
      <c r="K357">
        <f t="shared" si="43"/>
        <v>334</v>
      </c>
      <c r="L357" s="53">
        <f t="shared" si="44"/>
        <v>338</v>
      </c>
      <c r="M357" s="189">
        <v>1.9</v>
      </c>
      <c r="N357" s="186">
        <f>VLOOKUP(6227,季財報!A:M,8,0)</f>
        <v>2</v>
      </c>
    </row>
    <row r="358" spans="1:14">
      <c r="A358" s="133">
        <v>6221</v>
      </c>
      <c r="C358">
        <v>28</v>
      </c>
      <c r="D358">
        <v>464</v>
      </c>
      <c r="E358">
        <v>141</v>
      </c>
      <c r="F358">
        <v>590</v>
      </c>
      <c r="G358">
        <v>393</v>
      </c>
      <c r="H358" s="141">
        <v>0.05</v>
      </c>
      <c r="I358">
        <f t="shared" si="42"/>
        <v>231</v>
      </c>
      <c r="J358" s="137">
        <v>0.03</v>
      </c>
      <c r="K358">
        <f t="shared" si="43"/>
        <v>334</v>
      </c>
      <c r="L358" s="53">
        <f t="shared" si="44"/>
        <v>338</v>
      </c>
      <c r="M358" s="189">
        <v>1.9</v>
      </c>
      <c r="N358" s="186">
        <f>VLOOKUP(6221,季財報!A:M,8,0)</f>
        <v>2</v>
      </c>
    </row>
    <row r="359" spans="1:14">
      <c r="A359" s="133">
        <v>4551</v>
      </c>
      <c r="C359">
        <v>106</v>
      </c>
      <c r="D359">
        <v>294</v>
      </c>
      <c r="E359">
        <v>1697</v>
      </c>
      <c r="F359">
        <v>2662</v>
      </c>
      <c r="G359">
        <v>1196</v>
      </c>
      <c r="H359" s="141">
        <v>0.05</v>
      </c>
      <c r="I359">
        <f t="shared" si="42"/>
        <v>231</v>
      </c>
      <c r="J359" s="137">
        <v>0.03</v>
      </c>
      <c r="K359">
        <f t="shared" si="43"/>
        <v>334</v>
      </c>
      <c r="L359" s="53">
        <f t="shared" si="44"/>
        <v>338</v>
      </c>
      <c r="M359" s="189">
        <v>1.9</v>
      </c>
      <c r="N359" s="186">
        <f>VLOOKUP(4551,季財報!A:M,8,0)</f>
        <v>2</v>
      </c>
    </row>
    <row r="360" spans="1:14">
      <c r="A360" s="133">
        <v>1323</v>
      </c>
      <c r="C360">
        <v>94</v>
      </c>
      <c r="D360">
        <v>1350</v>
      </c>
      <c r="E360">
        <v>1568</v>
      </c>
      <c r="F360">
        <v>1907</v>
      </c>
      <c r="G360">
        <v>33</v>
      </c>
      <c r="H360" s="141">
        <v>0.03</v>
      </c>
      <c r="I360">
        <f>RANK(0.03,H:H,0)</f>
        <v>466</v>
      </c>
      <c r="J360" s="137">
        <v>0.05</v>
      </c>
      <c r="K360">
        <f>RANK(0.05,J:J,0)</f>
        <v>135</v>
      </c>
      <c r="L360" s="53">
        <f>RANK(2.53,M:M,0)</f>
        <v>359</v>
      </c>
      <c r="M360" s="189">
        <v>1.9</v>
      </c>
      <c r="N360" s="186">
        <f>VLOOKUP(1323,季財報!A:M,8,0)</f>
        <v>2</v>
      </c>
    </row>
    <row r="361" spans="1:14">
      <c r="A361" s="133">
        <v>2618</v>
      </c>
      <c r="C361">
        <v>3541</v>
      </c>
      <c r="D361">
        <v>0</v>
      </c>
      <c r="E361">
        <v>114030</v>
      </c>
      <c r="F361">
        <v>55640</v>
      </c>
      <c r="G361">
        <v>20245</v>
      </c>
      <c r="H361" s="141">
        <v>0.03</v>
      </c>
      <c r="I361">
        <f>RANK(0.03,H:H,0)</f>
        <v>466</v>
      </c>
      <c r="J361" s="137">
        <v>0.05</v>
      </c>
      <c r="K361">
        <f>RANK(0.05,J:J,0)</f>
        <v>135</v>
      </c>
      <c r="L361" s="53">
        <f>RANK(2.53,M:M,0)</f>
        <v>359</v>
      </c>
      <c r="M361" s="189">
        <v>1.9</v>
      </c>
      <c r="N361" s="186">
        <f>VLOOKUP(2618,季財報!A:M,8,0)</f>
        <v>5</v>
      </c>
    </row>
    <row r="362" spans="1:14">
      <c r="A362" s="133">
        <v>8076</v>
      </c>
      <c r="C362">
        <v>95</v>
      </c>
      <c r="D362">
        <v>885</v>
      </c>
      <c r="E362">
        <v>384</v>
      </c>
      <c r="F362">
        <v>4567</v>
      </c>
      <c r="G362">
        <v>1485</v>
      </c>
      <c r="H362" s="141">
        <v>7.0000000000000007E-2</v>
      </c>
      <c r="I362">
        <f>RANK(0.07,H:H,0)</f>
        <v>107</v>
      </c>
      <c r="J362" s="137">
        <v>0.02</v>
      </c>
      <c r="K362">
        <f>RANK(0.02,J:J,0)</f>
        <v>496</v>
      </c>
      <c r="L362" s="53">
        <f>RANK(2.52,M:M,0)</f>
        <v>361</v>
      </c>
      <c r="M362" s="189">
        <v>1.9</v>
      </c>
      <c r="N362" s="186">
        <f>VLOOKUP(8076,季財報!A:M,8,0)</f>
        <v>3</v>
      </c>
    </row>
    <row r="363" spans="1:14">
      <c r="A363" s="133">
        <v>6298</v>
      </c>
      <c r="C363">
        <v>74</v>
      </c>
      <c r="D363">
        <v>832</v>
      </c>
      <c r="E363">
        <v>200</v>
      </c>
      <c r="F363">
        <v>2895</v>
      </c>
      <c r="G363">
        <v>270</v>
      </c>
      <c r="H363" s="141">
        <v>7.0000000000000007E-2</v>
      </c>
      <c r="I363">
        <f>RANK(0.07,H:H,0)</f>
        <v>107</v>
      </c>
      <c r="J363" s="137">
        <v>0.02</v>
      </c>
      <c r="K363">
        <f>RANK(0.02,J:J,0)</f>
        <v>496</v>
      </c>
      <c r="L363" s="53">
        <f>RANK(2.52,M:M,0)</f>
        <v>361</v>
      </c>
      <c r="M363" s="189">
        <v>1.9</v>
      </c>
      <c r="N363" s="186">
        <f>VLOOKUP(6298,季財報!A:M,8,0)</f>
        <v>3</v>
      </c>
    </row>
    <row r="364" spans="1:14">
      <c r="A364" s="133">
        <v>5530</v>
      </c>
      <c r="C364">
        <v>378</v>
      </c>
      <c r="D364">
        <v>0</v>
      </c>
      <c r="E364">
        <v>6499</v>
      </c>
      <c r="F364">
        <v>9264</v>
      </c>
      <c r="G364">
        <v>6245</v>
      </c>
      <c r="H364" s="141">
        <v>0.06</v>
      </c>
      <c r="I364">
        <f>RANK(0.06,H:H,0)</f>
        <v>155</v>
      </c>
      <c r="J364" s="137">
        <v>0.02</v>
      </c>
      <c r="K364">
        <f>RANK(0.02,J:J,0)</f>
        <v>496</v>
      </c>
      <c r="L364" s="53">
        <f>RANK(2.33,M:M,0)</f>
        <v>363</v>
      </c>
      <c r="M364" s="189">
        <v>1.9</v>
      </c>
      <c r="N364" s="186">
        <f>VLOOKUP(5530,季財報!A:M,8,0)</f>
        <v>2</v>
      </c>
    </row>
    <row r="365" spans="1:14">
      <c r="A365" s="133">
        <v>6139</v>
      </c>
      <c r="C365">
        <v>268</v>
      </c>
      <c r="D365">
        <v>3107</v>
      </c>
      <c r="E365">
        <v>1467</v>
      </c>
      <c r="F365">
        <v>9277</v>
      </c>
      <c r="G365">
        <v>2409</v>
      </c>
      <c r="H365" s="141">
        <v>0.06</v>
      </c>
      <c r="I365">
        <f>RANK(0.06,H:H,0)</f>
        <v>155</v>
      </c>
      <c r="J365" s="137">
        <v>0.02</v>
      </c>
      <c r="K365">
        <f>RANK(0.02,J:J,0)</f>
        <v>496</v>
      </c>
      <c r="L365" s="53">
        <f>RANK(2.33,M:M,0)</f>
        <v>363</v>
      </c>
      <c r="M365" s="189">
        <v>1.9</v>
      </c>
      <c r="N365" s="186">
        <f>VLOOKUP(6139,季財報!A:M,8,0)</f>
        <v>2</v>
      </c>
    </row>
    <row r="366" spans="1:14">
      <c r="A366" s="133">
        <v>3209</v>
      </c>
      <c r="C366">
        <v>138</v>
      </c>
      <c r="D366">
        <v>1787</v>
      </c>
      <c r="E366">
        <v>341</v>
      </c>
      <c r="F366">
        <v>2005</v>
      </c>
      <c r="G366">
        <v>4011</v>
      </c>
      <c r="H366" s="141">
        <v>0.06</v>
      </c>
      <c r="I366">
        <f>RANK(0.06,H:H,0)</f>
        <v>155</v>
      </c>
      <c r="J366" s="137">
        <v>0.02</v>
      </c>
      <c r="K366">
        <f>RANK(0.02,J:J,0)</f>
        <v>496</v>
      </c>
      <c r="L366" s="53">
        <f>RANK(2.33,M:M,0)</f>
        <v>363</v>
      </c>
      <c r="M366" s="189">
        <v>1.9</v>
      </c>
      <c r="N366" s="186">
        <f>VLOOKUP(3209,季財報!A:M,8,0)</f>
        <v>2</v>
      </c>
    </row>
    <row r="367" spans="1:14">
      <c r="A367" s="133">
        <v>8942</v>
      </c>
      <c r="C367">
        <v>247</v>
      </c>
      <c r="D367">
        <v>2173</v>
      </c>
      <c r="E367">
        <v>4080</v>
      </c>
      <c r="F367">
        <v>7013</v>
      </c>
      <c r="G367">
        <v>1775</v>
      </c>
      <c r="H367" s="141">
        <v>0.04</v>
      </c>
      <c r="I367">
        <f t="shared" ref="I367:I413" si="45">RANK(0.04,H:H,0)</f>
        <v>330</v>
      </c>
      <c r="J367" s="137">
        <v>0.03</v>
      </c>
      <c r="K367">
        <f t="shared" ref="K367:K413" si="46">RANK(0.03,J:J,0)</f>
        <v>334</v>
      </c>
      <c r="L367" s="53">
        <f t="shared" ref="L367:L413" si="47">RANK(2.29,M:M,0)</f>
        <v>366</v>
      </c>
      <c r="M367" s="189">
        <v>1.9</v>
      </c>
      <c r="N367" s="186">
        <f>VLOOKUP(8942,季財報!A:M,8,0)</f>
        <v>3</v>
      </c>
    </row>
    <row r="368" spans="1:14">
      <c r="A368" s="133">
        <v>6442</v>
      </c>
      <c r="C368">
        <v>75</v>
      </c>
      <c r="D368">
        <v>1599</v>
      </c>
      <c r="E368">
        <v>462</v>
      </c>
      <c r="F368">
        <v>2205</v>
      </c>
      <c r="G368">
        <v>0</v>
      </c>
      <c r="H368" s="141">
        <v>0.04</v>
      </c>
      <c r="I368">
        <f t="shared" si="45"/>
        <v>330</v>
      </c>
      <c r="J368" s="137">
        <v>0.03</v>
      </c>
      <c r="K368">
        <f t="shared" si="46"/>
        <v>334</v>
      </c>
      <c r="L368" s="53">
        <f t="shared" si="47"/>
        <v>366</v>
      </c>
      <c r="M368" s="189">
        <v>1.9</v>
      </c>
      <c r="N368" s="186">
        <f>VLOOKUP(6442,季財報!A:M,8,0)</f>
        <v>4</v>
      </c>
    </row>
    <row r="369" spans="1:14">
      <c r="A369" s="133">
        <v>6449</v>
      </c>
      <c r="C369">
        <v>54</v>
      </c>
      <c r="D369">
        <v>320</v>
      </c>
      <c r="E369">
        <v>948</v>
      </c>
      <c r="F369">
        <v>1282</v>
      </c>
      <c r="G369">
        <v>640</v>
      </c>
      <c r="H369" s="141">
        <v>0.04</v>
      </c>
      <c r="I369">
        <f t="shared" si="45"/>
        <v>330</v>
      </c>
      <c r="J369" s="137">
        <v>0.03</v>
      </c>
      <c r="K369">
        <f t="shared" si="46"/>
        <v>334</v>
      </c>
      <c r="L369" s="53">
        <f t="shared" si="47"/>
        <v>366</v>
      </c>
      <c r="M369" s="189">
        <v>1.9</v>
      </c>
      <c r="N369" s="186">
        <f>VLOOKUP(6449,季財報!A:M,8,0)</f>
        <v>4</v>
      </c>
    </row>
    <row r="370" spans="1:14">
      <c r="A370" s="133">
        <v>6605</v>
      </c>
      <c r="C370">
        <v>477</v>
      </c>
      <c r="D370">
        <v>1758</v>
      </c>
      <c r="E370">
        <v>11648</v>
      </c>
      <c r="F370">
        <v>10916</v>
      </c>
      <c r="G370">
        <v>4416</v>
      </c>
      <c r="H370" s="141">
        <v>0.04</v>
      </c>
      <c r="I370">
        <f t="shared" si="45"/>
        <v>330</v>
      </c>
      <c r="J370" s="137">
        <v>0.03</v>
      </c>
      <c r="K370">
        <f t="shared" si="46"/>
        <v>334</v>
      </c>
      <c r="L370" s="53">
        <f t="shared" si="47"/>
        <v>366</v>
      </c>
      <c r="M370" s="189">
        <v>1.9</v>
      </c>
      <c r="N370" s="186">
        <f>VLOOKUP(6605,季財報!A:M,8,0)</f>
        <v>4</v>
      </c>
    </row>
    <row r="371" spans="1:14">
      <c r="A371" s="133">
        <v>8088</v>
      </c>
      <c r="C371">
        <v>29</v>
      </c>
      <c r="D371">
        <v>429</v>
      </c>
      <c r="E371">
        <v>382</v>
      </c>
      <c r="F371">
        <v>851</v>
      </c>
      <c r="G371">
        <v>31</v>
      </c>
      <c r="H371" s="141">
        <v>0.04</v>
      </c>
      <c r="I371">
        <f t="shared" si="45"/>
        <v>330</v>
      </c>
      <c r="J371" s="137">
        <v>0.03</v>
      </c>
      <c r="K371">
        <f t="shared" si="46"/>
        <v>334</v>
      </c>
      <c r="L371" s="53">
        <f t="shared" si="47"/>
        <v>366</v>
      </c>
      <c r="M371" s="189">
        <v>1.9</v>
      </c>
      <c r="N371" s="186">
        <f>VLOOKUP(8088,季財報!A:M,8,0)</f>
        <v>2</v>
      </c>
    </row>
    <row r="372" spans="1:14">
      <c r="A372" s="133">
        <v>6104</v>
      </c>
      <c r="C372">
        <v>48</v>
      </c>
      <c r="D372">
        <v>694</v>
      </c>
      <c r="E372">
        <v>475</v>
      </c>
      <c r="F372">
        <v>1377</v>
      </c>
      <c r="G372">
        <v>10</v>
      </c>
      <c r="H372" s="141">
        <v>0.04</v>
      </c>
      <c r="I372">
        <f t="shared" si="45"/>
        <v>330</v>
      </c>
      <c r="J372" s="137">
        <v>0.03</v>
      </c>
      <c r="K372">
        <f t="shared" si="46"/>
        <v>334</v>
      </c>
      <c r="L372" s="53">
        <f t="shared" si="47"/>
        <v>366</v>
      </c>
      <c r="M372" s="189">
        <v>1.9</v>
      </c>
      <c r="N372" s="186">
        <f>VLOOKUP(6104,季財報!A:M,8,0)</f>
        <v>2</v>
      </c>
    </row>
    <row r="373" spans="1:14">
      <c r="A373" s="133">
        <v>6218</v>
      </c>
      <c r="C373">
        <v>33</v>
      </c>
      <c r="D373">
        <v>596</v>
      </c>
      <c r="E373">
        <v>308</v>
      </c>
      <c r="F373">
        <v>1005</v>
      </c>
      <c r="G373">
        <v>100</v>
      </c>
      <c r="H373" s="141">
        <v>0.04</v>
      </c>
      <c r="I373">
        <f t="shared" si="45"/>
        <v>330</v>
      </c>
      <c r="J373" s="137">
        <v>0.03</v>
      </c>
      <c r="K373">
        <f t="shared" si="46"/>
        <v>334</v>
      </c>
      <c r="L373" s="53">
        <f t="shared" si="47"/>
        <v>366</v>
      </c>
      <c r="M373" s="189">
        <v>1.9</v>
      </c>
      <c r="N373" s="186">
        <f>VLOOKUP(6218,季財報!A:M,8,0)</f>
        <v>2</v>
      </c>
    </row>
    <row r="374" spans="1:14">
      <c r="A374" s="133">
        <v>5203</v>
      </c>
      <c r="C374">
        <v>132</v>
      </c>
      <c r="D374">
        <v>2696</v>
      </c>
      <c r="E374">
        <v>466</v>
      </c>
      <c r="F374">
        <v>4441</v>
      </c>
      <c r="G374">
        <v>0</v>
      </c>
      <c r="H374" s="141">
        <v>0.04</v>
      </c>
      <c r="I374">
        <f t="shared" si="45"/>
        <v>330</v>
      </c>
      <c r="J374" s="137">
        <v>0.03</v>
      </c>
      <c r="K374">
        <f t="shared" si="46"/>
        <v>334</v>
      </c>
      <c r="L374" s="53">
        <f t="shared" si="47"/>
        <v>366</v>
      </c>
      <c r="M374" s="189">
        <v>1.9</v>
      </c>
      <c r="N374" s="186">
        <f>VLOOKUP(5203,季財報!A:M,8,0)</f>
        <v>3</v>
      </c>
    </row>
    <row r="375" spans="1:14">
      <c r="A375" s="133">
        <v>5371</v>
      </c>
      <c r="C375">
        <v>941</v>
      </c>
      <c r="D375">
        <v>14921</v>
      </c>
      <c r="E375">
        <v>9118</v>
      </c>
      <c r="F375">
        <v>25420</v>
      </c>
      <c r="G375">
        <v>9509</v>
      </c>
      <c r="H375" s="141">
        <v>0.04</v>
      </c>
      <c r="I375">
        <f t="shared" si="45"/>
        <v>330</v>
      </c>
      <c r="J375" s="137">
        <v>0.03</v>
      </c>
      <c r="K375">
        <f t="shared" si="46"/>
        <v>334</v>
      </c>
      <c r="L375" s="53">
        <f t="shared" si="47"/>
        <v>366</v>
      </c>
      <c r="M375" s="189">
        <v>1.9</v>
      </c>
      <c r="N375" s="186">
        <f>VLOOKUP(5371,季財報!A:M,8,0)</f>
        <v>1</v>
      </c>
    </row>
    <row r="376" spans="1:14">
      <c r="A376" s="133">
        <v>4527</v>
      </c>
      <c r="C376">
        <v>51</v>
      </c>
      <c r="D376">
        <v>779</v>
      </c>
      <c r="E376">
        <v>547</v>
      </c>
      <c r="F376">
        <v>1310</v>
      </c>
      <c r="G376">
        <v>190</v>
      </c>
      <c r="H376" s="141">
        <v>0.04</v>
      </c>
      <c r="I376">
        <f t="shared" si="45"/>
        <v>330</v>
      </c>
      <c r="J376" s="137">
        <v>0.03</v>
      </c>
      <c r="K376">
        <f t="shared" si="46"/>
        <v>334</v>
      </c>
      <c r="L376" s="53">
        <f t="shared" si="47"/>
        <v>366</v>
      </c>
      <c r="M376" s="189">
        <v>1.9</v>
      </c>
      <c r="N376" s="186">
        <f>VLOOKUP(4527,季財報!A:M,8,0)</f>
        <v>1</v>
      </c>
    </row>
    <row r="377" spans="1:14">
      <c r="A377" s="133">
        <v>4536</v>
      </c>
      <c r="C377">
        <v>184</v>
      </c>
      <c r="D377">
        <v>2319</v>
      </c>
      <c r="E377">
        <v>2849</v>
      </c>
      <c r="F377">
        <v>5135</v>
      </c>
      <c r="G377">
        <v>1521</v>
      </c>
      <c r="H377" s="141">
        <v>0.04</v>
      </c>
      <c r="I377">
        <f t="shared" si="45"/>
        <v>330</v>
      </c>
      <c r="J377" s="137">
        <v>0.03</v>
      </c>
      <c r="K377">
        <f t="shared" si="46"/>
        <v>334</v>
      </c>
      <c r="L377" s="53">
        <f t="shared" si="47"/>
        <v>366</v>
      </c>
      <c r="M377" s="189">
        <v>1.9</v>
      </c>
      <c r="N377" s="186">
        <f>VLOOKUP(4536,季財報!A:M,8,0)</f>
        <v>5</v>
      </c>
    </row>
    <row r="378" spans="1:14">
      <c r="A378" s="133">
        <v>1216</v>
      </c>
      <c r="C378">
        <v>6723</v>
      </c>
      <c r="D378">
        <v>0</v>
      </c>
      <c r="E378">
        <v>162028</v>
      </c>
      <c r="F378">
        <v>156804</v>
      </c>
      <c r="G378">
        <v>65001</v>
      </c>
      <c r="H378" s="141">
        <v>0.04</v>
      </c>
      <c r="I378">
        <f t="shared" si="45"/>
        <v>330</v>
      </c>
      <c r="J378" s="137">
        <v>0.03</v>
      </c>
      <c r="K378">
        <f t="shared" si="46"/>
        <v>334</v>
      </c>
      <c r="L378" s="53">
        <f t="shared" si="47"/>
        <v>366</v>
      </c>
      <c r="M378" s="189">
        <v>1.9</v>
      </c>
      <c r="N378" s="186">
        <f>VLOOKUP(1216,季財報!A:M,8,0)</f>
        <v>4</v>
      </c>
    </row>
    <row r="379" spans="1:14">
      <c r="A379" s="133">
        <v>1338</v>
      </c>
      <c r="C379">
        <v>224</v>
      </c>
      <c r="D379">
        <v>3113</v>
      </c>
      <c r="E379">
        <v>2596</v>
      </c>
      <c r="F379">
        <v>6530</v>
      </c>
      <c r="G379">
        <v>545</v>
      </c>
      <c r="H379" s="141">
        <v>0.04</v>
      </c>
      <c r="I379">
        <f t="shared" si="45"/>
        <v>330</v>
      </c>
      <c r="J379" s="137">
        <v>0.03</v>
      </c>
      <c r="K379">
        <f t="shared" si="46"/>
        <v>334</v>
      </c>
      <c r="L379" s="53">
        <f t="shared" si="47"/>
        <v>366</v>
      </c>
      <c r="M379" s="189">
        <v>1.9</v>
      </c>
      <c r="N379" s="186">
        <f>VLOOKUP(1338,季財報!A:M,8,0)</f>
        <v>2</v>
      </c>
    </row>
    <row r="380" spans="1:14">
      <c r="A380" s="133">
        <v>1410</v>
      </c>
      <c r="C380">
        <v>37</v>
      </c>
      <c r="D380">
        <v>586</v>
      </c>
      <c r="E380">
        <v>296</v>
      </c>
      <c r="F380">
        <v>1217</v>
      </c>
      <c r="G380">
        <v>0</v>
      </c>
      <c r="H380" s="141">
        <v>0.04</v>
      </c>
      <c r="I380">
        <f t="shared" si="45"/>
        <v>330</v>
      </c>
      <c r="J380" s="137">
        <v>0.03</v>
      </c>
      <c r="K380">
        <f t="shared" si="46"/>
        <v>334</v>
      </c>
      <c r="L380" s="53">
        <f t="shared" si="47"/>
        <v>366</v>
      </c>
      <c r="M380" s="189">
        <v>1.9</v>
      </c>
      <c r="N380" s="186">
        <f>VLOOKUP(1410,季財報!A:M,8,0)</f>
        <v>2</v>
      </c>
    </row>
    <row r="381" spans="1:14">
      <c r="A381" s="133">
        <v>1451</v>
      </c>
      <c r="C381">
        <v>304</v>
      </c>
      <c r="D381">
        <v>5203</v>
      </c>
      <c r="E381">
        <v>3074</v>
      </c>
      <c r="F381">
        <v>9752</v>
      </c>
      <c r="G381">
        <v>664</v>
      </c>
      <c r="H381" s="141">
        <v>0.04</v>
      </c>
      <c r="I381">
        <f t="shared" si="45"/>
        <v>330</v>
      </c>
      <c r="J381" s="137">
        <v>0.03</v>
      </c>
      <c r="K381">
        <f t="shared" si="46"/>
        <v>334</v>
      </c>
      <c r="L381" s="53">
        <f t="shared" si="47"/>
        <v>366</v>
      </c>
      <c r="M381" s="189">
        <v>1.9</v>
      </c>
      <c r="N381" s="186">
        <f>VLOOKUP(1451,季財報!A:M,8,0)</f>
        <v>3</v>
      </c>
    </row>
    <row r="382" spans="1:14">
      <c r="A382" s="133">
        <v>1530</v>
      </c>
      <c r="C382">
        <v>113</v>
      </c>
      <c r="D382">
        <v>1269</v>
      </c>
      <c r="E382">
        <v>1917</v>
      </c>
      <c r="F382">
        <v>2784</v>
      </c>
      <c r="G382">
        <v>1725</v>
      </c>
      <c r="H382" s="141">
        <v>0.04</v>
      </c>
      <c r="I382">
        <f t="shared" si="45"/>
        <v>330</v>
      </c>
      <c r="J382" s="137">
        <v>0.03</v>
      </c>
      <c r="K382">
        <f t="shared" si="46"/>
        <v>334</v>
      </c>
      <c r="L382" s="53">
        <f t="shared" si="47"/>
        <v>366</v>
      </c>
      <c r="M382" s="189">
        <v>1.9</v>
      </c>
      <c r="N382" s="186">
        <f>VLOOKUP(1530,季財報!A:M,8,0)</f>
        <v>2</v>
      </c>
    </row>
    <row r="383" spans="1:14">
      <c r="A383" s="133">
        <v>1583</v>
      </c>
      <c r="C383">
        <v>248</v>
      </c>
      <c r="D383">
        <v>2522</v>
      </c>
      <c r="E383">
        <v>3403</v>
      </c>
      <c r="F383">
        <v>5230</v>
      </c>
      <c r="G383">
        <v>3509</v>
      </c>
      <c r="H383" s="141">
        <v>0.04</v>
      </c>
      <c r="I383">
        <f t="shared" si="45"/>
        <v>330</v>
      </c>
      <c r="J383" s="137">
        <v>0.03</v>
      </c>
      <c r="K383">
        <f t="shared" si="46"/>
        <v>334</v>
      </c>
      <c r="L383" s="53">
        <f t="shared" si="47"/>
        <v>366</v>
      </c>
      <c r="M383" s="189">
        <v>1.9</v>
      </c>
      <c r="N383" s="186">
        <f>VLOOKUP(1583,季財報!A:M,8,0)</f>
        <v>1</v>
      </c>
    </row>
    <row r="384" spans="1:14">
      <c r="A384" s="133">
        <v>1591</v>
      </c>
      <c r="C384">
        <v>15</v>
      </c>
      <c r="D384">
        <v>0</v>
      </c>
      <c r="E384">
        <v>402</v>
      </c>
      <c r="F384">
        <v>311</v>
      </c>
      <c r="G384">
        <v>195</v>
      </c>
      <c r="H384" s="141">
        <v>0.04</v>
      </c>
      <c r="I384">
        <f t="shared" si="45"/>
        <v>330</v>
      </c>
      <c r="J384" s="137">
        <v>0.03</v>
      </c>
      <c r="K384">
        <f t="shared" si="46"/>
        <v>334</v>
      </c>
      <c r="L384" s="53">
        <f t="shared" si="47"/>
        <v>366</v>
      </c>
      <c r="M384" s="189">
        <v>1.9</v>
      </c>
      <c r="N384" s="186">
        <f>VLOOKUP(1591,季財報!A:M,8,0)</f>
        <v>1</v>
      </c>
    </row>
    <row r="385" spans="1:14">
      <c r="A385" s="133">
        <v>1773</v>
      </c>
      <c r="C385">
        <v>126</v>
      </c>
      <c r="D385">
        <v>1287</v>
      </c>
      <c r="E385">
        <v>1525</v>
      </c>
      <c r="F385">
        <v>3877</v>
      </c>
      <c r="G385">
        <v>99</v>
      </c>
      <c r="H385" s="141">
        <v>0.04</v>
      </c>
      <c r="I385">
        <f t="shared" si="45"/>
        <v>330</v>
      </c>
      <c r="J385" s="137">
        <v>0.03</v>
      </c>
      <c r="K385">
        <f t="shared" si="46"/>
        <v>334</v>
      </c>
      <c r="L385" s="53">
        <f t="shared" si="47"/>
        <v>366</v>
      </c>
      <c r="M385" s="189">
        <v>1.9</v>
      </c>
      <c r="N385" s="186">
        <f>VLOOKUP(1773,季財報!A:M,8,0)</f>
        <v>5</v>
      </c>
    </row>
    <row r="386" spans="1:14">
      <c r="A386" s="133">
        <v>2062</v>
      </c>
      <c r="C386">
        <v>173</v>
      </c>
      <c r="D386">
        <v>535</v>
      </c>
      <c r="E386">
        <v>4268</v>
      </c>
      <c r="F386">
        <v>5007</v>
      </c>
      <c r="G386">
        <v>1661</v>
      </c>
      <c r="H386" s="141">
        <v>0.04</v>
      </c>
      <c r="I386">
        <f t="shared" si="45"/>
        <v>330</v>
      </c>
      <c r="J386" s="137">
        <v>0.03</v>
      </c>
      <c r="K386">
        <f t="shared" si="46"/>
        <v>334</v>
      </c>
      <c r="L386" s="53">
        <f t="shared" si="47"/>
        <v>366</v>
      </c>
      <c r="M386" s="189">
        <v>1.9</v>
      </c>
      <c r="N386" s="186">
        <f>VLOOKUP(2062,季財報!A:M,8,0)</f>
        <v>3</v>
      </c>
    </row>
    <row r="387" spans="1:14">
      <c r="A387" s="133">
        <v>2104</v>
      </c>
      <c r="C387">
        <v>624</v>
      </c>
      <c r="D387">
        <v>7942</v>
      </c>
      <c r="E387">
        <v>9367</v>
      </c>
      <c r="F387">
        <v>18435</v>
      </c>
      <c r="G387">
        <v>5872</v>
      </c>
      <c r="H387" s="141">
        <v>0.04</v>
      </c>
      <c r="I387">
        <f t="shared" si="45"/>
        <v>330</v>
      </c>
      <c r="J387" s="137">
        <v>0.03</v>
      </c>
      <c r="K387">
        <f t="shared" si="46"/>
        <v>334</v>
      </c>
      <c r="L387" s="53">
        <f t="shared" si="47"/>
        <v>366</v>
      </c>
      <c r="M387" s="189">
        <v>1.84</v>
      </c>
      <c r="N387" s="186">
        <f>VLOOKUP(2104,季財報!A:M,8,0)</f>
        <v>1</v>
      </c>
    </row>
    <row r="388" spans="1:14">
      <c r="A388" s="133">
        <v>2236</v>
      </c>
      <c r="C388">
        <v>43</v>
      </c>
      <c r="D388">
        <v>796</v>
      </c>
      <c r="E388">
        <v>390</v>
      </c>
      <c r="F388">
        <v>1306</v>
      </c>
      <c r="G388">
        <v>139</v>
      </c>
      <c r="H388" s="141">
        <v>0.04</v>
      </c>
      <c r="I388">
        <f t="shared" si="45"/>
        <v>330</v>
      </c>
      <c r="J388" s="137">
        <v>0.03</v>
      </c>
      <c r="K388">
        <f t="shared" si="46"/>
        <v>334</v>
      </c>
      <c r="L388" s="53">
        <f t="shared" si="47"/>
        <v>366</v>
      </c>
      <c r="M388" s="189">
        <v>1.84</v>
      </c>
      <c r="N388" s="186">
        <f>VLOOKUP(2236,季財報!A:M,8,0)</f>
        <v>1</v>
      </c>
    </row>
    <row r="389" spans="1:14">
      <c r="A389" s="133">
        <v>2311</v>
      </c>
      <c r="C389">
        <v>6957</v>
      </c>
      <c r="D389">
        <v>37257</v>
      </c>
      <c r="E389">
        <v>152981</v>
      </c>
      <c r="F389">
        <v>164283</v>
      </c>
      <c r="G389">
        <v>50351</v>
      </c>
      <c r="H389" s="141">
        <v>0.04</v>
      </c>
      <c r="I389">
        <f t="shared" si="45"/>
        <v>330</v>
      </c>
      <c r="J389" s="137">
        <v>0.03</v>
      </c>
      <c r="K389">
        <f t="shared" si="46"/>
        <v>334</v>
      </c>
      <c r="L389" s="53">
        <f t="shared" si="47"/>
        <v>366</v>
      </c>
      <c r="M389" s="189">
        <v>1.84</v>
      </c>
      <c r="N389" s="186">
        <f>VLOOKUP(2311,季財報!A:M,8,0)</f>
        <v>2</v>
      </c>
    </row>
    <row r="390" spans="1:14">
      <c r="A390" s="133">
        <v>2329</v>
      </c>
      <c r="C390">
        <v>334</v>
      </c>
      <c r="D390">
        <v>0</v>
      </c>
      <c r="E390">
        <v>7837</v>
      </c>
      <c r="F390">
        <v>5886</v>
      </c>
      <c r="G390">
        <v>5028</v>
      </c>
      <c r="H390" s="141">
        <v>0.04</v>
      </c>
      <c r="I390">
        <f t="shared" si="45"/>
        <v>330</v>
      </c>
      <c r="J390" s="137">
        <v>0.03</v>
      </c>
      <c r="K390">
        <f t="shared" si="46"/>
        <v>334</v>
      </c>
      <c r="L390" s="53">
        <f t="shared" si="47"/>
        <v>366</v>
      </c>
      <c r="M390" s="189">
        <v>1.84</v>
      </c>
      <c r="N390" s="186">
        <f>VLOOKUP(2329,季財報!A:M,8,0)</f>
        <v>2</v>
      </c>
    </row>
    <row r="391" spans="1:14">
      <c r="A391" s="133">
        <v>2354</v>
      </c>
      <c r="C391">
        <v>3166</v>
      </c>
      <c r="D391">
        <v>67834</v>
      </c>
      <c r="E391">
        <v>12742</v>
      </c>
      <c r="F391">
        <v>88315</v>
      </c>
      <c r="G391">
        <v>19060</v>
      </c>
      <c r="H391" s="141">
        <v>0.04</v>
      </c>
      <c r="I391">
        <f t="shared" si="45"/>
        <v>330</v>
      </c>
      <c r="J391" s="137">
        <v>0.03</v>
      </c>
      <c r="K391">
        <f t="shared" si="46"/>
        <v>334</v>
      </c>
      <c r="L391" s="53">
        <f t="shared" si="47"/>
        <v>366</v>
      </c>
      <c r="M391" s="189">
        <v>1.84</v>
      </c>
      <c r="N391" s="186">
        <f>VLOOKUP(2354,季財報!A:M,8,0)</f>
        <v>0</v>
      </c>
    </row>
    <row r="392" spans="1:14">
      <c r="A392" s="133">
        <v>2387</v>
      </c>
      <c r="C392">
        <v>313</v>
      </c>
      <c r="D392">
        <v>4362</v>
      </c>
      <c r="E392">
        <v>4543</v>
      </c>
      <c r="F392">
        <v>9391</v>
      </c>
      <c r="G392">
        <v>1406</v>
      </c>
      <c r="H392" s="141">
        <v>0.04</v>
      </c>
      <c r="I392">
        <f t="shared" si="45"/>
        <v>330</v>
      </c>
      <c r="J392" s="137">
        <v>0.03</v>
      </c>
      <c r="K392">
        <f t="shared" si="46"/>
        <v>334</v>
      </c>
      <c r="L392" s="53">
        <f t="shared" si="47"/>
        <v>366</v>
      </c>
      <c r="M392" s="189">
        <v>1.84</v>
      </c>
      <c r="N392" s="186">
        <f>VLOOKUP(2387,季財報!A:M,8,0)</f>
        <v>4</v>
      </c>
    </row>
    <row r="393" spans="1:14">
      <c r="A393" s="133">
        <v>2397</v>
      </c>
      <c r="C393">
        <v>103</v>
      </c>
      <c r="D393">
        <v>2227</v>
      </c>
      <c r="E393">
        <v>564</v>
      </c>
      <c r="F393">
        <v>2965</v>
      </c>
      <c r="G393">
        <v>0</v>
      </c>
      <c r="H393" s="141">
        <v>0.04</v>
      </c>
      <c r="I393">
        <f t="shared" si="45"/>
        <v>330</v>
      </c>
      <c r="J393" s="137">
        <v>0.03</v>
      </c>
      <c r="K393">
        <f t="shared" si="46"/>
        <v>334</v>
      </c>
      <c r="L393" s="53">
        <f t="shared" si="47"/>
        <v>366</v>
      </c>
      <c r="M393" s="189">
        <v>1.84</v>
      </c>
      <c r="N393" s="186">
        <f>VLOOKUP(2397,季財報!A:M,8,0)</f>
        <v>3</v>
      </c>
    </row>
    <row r="394" spans="1:14">
      <c r="A394" s="133">
        <v>2425</v>
      </c>
      <c r="C394">
        <v>64</v>
      </c>
      <c r="D394">
        <v>1562</v>
      </c>
      <c r="E394">
        <v>162</v>
      </c>
      <c r="F394">
        <v>1738</v>
      </c>
      <c r="G394">
        <v>366</v>
      </c>
      <c r="H394" s="141">
        <v>0.04</v>
      </c>
      <c r="I394">
        <f t="shared" si="45"/>
        <v>330</v>
      </c>
      <c r="J394" s="137">
        <v>0.03</v>
      </c>
      <c r="K394">
        <f t="shared" si="46"/>
        <v>334</v>
      </c>
      <c r="L394" s="53">
        <f t="shared" si="47"/>
        <v>366</v>
      </c>
      <c r="M394" s="189">
        <v>1.84</v>
      </c>
      <c r="N394" s="186">
        <f>VLOOKUP(2425,季財報!A:M,8,0)</f>
        <v>2</v>
      </c>
    </row>
    <row r="395" spans="1:14">
      <c r="A395" s="133">
        <v>2477</v>
      </c>
      <c r="C395">
        <v>103</v>
      </c>
      <c r="D395">
        <v>1747</v>
      </c>
      <c r="E395">
        <v>1093</v>
      </c>
      <c r="F395">
        <v>3609</v>
      </c>
      <c r="G395">
        <v>360</v>
      </c>
      <c r="H395" s="141">
        <v>0.04</v>
      </c>
      <c r="I395">
        <f t="shared" si="45"/>
        <v>330</v>
      </c>
      <c r="J395" s="137">
        <v>0.03</v>
      </c>
      <c r="K395">
        <f t="shared" si="46"/>
        <v>334</v>
      </c>
      <c r="L395" s="53">
        <f t="shared" si="47"/>
        <v>366</v>
      </c>
      <c r="M395" s="189">
        <v>1.84</v>
      </c>
      <c r="N395" s="186">
        <f>VLOOKUP(2477,季財報!A:M,8,0)</f>
        <v>4</v>
      </c>
    </row>
    <row r="396" spans="1:14">
      <c r="A396" s="133">
        <v>2480</v>
      </c>
      <c r="C396">
        <v>79</v>
      </c>
      <c r="D396">
        <v>1861</v>
      </c>
      <c r="E396">
        <v>385</v>
      </c>
      <c r="F396">
        <v>2691</v>
      </c>
      <c r="G396">
        <v>8</v>
      </c>
      <c r="H396" s="141">
        <v>0.04</v>
      </c>
      <c r="I396">
        <f t="shared" si="45"/>
        <v>330</v>
      </c>
      <c r="J396" s="137">
        <v>0.03</v>
      </c>
      <c r="K396">
        <f t="shared" si="46"/>
        <v>334</v>
      </c>
      <c r="L396" s="53">
        <f t="shared" si="47"/>
        <v>366</v>
      </c>
      <c r="M396" s="189">
        <v>1.84</v>
      </c>
      <c r="N396" s="186">
        <f>VLOOKUP(2480,季財報!A:M,8,0)</f>
        <v>3</v>
      </c>
    </row>
    <row r="397" spans="1:14">
      <c r="A397" s="133">
        <v>3511</v>
      </c>
      <c r="C397">
        <v>24</v>
      </c>
      <c r="D397">
        <v>215</v>
      </c>
      <c r="E397">
        <v>378</v>
      </c>
      <c r="F397">
        <v>706</v>
      </c>
      <c r="G397">
        <v>119</v>
      </c>
      <c r="H397" s="141">
        <v>0.04</v>
      </c>
      <c r="I397">
        <f t="shared" si="45"/>
        <v>330</v>
      </c>
      <c r="J397" s="137">
        <v>0.03</v>
      </c>
      <c r="K397">
        <f t="shared" si="46"/>
        <v>334</v>
      </c>
      <c r="L397" s="53">
        <f t="shared" si="47"/>
        <v>366</v>
      </c>
      <c r="M397" s="189">
        <v>1.84</v>
      </c>
      <c r="N397" s="186">
        <f>VLOOKUP(3511,季財報!A:M,8,0)</f>
        <v>4</v>
      </c>
    </row>
    <row r="398" spans="1:14">
      <c r="A398" s="133">
        <v>3521</v>
      </c>
      <c r="C398">
        <v>17</v>
      </c>
      <c r="D398">
        <v>209</v>
      </c>
      <c r="E398">
        <v>173</v>
      </c>
      <c r="F398">
        <v>458</v>
      </c>
      <c r="G398">
        <v>190</v>
      </c>
      <c r="H398" s="141">
        <v>0.04</v>
      </c>
      <c r="I398">
        <f t="shared" si="45"/>
        <v>330</v>
      </c>
      <c r="J398" s="137">
        <v>0.03</v>
      </c>
      <c r="K398">
        <f t="shared" si="46"/>
        <v>334</v>
      </c>
      <c r="L398" s="53">
        <f t="shared" si="47"/>
        <v>366</v>
      </c>
      <c r="M398" s="189">
        <v>1.84</v>
      </c>
      <c r="N398" s="186">
        <f>VLOOKUP(3521,季財報!A:M,8,0)</f>
        <v>3</v>
      </c>
    </row>
    <row r="399" spans="1:14">
      <c r="A399" s="133">
        <v>3533</v>
      </c>
      <c r="C399">
        <v>259</v>
      </c>
      <c r="D399">
        <v>4655</v>
      </c>
      <c r="E399">
        <v>2262</v>
      </c>
      <c r="F399">
        <v>7953</v>
      </c>
      <c r="G399">
        <v>953</v>
      </c>
      <c r="H399" s="141">
        <v>0.04</v>
      </c>
      <c r="I399">
        <f t="shared" si="45"/>
        <v>330</v>
      </c>
      <c r="J399" s="137">
        <v>0.03</v>
      </c>
      <c r="K399">
        <f t="shared" si="46"/>
        <v>334</v>
      </c>
      <c r="L399" s="53">
        <f t="shared" si="47"/>
        <v>366</v>
      </c>
      <c r="M399" s="189">
        <v>1.84</v>
      </c>
      <c r="N399" s="186">
        <f>VLOOKUP(3533,季財報!A:M,8,0)</f>
        <v>5</v>
      </c>
    </row>
    <row r="400" spans="1:14">
      <c r="A400" s="133">
        <v>3556</v>
      </c>
      <c r="C400">
        <v>43</v>
      </c>
      <c r="D400">
        <v>961</v>
      </c>
      <c r="E400">
        <v>4</v>
      </c>
      <c r="F400">
        <v>1156</v>
      </c>
      <c r="G400">
        <v>90</v>
      </c>
      <c r="H400" s="141">
        <v>0.04</v>
      </c>
      <c r="I400">
        <f t="shared" si="45"/>
        <v>330</v>
      </c>
      <c r="J400" s="137">
        <v>0.03</v>
      </c>
      <c r="K400">
        <f t="shared" si="46"/>
        <v>334</v>
      </c>
      <c r="L400" s="53">
        <f t="shared" si="47"/>
        <v>366</v>
      </c>
      <c r="M400" s="189">
        <v>1.84</v>
      </c>
      <c r="N400" s="186">
        <f>VLOOKUP(3556,季財報!A:M,8,0)</f>
        <v>1</v>
      </c>
    </row>
    <row r="401" spans="1:14">
      <c r="A401" s="133">
        <v>3679</v>
      </c>
      <c r="C401">
        <v>196</v>
      </c>
      <c r="D401">
        <v>3754</v>
      </c>
      <c r="E401">
        <v>1667</v>
      </c>
      <c r="F401">
        <v>4794</v>
      </c>
      <c r="G401">
        <v>876</v>
      </c>
      <c r="H401" s="141">
        <v>0.04</v>
      </c>
      <c r="I401">
        <f t="shared" si="45"/>
        <v>330</v>
      </c>
      <c r="J401" s="137">
        <v>0.03</v>
      </c>
      <c r="K401">
        <f t="shared" si="46"/>
        <v>334</v>
      </c>
      <c r="L401" s="53">
        <f t="shared" si="47"/>
        <v>366</v>
      </c>
      <c r="M401" s="189">
        <v>1.84</v>
      </c>
      <c r="N401" s="186">
        <f>VLOOKUP(3679,季財報!A:M,8,0)</f>
        <v>3</v>
      </c>
    </row>
    <row r="402" spans="1:14">
      <c r="A402" s="133">
        <v>3705</v>
      </c>
      <c r="C402">
        <v>202</v>
      </c>
      <c r="D402">
        <v>2470</v>
      </c>
      <c r="E402">
        <v>2775</v>
      </c>
      <c r="F402">
        <v>5889</v>
      </c>
      <c r="G402">
        <v>859</v>
      </c>
      <c r="H402" s="141">
        <v>0.04</v>
      </c>
      <c r="I402">
        <f t="shared" si="45"/>
        <v>330</v>
      </c>
      <c r="J402" s="137">
        <v>0.03</v>
      </c>
      <c r="K402">
        <f t="shared" si="46"/>
        <v>334</v>
      </c>
      <c r="L402" s="53">
        <f t="shared" si="47"/>
        <v>366</v>
      </c>
      <c r="M402" s="189">
        <v>1.84</v>
      </c>
      <c r="N402" s="186">
        <f>VLOOKUP(3705,季財報!A:M,8,0)</f>
        <v>2</v>
      </c>
    </row>
    <row r="403" spans="1:14">
      <c r="A403" s="133">
        <v>4119</v>
      </c>
      <c r="C403">
        <v>97</v>
      </c>
      <c r="D403">
        <v>687</v>
      </c>
      <c r="E403">
        <v>1795</v>
      </c>
      <c r="F403">
        <v>2596</v>
      </c>
      <c r="G403">
        <v>304</v>
      </c>
      <c r="H403" s="141">
        <v>0.04</v>
      </c>
      <c r="I403">
        <f t="shared" si="45"/>
        <v>330</v>
      </c>
      <c r="J403" s="137">
        <v>0.03</v>
      </c>
      <c r="K403">
        <f t="shared" si="46"/>
        <v>334</v>
      </c>
      <c r="L403" s="53">
        <f t="shared" si="47"/>
        <v>366</v>
      </c>
      <c r="M403" s="189">
        <v>1.84</v>
      </c>
      <c r="N403" s="186">
        <f>VLOOKUP(4119,季財報!A:M,8,0)</f>
        <v>2</v>
      </c>
    </row>
    <row r="404" spans="1:14">
      <c r="A404" s="133">
        <v>6279</v>
      </c>
      <c r="C404">
        <v>155</v>
      </c>
      <c r="D404">
        <v>1892</v>
      </c>
      <c r="E404">
        <v>2036</v>
      </c>
      <c r="F404">
        <v>3856</v>
      </c>
      <c r="G404">
        <v>705</v>
      </c>
      <c r="H404" s="141">
        <v>0.04</v>
      </c>
      <c r="I404">
        <f t="shared" si="45"/>
        <v>330</v>
      </c>
      <c r="J404" s="137">
        <v>0.03</v>
      </c>
      <c r="K404">
        <f t="shared" si="46"/>
        <v>334</v>
      </c>
      <c r="L404" s="53">
        <f t="shared" si="47"/>
        <v>366</v>
      </c>
      <c r="M404" s="189">
        <v>1.76</v>
      </c>
      <c r="N404" s="186">
        <f>VLOOKUP(6279,季財報!A:M,8,0)</f>
        <v>1</v>
      </c>
    </row>
    <row r="405" spans="1:14">
      <c r="A405" s="133">
        <v>6151</v>
      </c>
      <c r="C405">
        <v>39</v>
      </c>
      <c r="D405">
        <v>428</v>
      </c>
      <c r="E405">
        <v>677</v>
      </c>
      <c r="F405">
        <v>972</v>
      </c>
      <c r="G405">
        <v>227</v>
      </c>
      <c r="H405" s="141">
        <v>0.04</v>
      </c>
      <c r="I405">
        <f t="shared" si="45"/>
        <v>330</v>
      </c>
      <c r="J405" s="137">
        <v>0.03</v>
      </c>
      <c r="K405">
        <f t="shared" si="46"/>
        <v>334</v>
      </c>
      <c r="L405" s="53">
        <f t="shared" si="47"/>
        <v>366</v>
      </c>
      <c r="M405" s="189">
        <v>1.58</v>
      </c>
      <c r="N405" s="186">
        <f>VLOOKUP(6151,季財報!A:M,8,0)</f>
        <v>2</v>
      </c>
    </row>
    <row r="406" spans="1:14">
      <c r="A406" s="133">
        <v>4535</v>
      </c>
      <c r="C406">
        <v>89</v>
      </c>
      <c r="D406">
        <v>756</v>
      </c>
      <c r="E406">
        <v>1494</v>
      </c>
      <c r="F406">
        <v>2464</v>
      </c>
      <c r="G406">
        <v>313</v>
      </c>
      <c r="H406" s="141">
        <v>0.04</v>
      </c>
      <c r="I406">
        <f t="shared" si="45"/>
        <v>330</v>
      </c>
      <c r="J406" s="137">
        <v>0.03</v>
      </c>
      <c r="K406">
        <f t="shared" si="46"/>
        <v>334</v>
      </c>
      <c r="L406" s="53">
        <f t="shared" si="47"/>
        <v>366</v>
      </c>
      <c r="M406" s="189">
        <v>1.62</v>
      </c>
      <c r="N406" s="186">
        <f>VLOOKUP(4535,季財報!A:M,8,0)</f>
        <v>4</v>
      </c>
    </row>
    <row r="407" spans="1:14">
      <c r="A407" s="133">
        <v>4735</v>
      </c>
      <c r="C407">
        <v>14</v>
      </c>
      <c r="D407">
        <v>216</v>
      </c>
      <c r="E407">
        <v>166</v>
      </c>
      <c r="F407">
        <v>366</v>
      </c>
      <c r="G407">
        <v>93</v>
      </c>
      <c r="H407" s="141">
        <v>0.04</v>
      </c>
      <c r="I407">
        <f t="shared" si="45"/>
        <v>330</v>
      </c>
      <c r="J407" s="137">
        <v>0.03</v>
      </c>
      <c r="K407">
        <f t="shared" si="46"/>
        <v>334</v>
      </c>
      <c r="L407" s="53">
        <f t="shared" si="47"/>
        <v>366</v>
      </c>
      <c r="M407" s="189">
        <v>1.59</v>
      </c>
      <c r="N407" s="186">
        <f>VLOOKUP(4735,季財報!A:M,8,0)</f>
        <v>3</v>
      </c>
    </row>
    <row r="408" spans="1:14">
      <c r="A408" s="133">
        <v>1203</v>
      </c>
      <c r="C408">
        <v>185</v>
      </c>
      <c r="D408">
        <v>1996</v>
      </c>
      <c r="E408">
        <v>2814</v>
      </c>
      <c r="F408">
        <v>5206</v>
      </c>
      <c r="G408">
        <v>255</v>
      </c>
      <c r="H408" s="141">
        <v>0.04</v>
      </c>
      <c r="I408">
        <f t="shared" si="45"/>
        <v>330</v>
      </c>
      <c r="J408" s="137">
        <v>0.03</v>
      </c>
      <c r="K408">
        <f t="shared" si="46"/>
        <v>334</v>
      </c>
      <c r="L408" s="53">
        <f t="shared" si="47"/>
        <v>366</v>
      </c>
      <c r="M408" s="189">
        <v>1.59</v>
      </c>
      <c r="N408" s="186">
        <f>VLOOKUP(1203,季財報!A:M,8,0)</f>
        <v>5</v>
      </c>
    </row>
    <row r="409" spans="1:14">
      <c r="A409" s="133">
        <v>1532</v>
      </c>
      <c r="C409">
        <v>788</v>
      </c>
      <c r="D409">
        <v>9790</v>
      </c>
      <c r="E409">
        <v>11329</v>
      </c>
      <c r="F409">
        <v>19682</v>
      </c>
      <c r="G409">
        <v>7365</v>
      </c>
      <c r="H409" s="141">
        <v>0.04</v>
      </c>
      <c r="I409">
        <f t="shared" si="45"/>
        <v>330</v>
      </c>
      <c r="J409" s="137">
        <v>0.03</v>
      </c>
      <c r="K409">
        <f t="shared" si="46"/>
        <v>334</v>
      </c>
      <c r="L409" s="53">
        <f t="shared" si="47"/>
        <v>366</v>
      </c>
      <c r="M409" s="189">
        <v>1.59</v>
      </c>
      <c r="N409" s="186">
        <f>VLOOKUP(1532,季財報!A:M,8,0)</f>
        <v>4</v>
      </c>
    </row>
    <row r="410" spans="1:14">
      <c r="A410" s="133">
        <v>1704</v>
      </c>
      <c r="C410">
        <v>930</v>
      </c>
      <c r="D410">
        <v>12236</v>
      </c>
      <c r="E410">
        <v>12728</v>
      </c>
      <c r="F410">
        <v>23416</v>
      </c>
      <c r="G410">
        <v>4334</v>
      </c>
      <c r="H410" s="141">
        <v>0.04</v>
      </c>
      <c r="I410">
        <f t="shared" si="45"/>
        <v>330</v>
      </c>
      <c r="J410" s="137">
        <v>0.03</v>
      </c>
      <c r="K410">
        <f t="shared" si="46"/>
        <v>334</v>
      </c>
      <c r="L410" s="53">
        <f t="shared" si="47"/>
        <v>366</v>
      </c>
      <c r="M410" s="189">
        <v>1.59</v>
      </c>
      <c r="N410" s="186">
        <f>VLOOKUP(1704,季財報!A:M,8,0)</f>
        <v>4</v>
      </c>
    </row>
    <row r="411" spans="1:14">
      <c r="A411" s="133">
        <v>3032</v>
      </c>
      <c r="C411">
        <v>59</v>
      </c>
      <c r="D411">
        <v>908</v>
      </c>
      <c r="E411">
        <v>510</v>
      </c>
      <c r="F411">
        <v>1817</v>
      </c>
      <c r="G411">
        <v>285</v>
      </c>
      <c r="H411" s="141">
        <v>0.04</v>
      </c>
      <c r="I411">
        <f t="shared" si="45"/>
        <v>330</v>
      </c>
      <c r="J411" s="137">
        <v>0.03</v>
      </c>
      <c r="K411">
        <f t="shared" si="46"/>
        <v>334</v>
      </c>
      <c r="L411" s="53">
        <f t="shared" si="47"/>
        <v>366</v>
      </c>
      <c r="M411" s="189">
        <v>1.59</v>
      </c>
      <c r="N411" s="186">
        <f>VLOOKUP(3032,季財報!A:M,8,0)</f>
        <v>4</v>
      </c>
    </row>
    <row r="412" spans="1:14">
      <c r="A412" s="133">
        <v>3169</v>
      </c>
      <c r="C412">
        <v>22</v>
      </c>
      <c r="D412">
        <v>438</v>
      </c>
      <c r="E412">
        <v>56</v>
      </c>
      <c r="F412">
        <v>741</v>
      </c>
      <c r="G412">
        <v>0</v>
      </c>
      <c r="H412" s="141">
        <v>0.04</v>
      </c>
      <c r="I412">
        <f t="shared" si="45"/>
        <v>330</v>
      </c>
      <c r="J412" s="137">
        <v>0.03</v>
      </c>
      <c r="K412">
        <f t="shared" si="46"/>
        <v>334</v>
      </c>
      <c r="L412" s="53">
        <f t="shared" si="47"/>
        <v>366</v>
      </c>
      <c r="M412" s="189">
        <v>1.58</v>
      </c>
      <c r="N412" s="186">
        <f>VLOOKUP(3169,季財報!A:M,8,0)</f>
        <v>1</v>
      </c>
    </row>
    <row r="413" spans="1:14">
      <c r="A413" s="133">
        <v>4109</v>
      </c>
      <c r="C413">
        <v>30</v>
      </c>
      <c r="D413">
        <v>39</v>
      </c>
      <c r="E413">
        <v>781</v>
      </c>
      <c r="F413">
        <v>963</v>
      </c>
      <c r="G413">
        <v>136</v>
      </c>
      <c r="H413" s="141">
        <v>0.04</v>
      </c>
      <c r="I413">
        <f t="shared" si="45"/>
        <v>330</v>
      </c>
      <c r="J413" s="137">
        <v>0.03</v>
      </c>
      <c r="K413">
        <f t="shared" si="46"/>
        <v>334</v>
      </c>
      <c r="L413" s="53">
        <f t="shared" si="47"/>
        <v>366</v>
      </c>
      <c r="M413" s="189">
        <v>1.58</v>
      </c>
      <c r="N413" s="186">
        <f>VLOOKUP(4109,季財報!A:M,8,0)</f>
        <v>2</v>
      </c>
    </row>
    <row r="414" spans="1:14">
      <c r="A414" s="133">
        <v>8074</v>
      </c>
      <c r="C414">
        <v>43</v>
      </c>
      <c r="D414">
        <v>621</v>
      </c>
      <c r="E414">
        <v>653</v>
      </c>
      <c r="F414">
        <v>1072</v>
      </c>
      <c r="G414">
        <v>116</v>
      </c>
      <c r="H414" s="141">
        <v>0.03</v>
      </c>
      <c r="I414">
        <f t="shared" ref="I414:I421" si="48">RANK(0.03,H:H,0)</f>
        <v>466</v>
      </c>
      <c r="J414" s="137">
        <v>0.04</v>
      </c>
      <c r="K414">
        <f t="shared" ref="K414:K421" si="49">RANK(0.04,J:J,0)</f>
        <v>220</v>
      </c>
      <c r="L414" s="53">
        <f t="shared" ref="L414:L421" si="50">RANK(2.21,M:M,0)</f>
        <v>413</v>
      </c>
      <c r="M414" s="189">
        <v>1.58</v>
      </c>
      <c r="N414" s="186">
        <f>VLOOKUP(8074,季財報!A:M,8,0)</f>
        <v>4</v>
      </c>
    </row>
    <row r="415" spans="1:14">
      <c r="A415" s="133">
        <v>6271</v>
      </c>
      <c r="C415">
        <v>415</v>
      </c>
      <c r="D415">
        <v>7695</v>
      </c>
      <c r="E415">
        <v>5278</v>
      </c>
      <c r="F415">
        <v>9885</v>
      </c>
      <c r="G415">
        <v>662</v>
      </c>
      <c r="H415" s="141">
        <v>0.03</v>
      </c>
      <c r="I415">
        <f t="shared" si="48"/>
        <v>466</v>
      </c>
      <c r="J415" s="137">
        <v>0.04</v>
      </c>
      <c r="K415">
        <f t="shared" si="49"/>
        <v>220</v>
      </c>
      <c r="L415" s="53">
        <f t="shared" si="50"/>
        <v>413</v>
      </c>
      <c r="M415" s="189">
        <v>1.58</v>
      </c>
      <c r="N415" s="186">
        <f>VLOOKUP(6271,季財報!A:M,8,0)</f>
        <v>2</v>
      </c>
    </row>
    <row r="416" spans="1:14">
      <c r="A416" s="133">
        <v>6105</v>
      </c>
      <c r="C416">
        <v>133</v>
      </c>
      <c r="D416">
        <v>2133</v>
      </c>
      <c r="E416">
        <v>1842</v>
      </c>
      <c r="F416">
        <v>3698</v>
      </c>
      <c r="G416">
        <v>11</v>
      </c>
      <c r="H416" s="141">
        <v>0.03</v>
      </c>
      <c r="I416">
        <f t="shared" si="48"/>
        <v>466</v>
      </c>
      <c r="J416" s="137">
        <v>0.04</v>
      </c>
      <c r="K416">
        <f t="shared" si="49"/>
        <v>220</v>
      </c>
      <c r="L416" s="53">
        <f t="shared" si="50"/>
        <v>413</v>
      </c>
      <c r="M416" s="189">
        <v>1.58</v>
      </c>
      <c r="N416" s="186">
        <f>VLOOKUP(6105,季財報!A:M,8,0)</f>
        <v>2</v>
      </c>
    </row>
    <row r="417" spans="1:14">
      <c r="A417" s="133">
        <v>6239</v>
      </c>
      <c r="C417">
        <v>1497</v>
      </c>
      <c r="D417">
        <v>18781</v>
      </c>
      <c r="E417">
        <v>35724</v>
      </c>
      <c r="F417">
        <v>40228</v>
      </c>
      <c r="G417">
        <v>2066</v>
      </c>
      <c r="H417" s="141">
        <v>0.03</v>
      </c>
      <c r="I417">
        <f t="shared" si="48"/>
        <v>466</v>
      </c>
      <c r="J417" s="137">
        <v>0.04</v>
      </c>
      <c r="K417">
        <f t="shared" si="49"/>
        <v>220</v>
      </c>
      <c r="L417" s="53">
        <f t="shared" si="50"/>
        <v>413</v>
      </c>
      <c r="M417" s="189">
        <v>1.58</v>
      </c>
      <c r="N417" s="186">
        <f>VLOOKUP(6239,季財報!A:M,8,0)</f>
        <v>4</v>
      </c>
    </row>
    <row r="418" spans="1:14">
      <c r="A418" s="133">
        <v>4737</v>
      </c>
      <c r="C418">
        <v>74</v>
      </c>
      <c r="D418">
        <v>0</v>
      </c>
      <c r="E418">
        <v>2872</v>
      </c>
      <c r="F418">
        <v>1369</v>
      </c>
      <c r="G418">
        <v>720</v>
      </c>
      <c r="H418" s="141">
        <v>0.03</v>
      </c>
      <c r="I418">
        <f t="shared" si="48"/>
        <v>466</v>
      </c>
      <c r="J418" s="137">
        <v>0.04</v>
      </c>
      <c r="K418">
        <f t="shared" si="49"/>
        <v>220</v>
      </c>
      <c r="L418" s="53">
        <f t="shared" si="50"/>
        <v>413</v>
      </c>
      <c r="M418" s="189">
        <v>1.48</v>
      </c>
      <c r="N418" s="186">
        <f>VLOOKUP(4737,季財報!A:M,8,0)</f>
        <v>3</v>
      </c>
    </row>
    <row r="419" spans="1:14">
      <c r="A419" s="133">
        <v>1307</v>
      </c>
      <c r="C419">
        <v>351</v>
      </c>
      <c r="D419">
        <v>4251</v>
      </c>
      <c r="E419">
        <v>5885</v>
      </c>
      <c r="F419">
        <v>8229</v>
      </c>
      <c r="G419">
        <v>1797</v>
      </c>
      <c r="H419" s="141">
        <v>0.03</v>
      </c>
      <c r="I419">
        <f t="shared" si="48"/>
        <v>466</v>
      </c>
      <c r="J419" s="137">
        <v>0.04</v>
      </c>
      <c r="K419">
        <f t="shared" si="49"/>
        <v>220</v>
      </c>
      <c r="L419" s="53">
        <f t="shared" si="50"/>
        <v>413</v>
      </c>
      <c r="M419" s="189">
        <v>1.58</v>
      </c>
      <c r="N419" s="186">
        <f>VLOOKUP(1307,季財報!A:M,8,0)</f>
        <v>5</v>
      </c>
    </row>
    <row r="420" spans="1:14">
      <c r="A420" s="133">
        <v>1717</v>
      </c>
      <c r="C420">
        <v>1025</v>
      </c>
      <c r="D420">
        <v>19844</v>
      </c>
      <c r="E420">
        <v>15716</v>
      </c>
      <c r="F420">
        <v>22466</v>
      </c>
      <c r="G420">
        <v>5426</v>
      </c>
      <c r="H420" s="141">
        <v>0.03</v>
      </c>
      <c r="I420">
        <f t="shared" si="48"/>
        <v>466</v>
      </c>
      <c r="J420" s="137">
        <v>0.04</v>
      </c>
      <c r="K420">
        <f t="shared" si="49"/>
        <v>220</v>
      </c>
      <c r="L420" s="53">
        <f t="shared" si="50"/>
        <v>413</v>
      </c>
      <c r="M420" s="189">
        <v>1.58</v>
      </c>
      <c r="N420" s="186">
        <f>VLOOKUP(1717,季財報!A:M,8,0)</f>
        <v>3</v>
      </c>
    </row>
    <row r="421" spans="1:14">
      <c r="A421" s="133">
        <v>2109</v>
      </c>
      <c r="C421">
        <v>214</v>
      </c>
      <c r="D421">
        <v>2381</v>
      </c>
      <c r="E421">
        <v>3863</v>
      </c>
      <c r="F421">
        <v>5050</v>
      </c>
      <c r="G421">
        <v>684</v>
      </c>
      <c r="H421" s="141">
        <v>0.03</v>
      </c>
      <c r="I421">
        <f t="shared" si="48"/>
        <v>466</v>
      </c>
      <c r="J421" s="137">
        <v>0.04</v>
      </c>
      <c r="K421">
        <f t="shared" si="49"/>
        <v>220</v>
      </c>
      <c r="L421" s="53">
        <f t="shared" si="50"/>
        <v>413</v>
      </c>
      <c r="M421" s="189">
        <v>1.58</v>
      </c>
      <c r="N421" s="186">
        <f>VLOOKUP(2109,季財報!A:M,8,0)</f>
        <v>1</v>
      </c>
    </row>
    <row r="422" spans="1:14">
      <c r="A422" s="133">
        <v>5902</v>
      </c>
      <c r="C422">
        <v>7</v>
      </c>
      <c r="D422">
        <v>0</v>
      </c>
      <c r="E422">
        <v>8</v>
      </c>
      <c r="F422">
        <v>643</v>
      </c>
      <c r="G422">
        <v>274</v>
      </c>
      <c r="H422" s="141">
        <v>0.88</v>
      </c>
      <c r="I422">
        <f>RANK(0.88,H:H,0)</f>
        <v>1</v>
      </c>
      <c r="J422" s="137">
        <v>0.01</v>
      </c>
      <c r="K422">
        <f>RANK(0.01,J:J,0)</f>
        <v>708</v>
      </c>
      <c r="L422" s="53">
        <f>RANK(2.14,M:M,0)</f>
        <v>421</v>
      </c>
      <c r="M422" s="189">
        <v>1.58</v>
      </c>
      <c r="N422" s="186">
        <f>VLOOKUP(5902,季財報!A:M,8,0)</f>
        <v>3</v>
      </c>
    </row>
    <row r="423" spans="1:14">
      <c r="A423" s="133">
        <v>2362</v>
      </c>
      <c r="C423">
        <v>888</v>
      </c>
      <c r="D423">
        <v>0</v>
      </c>
      <c r="E423">
        <v>1807</v>
      </c>
      <c r="F423">
        <v>49952</v>
      </c>
      <c r="G423">
        <v>16269</v>
      </c>
      <c r="H423" s="141">
        <v>0.49</v>
      </c>
      <c r="I423">
        <f>RANK(0.49,H:H,0)</f>
        <v>4</v>
      </c>
      <c r="J423" s="137">
        <v>0.01</v>
      </c>
      <c r="K423">
        <f>RANK(0.01,J:J,0)</f>
        <v>708</v>
      </c>
      <c r="L423" s="53">
        <f>RANK(2.13,M:M,0)</f>
        <v>422</v>
      </c>
      <c r="M423" s="189">
        <v>1.58</v>
      </c>
      <c r="N423" s="186">
        <f>VLOOKUP(2362,季財報!A:M,8,0)</f>
        <v>1</v>
      </c>
    </row>
    <row r="424" spans="1:14">
      <c r="A424" s="133">
        <v>8913</v>
      </c>
      <c r="C424">
        <v>6</v>
      </c>
      <c r="D424">
        <v>16</v>
      </c>
      <c r="E424">
        <v>1</v>
      </c>
      <c r="F424">
        <v>727</v>
      </c>
      <c r="G424">
        <v>176</v>
      </c>
      <c r="H424" s="141">
        <v>0.35</v>
      </c>
      <c r="I424">
        <f>RANK(0.35,H:H,0)</f>
        <v>7</v>
      </c>
      <c r="J424" s="137">
        <v>0.01</v>
      </c>
      <c r="K424">
        <f>RANK(0.01,J:J,0)</f>
        <v>708</v>
      </c>
      <c r="L424" s="53">
        <f>RANK(2.12,M:M,0)</f>
        <v>423</v>
      </c>
      <c r="M424" s="189">
        <v>1.58</v>
      </c>
      <c r="N424" s="186">
        <f>VLOOKUP(8913,季財報!A:M,8,0)</f>
        <v>6</v>
      </c>
    </row>
    <row r="425" spans="1:14">
      <c r="A425" s="133">
        <v>8926</v>
      </c>
      <c r="C425">
        <v>81</v>
      </c>
      <c r="D425">
        <v>0</v>
      </c>
      <c r="E425">
        <v>446</v>
      </c>
      <c r="F425">
        <v>11331</v>
      </c>
      <c r="G425">
        <v>940</v>
      </c>
      <c r="H425" s="141">
        <v>0.18</v>
      </c>
      <c r="I425">
        <f>RANK(0.18,H:H,0)</f>
        <v>11</v>
      </c>
      <c r="J425" s="137">
        <v>0.01</v>
      </c>
      <c r="K425">
        <f>RANK(0.01,J:J,0)</f>
        <v>708</v>
      </c>
      <c r="L425" s="53">
        <f>RANK(2.11,M:M,0)</f>
        <v>424</v>
      </c>
      <c r="M425" s="189">
        <v>1.58</v>
      </c>
      <c r="N425" s="186">
        <f>VLOOKUP(8926,季財報!A:M,8,0)</f>
        <v>3</v>
      </c>
    </row>
    <row r="426" spans="1:14">
      <c r="A426" s="133">
        <v>9935</v>
      </c>
      <c r="C426">
        <v>42</v>
      </c>
      <c r="D426">
        <v>0</v>
      </c>
      <c r="E426">
        <v>859</v>
      </c>
      <c r="F426">
        <v>949</v>
      </c>
      <c r="G426">
        <v>1315</v>
      </c>
      <c r="H426" s="141">
        <v>0.05</v>
      </c>
      <c r="I426">
        <f t="shared" ref="I426:I436" si="51">RANK(0.05,H:H,0)</f>
        <v>231</v>
      </c>
      <c r="J426" s="137">
        <v>0.02</v>
      </c>
      <c r="K426">
        <f t="shared" ref="K426:K436" si="52">RANK(0.02,J:J,0)</f>
        <v>496</v>
      </c>
      <c r="L426" s="53">
        <f t="shared" ref="L426:L436" si="53">RANK(2.09,M:M,0)</f>
        <v>425</v>
      </c>
      <c r="M426" s="189">
        <v>1.58</v>
      </c>
      <c r="N426" s="186">
        <f>VLOOKUP(9935,季財報!A:M,8,0)</f>
        <v>2</v>
      </c>
    </row>
    <row r="427" spans="1:14">
      <c r="A427" s="133">
        <v>5525</v>
      </c>
      <c r="C427">
        <v>136</v>
      </c>
      <c r="D427">
        <v>2424</v>
      </c>
      <c r="E427">
        <v>83</v>
      </c>
      <c r="F427">
        <v>4465</v>
      </c>
      <c r="G427">
        <v>3637</v>
      </c>
      <c r="H427" s="141">
        <v>0.05</v>
      </c>
      <c r="I427">
        <f t="shared" si="51"/>
        <v>231</v>
      </c>
      <c r="J427" s="137">
        <v>0.02</v>
      </c>
      <c r="K427">
        <f t="shared" si="52"/>
        <v>496</v>
      </c>
      <c r="L427" s="53">
        <f t="shared" si="53"/>
        <v>425</v>
      </c>
      <c r="M427" s="189">
        <v>1.58</v>
      </c>
      <c r="N427" s="186">
        <f>VLOOKUP(5525,季財報!A:M,8,0)</f>
        <v>1</v>
      </c>
    </row>
    <row r="428" spans="1:14">
      <c r="A428" s="133">
        <v>5522</v>
      </c>
      <c r="C428">
        <v>1413</v>
      </c>
      <c r="D428">
        <v>28955</v>
      </c>
      <c r="E428">
        <v>36</v>
      </c>
      <c r="F428">
        <v>41940</v>
      </c>
      <c r="G428">
        <v>32950</v>
      </c>
      <c r="H428" s="141">
        <v>0.05</v>
      </c>
      <c r="I428">
        <f t="shared" si="51"/>
        <v>231</v>
      </c>
      <c r="J428" s="137">
        <v>0.02</v>
      </c>
      <c r="K428">
        <f t="shared" si="52"/>
        <v>496</v>
      </c>
      <c r="L428" s="53">
        <f t="shared" si="53"/>
        <v>425</v>
      </c>
      <c r="M428" s="189">
        <v>1.58</v>
      </c>
      <c r="N428" s="186">
        <f>VLOOKUP(5522,季財報!A:M,8,0)</f>
        <v>1</v>
      </c>
    </row>
    <row r="429" spans="1:14">
      <c r="A429" s="133">
        <v>5607</v>
      </c>
      <c r="C429">
        <v>77</v>
      </c>
      <c r="D429">
        <v>0</v>
      </c>
      <c r="E429">
        <v>1676</v>
      </c>
      <c r="F429">
        <v>3806</v>
      </c>
      <c r="G429">
        <v>669</v>
      </c>
      <c r="H429" s="141">
        <v>0.05</v>
      </c>
      <c r="I429">
        <f t="shared" si="51"/>
        <v>231</v>
      </c>
      <c r="J429" s="137">
        <v>0.02</v>
      </c>
      <c r="K429">
        <f t="shared" si="52"/>
        <v>496</v>
      </c>
      <c r="L429" s="53">
        <f t="shared" si="53"/>
        <v>425</v>
      </c>
      <c r="M429" s="189">
        <v>1.58</v>
      </c>
      <c r="N429" s="186">
        <f>VLOOKUP(5607,季財報!A:M,8,0)</f>
        <v>4</v>
      </c>
    </row>
    <row r="430" spans="1:14">
      <c r="A430" s="133">
        <v>2347</v>
      </c>
      <c r="C430">
        <v>1529</v>
      </c>
      <c r="D430">
        <v>23778</v>
      </c>
      <c r="E430">
        <v>7088</v>
      </c>
      <c r="F430">
        <v>43289</v>
      </c>
      <c r="G430">
        <v>52292</v>
      </c>
      <c r="H430" s="141">
        <v>0.05</v>
      </c>
      <c r="I430">
        <f t="shared" si="51"/>
        <v>231</v>
      </c>
      <c r="J430" s="137">
        <v>0.02</v>
      </c>
      <c r="K430">
        <f t="shared" si="52"/>
        <v>496</v>
      </c>
      <c r="L430" s="53">
        <f t="shared" si="53"/>
        <v>425</v>
      </c>
      <c r="M430" s="189">
        <v>1.58</v>
      </c>
      <c r="N430" s="186">
        <f>VLOOKUP(2347,季財報!A:M,8,0)</f>
        <v>0</v>
      </c>
    </row>
    <row r="431" spans="1:14">
      <c r="A431" s="133">
        <v>3033</v>
      </c>
      <c r="C431">
        <v>252</v>
      </c>
      <c r="D431">
        <v>4600</v>
      </c>
      <c r="E431">
        <v>162</v>
      </c>
      <c r="F431">
        <v>4654</v>
      </c>
      <c r="G431">
        <v>6926</v>
      </c>
      <c r="H431" s="141">
        <v>0.05</v>
      </c>
      <c r="I431">
        <f t="shared" si="51"/>
        <v>231</v>
      </c>
      <c r="J431" s="137">
        <v>0.02</v>
      </c>
      <c r="K431">
        <f t="shared" si="52"/>
        <v>496</v>
      </c>
      <c r="L431" s="53">
        <f t="shared" si="53"/>
        <v>425</v>
      </c>
      <c r="M431" s="189">
        <v>1.58</v>
      </c>
      <c r="N431" s="186">
        <f>VLOOKUP(3033,季財報!A:M,8,0)</f>
        <v>3</v>
      </c>
    </row>
    <row r="432" spans="1:14">
      <c r="A432" s="133">
        <v>3036</v>
      </c>
      <c r="C432">
        <v>739</v>
      </c>
      <c r="D432">
        <v>15278</v>
      </c>
      <c r="E432">
        <v>619</v>
      </c>
      <c r="F432">
        <v>16533</v>
      </c>
      <c r="G432">
        <v>17380</v>
      </c>
      <c r="H432" s="141">
        <v>0.05</v>
      </c>
      <c r="I432">
        <f t="shared" si="51"/>
        <v>231</v>
      </c>
      <c r="J432" s="137">
        <v>0.02</v>
      </c>
      <c r="K432">
        <f t="shared" si="52"/>
        <v>496</v>
      </c>
      <c r="L432" s="53">
        <f t="shared" si="53"/>
        <v>425</v>
      </c>
      <c r="M432" s="189">
        <v>1.58</v>
      </c>
      <c r="N432" s="186">
        <f>VLOOKUP(3036,季財報!A:M,8,0)</f>
        <v>1</v>
      </c>
    </row>
    <row r="433" spans="1:14">
      <c r="A433" s="133">
        <v>3702</v>
      </c>
      <c r="C433">
        <v>2701</v>
      </c>
      <c r="D433">
        <v>44809</v>
      </c>
      <c r="E433">
        <v>4639</v>
      </c>
      <c r="F433">
        <v>47414</v>
      </c>
      <c r="G433">
        <v>62512</v>
      </c>
      <c r="H433" s="141">
        <v>0.05</v>
      </c>
      <c r="I433">
        <f t="shared" si="51"/>
        <v>231</v>
      </c>
      <c r="J433" s="137">
        <v>0.02</v>
      </c>
      <c r="K433">
        <f t="shared" si="52"/>
        <v>496</v>
      </c>
      <c r="L433" s="53">
        <f t="shared" si="53"/>
        <v>425</v>
      </c>
      <c r="M433" s="189">
        <v>1.58</v>
      </c>
      <c r="N433" s="186">
        <f>VLOOKUP(3702,季財報!A:M,8,0)</f>
        <v>1</v>
      </c>
    </row>
    <row r="434" spans="1:14">
      <c r="A434" s="133">
        <v>1592</v>
      </c>
      <c r="C434">
        <v>129</v>
      </c>
      <c r="D434">
        <v>167</v>
      </c>
      <c r="E434">
        <v>2206</v>
      </c>
      <c r="F434">
        <v>3106</v>
      </c>
      <c r="G434">
        <v>2366</v>
      </c>
      <c r="H434" s="141">
        <v>0.05</v>
      </c>
      <c r="I434">
        <f t="shared" si="51"/>
        <v>231</v>
      </c>
      <c r="J434" s="137">
        <v>0.02</v>
      </c>
      <c r="K434">
        <f t="shared" si="52"/>
        <v>496</v>
      </c>
      <c r="L434" s="53">
        <f t="shared" si="53"/>
        <v>425</v>
      </c>
      <c r="M434" s="189">
        <v>1.58</v>
      </c>
      <c r="N434" s="186">
        <f>VLOOKUP(1592,季財報!A:M,8,0)</f>
        <v>3</v>
      </c>
    </row>
    <row r="435" spans="1:14">
      <c r="A435" s="133">
        <v>1613</v>
      </c>
      <c r="C435">
        <v>202</v>
      </c>
      <c r="D435">
        <v>0</v>
      </c>
      <c r="E435">
        <v>3902</v>
      </c>
      <c r="F435">
        <v>1968</v>
      </c>
      <c r="G435">
        <v>6915</v>
      </c>
      <c r="H435" s="141">
        <v>0.05</v>
      </c>
      <c r="I435">
        <f t="shared" si="51"/>
        <v>231</v>
      </c>
      <c r="J435" s="137">
        <v>0.02</v>
      </c>
      <c r="K435">
        <f t="shared" si="52"/>
        <v>496</v>
      </c>
      <c r="L435" s="53">
        <f t="shared" si="53"/>
        <v>425</v>
      </c>
      <c r="M435" s="189">
        <v>1.58</v>
      </c>
      <c r="N435" s="186">
        <f>VLOOKUP(1613,季財報!A:M,8,0)</f>
        <v>1</v>
      </c>
    </row>
    <row r="436" spans="1:14">
      <c r="A436" s="133">
        <v>2634</v>
      </c>
      <c r="C436">
        <v>524</v>
      </c>
      <c r="D436">
        <v>6138</v>
      </c>
      <c r="E436">
        <v>5015</v>
      </c>
      <c r="F436">
        <v>11140</v>
      </c>
      <c r="G436">
        <v>10924</v>
      </c>
      <c r="H436" s="141">
        <v>0.05</v>
      </c>
      <c r="I436">
        <f t="shared" si="51"/>
        <v>231</v>
      </c>
      <c r="J436" s="137">
        <v>0.02</v>
      </c>
      <c r="K436">
        <f t="shared" si="52"/>
        <v>496</v>
      </c>
      <c r="L436" s="53">
        <f t="shared" si="53"/>
        <v>425</v>
      </c>
      <c r="M436" s="189">
        <v>1.58</v>
      </c>
      <c r="N436" s="186">
        <f>VLOOKUP(2634,季財報!A:M,8,0)</f>
        <v>3</v>
      </c>
    </row>
    <row r="437" spans="1:14">
      <c r="A437" s="133">
        <v>8271</v>
      </c>
      <c r="C437">
        <v>89</v>
      </c>
      <c r="D437">
        <v>2064</v>
      </c>
      <c r="E437">
        <v>717</v>
      </c>
      <c r="F437">
        <v>2837</v>
      </c>
      <c r="G437">
        <v>296</v>
      </c>
      <c r="H437" s="141">
        <v>0.03</v>
      </c>
      <c r="I437">
        <f t="shared" ref="I437:I468" si="54">RANK(0.03,H:H,0)</f>
        <v>466</v>
      </c>
      <c r="J437" s="137">
        <v>0.03</v>
      </c>
      <c r="K437">
        <f t="shared" ref="K437:K468" si="55">RANK(0.03,J:J,0)</f>
        <v>334</v>
      </c>
      <c r="L437" s="53">
        <f t="shared" ref="L437:L468" si="56">RANK(1.9,M:M,0)</f>
        <v>436</v>
      </c>
      <c r="M437" s="189">
        <v>1.58</v>
      </c>
      <c r="N437" s="186">
        <f>VLOOKUP(8271,季財報!A:M,8,0)</f>
        <v>2</v>
      </c>
    </row>
    <row r="438" spans="1:14">
      <c r="A438" s="133">
        <v>8079</v>
      </c>
      <c r="C438">
        <v>36</v>
      </c>
      <c r="D438">
        <v>831</v>
      </c>
      <c r="E438">
        <v>356</v>
      </c>
      <c r="F438">
        <v>1181</v>
      </c>
      <c r="G438">
        <v>1</v>
      </c>
      <c r="H438" s="141">
        <v>0.03</v>
      </c>
      <c r="I438">
        <f t="shared" si="54"/>
        <v>466</v>
      </c>
      <c r="J438" s="137">
        <v>0.03</v>
      </c>
      <c r="K438">
        <f t="shared" si="55"/>
        <v>334</v>
      </c>
      <c r="L438" s="53">
        <f t="shared" si="56"/>
        <v>436</v>
      </c>
      <c r="M438" s="189">
        <v>1.58</v>
      </c>
      <c r="N438" s="186">
        <f>VLOOKUP(8079,季財報!A:M,8,0)</f>
        <v>3</v>
      </c>
    </row>
    <row r="439" spans="1:14">
      <c r="A439" s="133">
        <v>8131</v>
      </c>
      <c r="C439">
        <v>301</v>
      </c>
      <c r="D439">
        <v>5918</v>
      </c>
      <c r="E439">
        <v>3245</v>
      </c>
      <c r="F439">
        <v>9433</v>
      </c>
      <c r="G439">
        <v>0</v>
      </c>
      <c r="H439" s="141">
        <v>0.03</v>
      </c>
      <c r="I439">
        <f t="shared" si="54"/>
        <v>466</v>
      </c>
      <c r="J439" s="137">
        <v>0.03</v>
      </c>
      <c r="K439">
        <f t="shared" si="55"/>
        <v>334</v>
      </c>
      <c r="L439" s="53">
        <f t="shared" si="56"/>
        <v>436</v>
      </c>
      <c r="M439" s="189">
        <v>1.58</v>
      </c>
      <c r="N439" s="186">
        <f>VLOOKUP(8131,季財報!A:M,8,0)</f>
        <v>2</v>
      </c>
    </row>
    <row r="440" spans="1:14">
      <c r="A440" s="133">
        <v>6278</v>
      </c>
      <c r="C440">
        <v>409</v>
      </c>
      <c r="D440">
        <v>5640</v>
      </c>
      <c r="E440">
        <v>7502</v>
      </c>
      <c r="F440">
        <v>11943</v>
      </c>
      <c r="G440">
        <v>3103</v>
      </c>
      <c r="H440" s="141">
        <v>0.03</v>
      </c>
      <c r="I440">
        <f t="shared" si="54"/>
        <v>466</v>
      </c>
      <c r="J440" s="137">
        <v>0.03</v>
      </c>
      <c r="K440">
        <f t="shared" si="55"/>
        <v>334</v>
      </c>
      <c r="L440" s="53">
        <f t="shared" si="56"/>
        <v>436</v>
      </c>
      <c r="M440" s="189">
        <v>1.58</v>
      </c>
      <c r="N440" s="186">
        <f>VLOOKUP(6278,季財報!A:M,8,0)</f>
        <v>1</v>
      </c>
    </row>
    <row r="441" spans="1:14">
      <c r="A441" s="133">
        <v>8021</v>
      </c>
      <c r="C441">
        <v>170</v>
      </c>
      <c r="D441">
        <v>2296</v>
      </c>
      <c r="E441">
        <v>3116</v>
      </c>
      <c r="F441">
        <v>4871</v>
      </c>
      <c r="G441">
        <v>249</v>
      </c>
      <c r="H441" s="141">
        <v>0.03</v>
      </c>
      <c r="I441">
        <f t="shared" si="54"/>
        <v>466</v>
      </c>
      <c r="J441" s="137">
        <v>0.03</v>
      </c>
      <c r="K441">
        <f t="shared" si="55"/>
        <v>334</v>
      </c>
      <c r="L441" s="53">
        <f t="shared" si="56"/>
        <v>436</v>
      </c>
      <c r="M441" s="189">
        <v>1.58</v>
      </c>
      <c r="N441" s="186">
        <f>VLOOKUP(8021,季財報!A:M,8,0)</f>
        <v>4</v>
      </c>
    </row>
    <row r="442" spans="1:14">
      <c r="A442" s="133">
        <v>6411</v>
      </c>
      <c r="C442">
        <v>40</v>
      </c>
      <c r="D442">
        <v>850</v>
      </c>
      <c r="E442">
        <v>371</v>
      </c>
      <c r="F442">
        <v>1256</v>
      </c>
      <c r="G442">
        <v>100</v>
      </c>
      <c r="H442" s="141">
        <v>0.03</v>
      </c>
      <c r="I442">
        <f t="shared" si="54"/>
        <v>466</v>
      </c>
      <c r="J442" s="137">
        <v>0.03</v>
      </c>
      <c r="K442">
        <f t="shared" si="55"/>
        <v>334</v>
      </c>
      <c r="L442" s="53">
        <f t="shared" si="56"/>
        <v>436</v>
      </c>
      <c r="M442" s="189">
        <v>1.58</v>
      </c>
      <c r="N442" s="186">
        <f>VLOOKUP(6411,季財報!A:M,8,0)</f>
        <v>2</v>
      </c>
    </row>
    <row r="443" spans="1:14">
      <c r="A443" s="133">
        <v>4994</v>
      </c>
      <c r="C443">
        <v>56</v>
      </c>
      <c r="D443">
        <v>1595</v>
      </c>
      <c r="E443">
        <v>65</v>
      </c>
      <c r="F443">
        <v>1708</v>
      </c>
      <c r="G443">
        <v>0</v>
      </c>
      <c r="H443" s="141">
        <v>0.03</v>
      </c>
      <c r="I443">
        <f t="shared" si="54"/>
        <v>466</v>
      </c>
      <c r="J443" s="137">
        <v>0.03</v>
      </c>
      <c r="K443">
        <f t="shared" si="55"/>
        <v>334</v>
      </c>
      <c r="L443" s="53">
        <f t="shared" si="56"/>
        <v>436</v>
      </c>
      <c r="M443" s="189">
        <v>1.58</v>
      </c>
      <c r="N443" s="186">
        <f>VLOOKUP(4994,季財報!A:M,8,0)</f>
        <v>4</v>
      </c>
    </row>
    <row r="444" spans="1:14">
      <c r="A444" s="133">
        <v>5215</v>
      </c>
      <c r="C444">
        <v>57</v>
      </c>
      <c r="D444">
        <v>1495</v>
      </c>
      <c r="E444">
        <v>634</v>
      </c>
      <c r="F444">
        <v>2076</v>
      </c>
      <c r="G444">
        <v>132</v>
      </c>
      <c r="H444" s="141">
        <v>0.03</v>
      </c>
      <c r="I444">
        <f t="shared" si="54"/>
        <v>466</v>
      </c>
      <c r="J444" s="137">
        <v>0.03</v>
      </c>
      <c r="K444">
        <f t="shared" si="55"/>
        <v>334</v>
      </c>
      <c r="L444" s="53">
        <f t="shared" si="56"/>
        <v>436</v>
      </c>
      <c r="M444" s="189">
        <v>1.58</v>
      </c>
      <c r="N444" s="186">
        <f>VLOOKUP(5215,季財報!A:M,8,0)</f>
        <v>4</v>
      </c>
    </row>
    <row r="445" spans="1:14">
      <c r="A445" s="133">
        <v>5276</v>
      </c>
      <c r="C445">
        <v>21</v>
      </c>
      <c r="D445">
        <v>560</v>
      </c>
      <c r="E445">
        <v>99</v>
      </c>
      <c r="F445">
        <v>669</v>
      </c>
      <c r="G445">
        <v>0</v>
      </c>
      <c r="H445" s="141">
        <v>0.03</v>
      </c>
      <c r="I445">
        <f t="shared" si="54"/>
        <v>466</v>
      </c>
      <c r="J445" s="137">
        <v>0.03</v>
      </c>
      <c r="K445">
        <f t="shared" si="55"/>
        <v>334</v>
      </c>
      <c r="L445" s="53">
        <f t="shared" si="56"/>
        <v>436</v>
      </c>
      <c r="M445" s="189">
        <v>1.58</v>
      </c>
      <c r="N445" s="186">
        <f>VLOOKUP(5276,季財報!A:M,8,0)</f>
        <v>2</v>
      </c>
    </row>
    <row r="446" spans="1:14">
      <c r="A446" s="133">
        <v>5285</v>
      </c>
      <c r="C446">
        <v>63</v>
      </c>
      <c r="D446">
        <v>1499</v>
      </c>
      <c r="E446">
        <v>779</v>
      </c>
      <c r="F446">
        <v>1615</v>
      </c>
      <c r="G446">
        <v>241</v>
      </c>
      <c r="H446" s="141">
        <v>0.03</v>
      </c>
      <c r="I446">
        <f t="shared" si="54"/>
        <v>466</v>
      </c>
      <c r="J446" s="137">
        <v>0.03</v>
      </c>
      <c r="K446">
        <f t="shared" si="55"/>
        <v>334</v>
      </c>
      <c r="L446" s="53">
        <f t="shared" si="56"/>
        <v>436</v>
      </c>
      <c r="M446" s="189">
        <v>1.58</v>
      </c>
      <c r="N446" s="186">
        <f>VLOOKUP(5285,季財報!A:M,8,0)</f>
        <v>4</v>
      </c>
    </row>
    <row r="447" spans="1:14">
      <c r="A447" s="133">
        <v>5347</v>
      </c>
      <c r="C447">
        <v>894</v>
      </c>
      <c r="D447">
        <v>19211</v>
      </c>
      <c r="E447">
        <v>7350</v>
      </c>
      <c r="F447">
        <v>26542</v>
      </c>
      <c r="G447">
        <v>0</v>
      </c>
      <c r="H447" s="141">
        <v>0.03</v>
      </c>
      <c r="I447">
        <f t="shared" si="54"/>
        <v>466</v>
      </c>
      <c r="J447" s="137">
        <v>0.03</v>
      </c>
      <c r="K447">
        <f t="shared" si="55"/>
        <v>334</v>
      </c>
      <c r="L447" s="53">
        <f t="shared" si="56"/>
        <v>436</v>
      </c>
      <c r="M447" s="189">
        <v>1.58</v>
      </c>
      <c r="N447" s="186">
        <f>VLOOKUP(5347,季財報!A:M,8,0)</f>
        <v>1</v>
      </c>
    </row>
    <row r="448" spans="1:14">
      <c r="A448" s="133">
        <v>5471</v>
      </c>
      <c r="C448">
        <v>80</v>
      </c>
      <c r="D448">
        <v>2378</v>
      </c>
      <c r="E448">
        <v>466</v>
      </c>
      <c r="F448">
        <v>3052</v>
      </c>
      <c r="G448">
        <v>0</v>
      </c>
      <c r="H448" s="141">
        <v>0.03</v>
      </c>
      <c r="I448">
        <f t="shared" si="54"/>
        <v>466</v>
      </c>
      <c r="J448" s="137">
        <v>0.03</v>
      </c>
      <c r="K448">
        <f t="shared" si="55"/>
        <v>334</v>
      </c>
      <c r="L448" s="53">
        <f t="shared" si="56"/>
        <v>436</v>
      </c>
      <c r="M448" s="189">
        <v>1.58</v>
      </c>
      <c r="N448" s="186">
        <f>VLOOKUP(5471,季財報!A:M,8,0)</f>
        <v>1</v>
      </c>
    </row>
    <row r="449" spans="1:14">
      <c r="A449" s="133">
        <v>5704</v>
      </c>
      <c r="C449">
        <v>12</v>
      </c>
      <c r="D449">
        <v>136</v>
      </c>
      <c r="E449">
        <v>319</v>
      </c>
      <c r="F449">
        <v>460</v>
      </c>
      <c r="G449">
        <v>0</v>
      </c>
      <c r="H449" s="141">
        <v>0.03</v>
      </c>
      <c r="I449">
        <f t="shared" si="54"/>
        <v>466</v>
      </c>
      <c r="J449" s="137">
        <v>0.03</v>
      </c>
      <c r="K449">
        <f t="shared" si="55"/>
        <v>334</v>
      </c>
      <c r="L449" s="53">
        <f t="shared" si="56"/>
        <v>436</v>
      </c>
      <c r="M449" s="189">
        <v>1.58</v>
      </c>
      <c r="N449" s="186">
        <f>VLOOKUP(5704,季財報!A:M,8,0)</f>
        <v>1</v>
      </c>
    </row>
    <row r="450" spans="1:14">
      <c r="A450" s="133">
        <v>4706</v>
      </c>
      <c r="C450">
        <v>42</v>
      </c>
      <c r="D450">
        <v>1081</v>
      </c>
      <c r="E450">
        <v>272</v>
      </c>
      <c r="F450">
        <v>1321</v>
      </c>
      <c r="G450">
        <v>160</v>
      </c>
      <c r="H450" s="141">
        <v>0.03</v>
      </c>
      <c r="I450">
        <f t="shared" si="54"/>
        <v>466</v>
      </c>
      <c r="J450" s="137">
        <v>0.03</v>
      </c>
      <c r="K450">
        <f t="shared" si="55"/>
        <v>334</v>
      </c>
      <c r="L450" s="53">
        <f t="shared" si="56"/>
        <v>436</v>
      </c>
      <c r="M450" s="189">
        <v>1.58</v>
      </c>
      <c r="N450" s="186">
        <f>VLOOKUP(4706,季財報!A:M,8,0)</f>
        <v>4</v>
      </c>
    </row>
    <row r="451" spans="1:14">
      <c r="A451" s="133">
        <v>5536</v>
      </c>
      <c r="C451">
        <v>94</v>
      </c>
      <c r="D451">
        <v>2484</v>
      </c>
      <c r="E451">
        <v>331</v>
      </c>
      <c r="F451">
        <v>2931</v>
      </c>
      <c r="G451">
        <v>71</v>
      </c>
      <c r="H451" s="141">
        <v>0.03</v>
      </c>
      <c r="I451">
        <f t="shared" si="54"/>
        <v>466</v>
      </c>
      <c r="J451" s="137">
        <v>0.03</v>
      </c>
      <c r="K451">
        <f t="shared" si="55"/>
        <v>334</v>
      </c>
      <c r="L451" s="53">
        <f t="shared" si="56"/>
        <v>436</v>
      </c>
      <c r="M451" s="189">
        <v>1.58</v>
      </c>
      <c r="N451" s="186">
        <f>VLOOKUP(5536,季財報!A:M,8,0)</f>
        <v>2</v>
      </c>
    </row>
    <row r="452" spans="1:14">
      <c r="A452" s="133">
        <v>1213</v>
      </c>
      <c r="C452">
        <v>18</v>
      </c>
      <c r="D452">
        <v>325</v>
      </c>
      <c r="E452">
        <v>308</v>
      </c>
      <c r="F452">
        <v>692</v>
      </c>
      <c r="G452">
        <v>0</v>
      </c>
      <c r="H452" s="141">
        <v>0.03</v>
      </c>
      <c r="I452">
        <f t="shared" si="54"/>
        <v>466</v>
      </c>
      <c r="J452" s="137">
        <v>0.03</v>
      </c>
      <c r="K452">
        <f t="shared" si="55"/>
        <v>334</v>
      </c>
      <c r="L452" s="53">
        <f t="shared" si="56"/>
        <v>436</v>
      </c>
      <c r="M452" s="189">
        <v>1.58</v>
      </c>
      <c r="N452" s="186">
        <f>VLOOKUP(1213,季財報!A:M,8,0)</f>
        <v>4</v>
      </c>
    </row>
    <row r="453" spans="1:14">
      <c r="A453" s="133">
        <v>1231</v>
      </c>
      <c r="C453">
        <v>102</v>
      </c>
      <c r="D453">
        <v>892</v>
      </c>
      <c r="E453">
        <v>2872</v>
      </c>
      <c r="F453">
        <v>2726</v>
      </c>
      <c r="G453">
        <v>936</v>
      </c>
      <c r="H453" s="141">
        <v>0.03</v>
      </c>
      <c r="I453">
        <f t="shared" si="54"/>
        <v>466</v>
      </c>
      <c r="J453" s="137">
        <v>0.03</v>
      </c>
      <c r="K453">
        <f t="shared" si="55"/>
        <v>334</v>
      </c>
      <c r="L453" s="53">
        <f t="shared" si="56"/>
        <v>436</v>
      </c>
      <c r="M453" s="189">
        <v>1.58</v>
      </c>
      <c r="N453" s="186">
        <f>VLOOKUP(1231,季財報!A:M,8,0)</f>
        <v>1</v>
      </c>
    </row>
    <row r="454" spans="1:14">
      <c r="A454" s="133">
        <v>1233</v>
      </c>
      <c r="C454">
        <v>39</v>
      </c>
      <c r="D454">
        <v>256</v>
      </c>
      <c r="E454">
        <v>987</v>
      </c>
      <c r="F454">
        <v>1381</v>
      </c>
      <c r="G454">
        <v>104</v>
      </c>
      <c r="H454" s="141">
        <v>0.03</v>
      </c>
      <c r="I454">
        <f t="shared" si="54"/>
        <v>466</v>
      </c>
      <c r="J454" s="137">
        <v>0.03</v>
      </c>
      <c r="K454">
        <f t="shared" si="55"/>
        <v>334</v>
      </c>
      <c r="L454" s="53">
        <f t="shared" si="56"/>
        <v>436</v>
      </c>
      <c r="M454" s="189">
        <v>1.46</v>
      </c>
      <c r="N454" s="186">
        <f>VLOOKUP(1233,季財報!A:M,8,0)</f>
        <v>3</v>
      </c>
    </row>
    <row r="455" spans="1:14">
      <c r="A455" s="133">
        <v>1526</v>
      </c>
      <c r="C455">
        <v>24</v>
      </c>
      <c r="D455">
        <v>399</v>
      </c>
      <c r="E455">
        <v>414</v>
      </c>
      <c r="F455">
        <v>614</v>
      </c>
      <c r="G455">
        <v>212</v>
      </c>
      <c r="H455" s="141">
        <v>0.03</v>
      </c>
      <c r="I455">
        <f t="shared" si="54"/>
        <v>466</v>
      </c>
      <c r="J455" s="137">
        <v>0.03</v>
      </c>
      <c r="K455">
        <f t="shared" si="55"/>
        <v>334</v>
      </c>
      <c r="L455" s="53">
        <f t="shared" si="56"/>
        <v>436</v>
      </c>
      <c r="M455" s="189">
        <v>1.46</v>
      </c>
      <c r="N455" s="186">
        <f>VLOOKUP(1526,季財報!A:M,8,0)</f>
        <v>3</v>
      </c>
    </row>
    <row r="456" spans="1:14">
      <c r="A456" s="133">
        <v>1589</v>
      </c>
      <c r="C456">
        <v>341</v>
      </c>
      <c r="D456">
        <v>6334</v>
      </c>
      <c r="E456">
        <v>5039</v>
      </c>
      <c r="F456">
        <v>9503</v>
      </c>
      <c r="G456">
        <v>389</v>
      </c>
      <c r="H456" s="141">
        <v>0.03</v>
      </c>
      <c r="I456">
        <f t="shared" si="54"/>
        <v>466</v>
      </c>
      <c r="J456" s="137">
        <v>0.03</v>
      </c>
      <c r="K456">
        <f t="shared" si="55"/>
        <v>334</v>
      </c>
      <c r="L456" s="53">
        <f t="shared" si="56"/>
        <v>436</v>
      </c>
      <c r="M456" s="189">
        <v>1.46</v>
      </c>
      <c r="N456" s="186">
        <f>VLOOKUP(1589,季財報!A:M,8,0)</f>
        <v>4</v>
      </c>
    </row>
    <row r="457" spans="1:14">
      <c r="A457" s="133">
        <v>2115</v>
      </c>
      <c r="C457">
        <v>62</v>
      </c>
      <c r="D457">
        <v>1699</v>
      </c>
      <c r="E457">
        <v>605</v>
      </c>
      <c r="F457">
        <v>2035</v>
      </c>
      <c r="G457">
        <v>181</v>
      </c>
      <c r="H457" s="141">
        <v>0.03</v>
      </c>
      <c r="I457">
        <f t="shared" si="54"/>
        <v>466</v>
      </c>
      <c r="J457" s="137">
        <v>0.03</v>
      </c>
      <c r="K457">
        <f t="shared" si="55"/>
        <v>334</v>
      </c>
      <c r="L457" s="53">
        <f t="shared" si="56"/>
        <v>436</v>
      </c>
      <c r="M457" s="189">
        <v>1.46</v>
      </c>
      <c r="N457" s="186">
        <f>VLOOKUP(2115,季財報!A:M,8,0)</f>
        <v>3</v>
      </c>
    </row>
    <row r="458" spans="1:14">
      <c r="A458" s="133">
        <v>2351</v>
      </c>
      <c r="C458">
        <v>200</v>
      </c>
      <c r="D458">
        <v>2243</v>
      </c>
      <c r="E458">
        <v>4603</v>
      </c>
      <c r="F458">
        <v>5031</v>
      </c>
      <c r="G458">
        <v>1668</v>
      </c>
      <c r="H458" s="141">
        <v>0.03</v>
      </c>
      <c r="I458">
        <f t="shared" si="54"/>
        <v>466</v>
      </c>
      <c r="J458" s="137">
        <v>0.03</v>
      </c>
      <c r="K458">
        <f t="shared" si="55"/>
        <v>334</v>
      </c>
      <c r="L458" s="53">
        <f t="shared" si="56"/>
        <v>436</v>
      </c>
      <c r="M458" s="189">
        <v>1.38</v>
      </c>
      <c r="N458" s="186">
        <f>VLOOKUP(2351,季財報!A:M,8,0)</f>
        <v>2</v>
      </c>
    </row>
    <row r="459" spans="1:14">
      <c r="A459" s="133">
        <v>2376</v>
      </c>
      <c r="C459">
        <v>643</v>
      </c>
      <c r="D459">
        <v>17430</v>
      </c>
      <c r="E459">
        <v>4074</v>
      </c>
      <c r="F459">
        <v>22502</v>
      </c>
      <c r="G459">
        <v>71</v>
      </c>
      <c r="H459" s="141">
        <v>0.03</v>
      </c>
      <c r="I459">
        <f t="shared" si="54"/>
        <v>466</v>
      </c>
      <c r="J459" s="137">
        <v>0.03</v>
      </c>
      <c r="K459">
        <f t="shared" si="55"/>
        <v>334</v>
      </c>
      <c r="L459" s="53">
        <f t="shared" si="56"/>
        <v>436</v>
      </c>
      <c r="M459" s="189">
        <v>1.36</v>
      </c>
      <c r="N459" s="186">
        <f>VLOOKUP(2376,季財報!A:M,8,0)</f>
        <v>4</v>
      </c>
    </row>
    <row r="460" spans="1:14">
      <c r="A460" s="133">
        <v>2444</v>
      </c>
      <c r="C460">
        <v>27</v>
      </c>
      <c r="D460">
        <v>467</v>
      </c>
      <c r="E460">
        <v>452</v>
      </c>
      <c r="F460">
        <v>845</v>
      </c>
      <c r="G460">
        <v>101</v>
      </c>
      <c r="H460" s="141">
        <v>0.03</v>
      </c>
      <c r="I460">
        <f t="shared" si="54"/>
        <v>466</v>
      </c>
      <c r="J460" s="137">
        <v>0.03</v>
      </c>
      <c r="K460">
        <f t="shared" si="55"/>
        <v>334</v>
      </c>
      <c r="L460" s="53">
        <f t="shared" si="56"/>
        <v>436</v>
      </c>
      <c r="M460" s="189">
        <v>1.36</v>
      </c>
      <c r="N460" s="186">
        <f>VLOOKUP(2444,季財報!A:M,8,0)</f>
        <v>4</v>
      </c>
    </row>
    <row r="461" spans="1:14">
      <c r="A461" s="133">
        <v>2451</v>
      </c>
      <c r="C461">
        <v>635</v>
      </c>
      <c r="D461">
        <v>16088</v>
      </c>
      <c r="E461">
        <v>3084</v>
      </c>
      <c r="F461">
        <v>19754</v>
      </c>
      <c r="G461">
        <v>411</v>
      </c>
      <c r="H461" s="141">
        <v>0.03</v>
      </c>
      <c r="I461">
        <f t="shared" si="54"/>
        <v>466</v>
      </c>
      <c r="J461" s="137">
        <v>0.03</v>
      </c>
      <c r="K461">
        <f t="shared" si="55"/>
        <v>334</v>
      </c>
      <c r="L461" s="53">
        <f t="shared" si="56"/>
        <v>436</v>
      </c>
      <c r="M461" s="189">
        <v>1.36</v>
      </c>
      <c r="N461" s="186">
        <f>VLOOKUP(2451,季財報!A:M,8,0)</f>
        <v>3</v>
      </c>
    </row>
    <row r="462" spans="1:14">
      <c r="A462" s="133">
        <v>2456</v>
      </c>
      <c r="C462">
        <v>162</v>
      </c>
      <c r="D462">
        <v>1617</v>
      </c>
      <c r="E462">
        <v>3813</v>
      </c>
      <c r="F462">
        <v>3779</v>
      </c>
      <c r="G462">
        <v>1131</v>
      </c>
      <c r="H462" s="141">
        <v>0.03</v>
      </c>
      <c r="I462">
        <f t="shared" si="54"/>
        <v>466</v>
      </c>
      <c r="J462" s="137">
        <v>0.03</v>
      </c>
      <c r="K462">
        <f t="shared" si="55"/>
        <v>334</v>
      </c>
      <c r="L462" s="53">
        <f t="shared" si="56"/>
        <v>436</v>
      </c>
      <c r="M462" s="189">
        <v>1.36</v>
      </c>
      <c r="N462" s="186">
        <f>VLOOKUP(2456,季財報!A:M,8,0)</f>
        <v>4</v>
      </c>
    </row>
    <row r="463" spans="1:14">
      <c r="A463" s="133">
        <v>2458</v>
      </c>
      <c r="C463">
        <v>197</v>
      </c>
      <c r="D463">
        <v>5117</v>
      </c>
      <c r="E463">
        <v>629</v>
      </c>
      <c r="F463">
        <v>6877</v>
      </c>
      <c r="G463">
        <v>46</v>
      </c>
      <c r="H463" s="141">
        <v>0.03</v>
      </c>
      <c r="I463">
        <f t="shared" si="54"/>
        <v>466</v>
      </c>
      <c r="J463" s="137">
        <v>0.03</v>
      </c>
      <c r="K463">
        <f t="shared" si="55"/>
        <v>334</v>
      </c>
      <c r="L463" s="53">
        <f t="shared" si="56"/>
        <v>436</v>
      </c>
      <c r="M463" s="189">
        <v>1.36</v>
      </c>
      <c r="N463" s="186">
        <f>VLOOKUP(2458,季財報!A:M,8,0)</f>
        <v>2</v>
      </c>
    </row>
    <row r="464" spans="1:14">
      <c r="A464" s="133">
        <v>2476</v>
      </c>
      <c r="C464">
        <v>163</v>
      </c>
      <c r="D464">
        <v>3591</v>
      </c>
      <c r="E464">
        <v>1587</v>
      </c>
      <c r="F464">
        <v>5135</v>
      </c>
      <c r="G464">
        <v>230</v>
      </c>
      <c r="H464" s="141">
        <v>0.03</v>
      </c>
      <c r="I464">
        <f t="shared" si="54"/>
        <v>466</v>
      </c>
      <c r="J464" s="137">
        <v>0.03</v>
      </c>
      <c r="K464">
        <f t="shared" si="55"/>
        <v>334</v>
      </c>
      <c r="L464" s="53">
        <f t="shared" si="56"/>
        <v>436</v>
      </c>
      <c r="M464" s="189">
        <v>1.36</v>
      </c>
      <c r="N464" s="186">
        <f>VLOOKUP(2476,季財報!A:M,8,0)</f>
        <v>3</v>
      </c>
    </row>
    <row r="465" spans="1:14">
      <c r="A465" s="133">
        <v>2535</v>
      </c>
      <c r="C465">
        <v>180</v>
      </c>
      <c r="D465">
        <v>5943</v>
      </c>
      <c r="E465">
        <v>463</v>
      </c>
      <c r="F465">
        <v>4597</v>
      </c>
      <c r="G465">
        <v>1115</v>
      </c>
      <c r="H465" s="141">
        <v>0.03</v>
      </c>
      <c r="I465">
        <f t="shared" si="54"/>
        <v>466</v>
      </c>
      <c r="J465" s="137">
        <v>0.03</v>
      </c>
      <c r="K465">
        <f t="shared" si="55"/>
        <v>334</v>
      </c>
      <c r="L465" s="53">
        <f t="shared" si="56"/>
        <v>436</v>
      </c>
      <c r="M465" s="189">
        <v>1.36</v>
      </c>
      <c r="N465" s="186">
        <f>VLOOKUP(2535,季財報!A:M,8,0)</f>
        <v>3</v>
      </c>
    </row>
    <row r="466" spans="1:14">
      <c r="A466" s="133">
        <v>2901</v>
      </c>
      <c r="C466">
        <v>24</v>
      </c>
      <c r="D466">
        <v>331</v>
      </c>
      <c r="E466">
        <v>451</v>
      </c>
      <c r="F466">
        <v>863</v>
      </c>
      <c r="G466">
        <v>0</v>
      </c>
      <c r="H466" s="141">
        <v>0.03</v>
      </c>
      <c r="I466">
        <f t="shared" si="54"/>
        <v>466</v>
      </c>
      <c r="J466" s="137">
        <v>0.03</v>
      </c>
      <c r="K466">
        <f t="shared" si="55"/>
        <v>334</v>
      </c>
      <c r="L466" s="53">
        <f t="shared" si="56"/>
        <v>436</v>
      </c>
      <c r="M466" s="189">
        <v>1.36</v>
      </c>
      <c r="N466" s="186">
        <f>VLOOKUP(2901,季財報!A:M,8,0)</f>
        <v>3</v>
      </c>
    </row>
    <row r="467" spans="1:14">
      <c r="A467" s="133">
        <v>2904</v>
      </c>
      <c r="C467">
        <v>29</v>
      </c>
      <c r="D467">
        <v>624</v>
      </c>
      <c r="E467">
        <v>250</v>
      </c>
      <c r="F467">
        <v>943</v>
      </c>
      <c r="G467">
        <v>0</v>
      </c>
      <c r="H467" s="141">
        <v>0.03</v>
      </c>
      <c r="I467">
        <f t="shared" si="54"/>
        <v>466</v>
      </c>
      <c r="J467" s="137">
        <v>0.03</v>
      </c>
      <c r="K467">
        <f t="shared" si="55"/>
        <v>334</v>
      </c>
      <c r="L467" s="53">
        <f t="shared" si="56"/>
        <v>436</v>
      </c>
      <c r="M467" s="189">
        <v>1.36</v>
      </c>
      <c r="N467" s="186">
        <f>VLOOKUP(2904,季財報!A:M,8,0)</f>
        <v>3</v>
      </c>
    </row>
    <row r="468" spans="1:14">
      <c r="A468" s="133">
        <v>3003</v>
      </c>
      <c r="C468">
        <v>121</v>
      </c>
      <c r="D468">
        <v>3179</v>
      </c>
      <c r="E468">
        <v>1095</v>
      </c>
      <c r="F468">
        <v>4071</v>
      </c>
      <c r="G468">
        <v>467</v>
      </c>
      <c r="H468" s="141">
        <v>0.03</v>
      </c>
      <c r="I468">
        <f t="shared" si="54"/>
        <v>466</v>
      </c>
      <c r="J468" s="137">
        <v>0.03</v>
      </c>
      <c r="K468">
        <f t="shared" si="55"/>
        <v>334</v>
      </c>
      <c r="L468" s="53">
        <f t="shared" si="56"/>
        <v>436</v>
      </c>
      <c r="M468" s="189">
        <v>1.36</v>
      </c>
      <c r="N468" s="186">
        <f>VLOOKUP(3003,季財報!A:M,8,0)</f>
        <v>2</v>
      </c>
    </row>
    <row r="469" spans="1:14">
      <c r="A469" s="133">
        <v>3017</v>
      </c>
      <c r="C469">
        <v>321</v>
      </c>
      <c r="D469">
        <v>4690</v>
      </c>
      <c r="E469">
        <v>5140</v>
      </c>
      <c r="F469">
        <v>8867</v>
      </c>
      <c r="G469">
        <v>2950</v>
      </c>
      <c r="H469" s="141">
        <v>0.03</v>
      </c>
      <c r="I469">
        <f t="shared" ref="I469:I500" si="57">RANK(0.03,H:H,0)</f>
        <v>466</v>
      </c>
      <c r="J469" s="137">
        <v>0.03</v>
      </c>
      <c r="K469">
        <f t="shared" ref="K469:K500" si="58">RANK(0.03,J:J,0)</f>
        <v>334</v>
      </c>
      <c r="L469" s="53">
        <f t="shared" ref="L469:L500" si="59">RANK(1.9,M:M,0)</f>
        <v>436</v>
      </c>
      <c r="M469" s="189">
        <v>1.36</v>
      </c>
      <c r="N469" s="186">
        <f>VLOOKUP(3017,季財報!A:M,8,0)</f>
        <v>3</v>
      </c>
    </row>
    <row r="470" spans="1:14">
      <c r="A470" s="133">
        <v>3029</v>
      </c>
      <c r="C470">
        <v>61</v>
      </c>
      <c r="D470">
        <v>1458</v>
      </c>
      <c r="E470">
        <v>309</v>
      </c>
      <c r="F470">
        <v>1868</v>
      </c>
      <c r="G470">
        <v>52</v>
      </c>
      <c r="H470" s="141">
        <v>0.03</v>
      </c>
      <c r="I470">
        <f t="shared" si="57"/>
        <v>466</v>
      </c>
      <c r="J470" s="137">
        <v>0.03</v>
      </c>
      <c r="K470">
        <f t="shared" si="58"/>
        <v>334</v>
      </c>
      <c r="L470" s="53">
        <f t="shared" si="59"/>
        <v>436</v>
      </c>
      <c r="M470" s="189">
        <v>1.36</v>
      </c>
      <c r="N470" s="186">
        <f>VLOOKUP(3029,季財報!A:M,8,0)</f>
        <v>2</v>
      </c>
    </row>
    <row r="471" spans="1:14">
      <c r="A471" s="133">
        <v>3093</v>
      </c>
      <c r="C471">
        <v>23</v>
      </c>
      <c r="D471">
        <v>620</v>
      </c>
      <c r="E471">
        <v>262</v>
      </c>
      <c r="F471">
        <v>914</v>
      </c>
      <c r="G471">
        <v>0</v>
      </c>
      <c r="H471" s="141">
        <v>0.03</v>
      </c>
      <c r="I471">
        <f t="shared" si="57"/>
        <v>466</v>
      </c>
      <c r="J471" s="137">
        <v>0.03</v>
      </c>
      <c r="K471">
        <f t="shared" si="58"/>
        <v>334</v>
      </c>
      <c r="L471" s="53">
        <f t="shared" si="59"/>
        <v>436</v>
      </c>
      <c r="M471" s="189">
        <v>1.36</v>
      </c>
      <c r="N471" s="186">
        <f>VLOOKUP(3093,季財報!A:M,8,0)</f>
        <v>4</v>
      </c>
    </row>
    <row r="472" spans="1:14">
      <c r="A472" s="133">
        <v>3171</v>
      </c>
      <c r="C472">
        <v>24</v>
      </c>
      <c r="D472">
        <v>372</v>
      </c>
      <c r="E472">
        <v>402</v>
      </c>
      <c r="F472">
        <v>610</v>
      </c>
      <c r="G472">
        <v>180</v>
      </c>
      <c r="H472" s="141">
        <v>0.03</v>
      </c>
      <c r="I472">
        <f t="shared" si="57"/>
        <v>466</v>
      </c>
      <c r="J472" s="137">
        <v>0.03</v>
      </c>
      <c r="K472">
        <f t="shared" si="58"/>
        <v>334</v>
      </c>
      <c r="L472" s="53">
        <f t="shared" si="59"/>
        <v>436</v>
      </c>
      <c r="M472" s="189">
        <v>1.36</v>
      </c>
      <c r="N472" s="186">
        <f>VLOOKUP(3171,季財報!A:M,8,0)</f>
        <v>3</v>
      </c>
    </row>
    <row r="473" spans="1:14">
      <c r="A473" s="133">
        <v>3189</v>
      </c>
      <c r="C473">
        <v>869</v>
      </c>
      <c r="D473">
        <v>12387</v>
      </c>
      <c r="E473">
        <v>15781</v>
      </c>
      <c r="F473">
        <v>30077</v>
      </c>
      <c r="G473">
        <v>4182</v>
      </c>
      <c r="H473" s="141">
        <v>0.03</v>
      </c>
      <c r="I473">
        <f t="shared" si="57"/>
        <v>466</v>
      </c>
      <c r="J473" s="137">
        <v>0.03</v>
      </c>
      <c r="K473">
        <f t="shared" si="58"/>
        <v>334</v>
      </c>
      <c r="L473" s="53">
        <f t="shared" si="59"/>
        <v>436</v>
      </c>
      <c r="M473" s="189">
        <v>1.36</v>
      </c>
      <c r="N473" s="186">
        <f>VLOOKUP(3189,季財報!A:M,8,0)</f>
        <v>2</v>
      </c>
    </row>
    <row r="474" spans="1:14">
      <c r="A474" s="133">
        <v>3303</v>
      </c>
      <c r="C474">
        <v>62</v>
      </c>
      <c r="D474">
        <v>644</v>
      </c>
      <c r="E474">
        <v>1375</v>
      </c>
      <c r="F474">
        <v>1754</v>
      </c>
      <c r="G474">
        <v>432</v>
      </c>
      <c r="H474" s="141">
        <v>0.03</v>
      </c>
      <c r="I474">
        <f t="shared" si="57"/>
        <v>466</v>
      </c>
      <c r="J474" s="137">
        <v>0.03</v>
      </c>
      <c r="K474">
        <f t="shared" si="58"/>
        <v>334</v>
      </c>
      <c r="L474" s="53">
        <f t="shared" si="59"/>
        <v>436</v>
      </c>
      <c r="M474" s="189">
        <v>1.36</v>
      </c>
      <c r="N474" s="186">
        <f>VLOOKUP(3303,季財報!A:M,8,0)</f>
        <v>5</v>
      </c>
    </row>
    <row r="475" spans="1:14">
      <c r="A475" s="133">
        <v>3338</v>
      </c>
      <c r="C475">
        <v>36</v>
      </c>
      <c r="D475">
        <v>861</v>
      </c>
      <c r="E475">
        <v>369</v>
      </c>
      <c r="F475">
        <v>1059</v>
      </c>
      <c r="G475">
        <v>43</v>
      </c>
      <c r="H475" s="141">
        <v>0.03</v>
      </c>
      <c r="I475">
        <f t="shared" si="57"/>
        <v>466</v>
      </c>
      <c r="J475" s="137">
        <v>0.03</v>
      </c>
      <c r="K475">
        <f t="shared" si="58"/>
        <v>334</v>
      </c>
      <c r="L475" s="53">
        <f t="shared" si="59"/>
        <v>436</v>
      </c>
      <c r="M475" s="189">
        <v>1.36</v>
      </c>
      <c r="N475" s="186">
        <f>VLOOKUP(3338,季財報!A:M,8,0)</f>
        <v>5</v>
      </c>
    </row>
    <row r="476" spans="1:14">
      <c r="A476" s="133">
        <v>3388</v>
      </c>
      <c r="C476">
        <v>102</v>
      </c>
      <c r="D476">
        <v>2869</v>
      </c>
      <c r="E476">
        <v>89</v>
      </c>
      <c r="F476">
        <v>3103</v>
      </c>
      <c r="G476">
        <v>85</v>
      </c>
      <c r="H476" s="141">
        <v>0.03</v>
      </c>
      <c r="I476">
        <f t="shared" si="57"/>
        <v>466</v>
      </c>
      <c r="J476" s="137">
        <v>0.03</v>
      </c>
      <c r="K476">
        <f t="shared" si="58"/>
        <v>334</v>
      </c>
      <c r="L476" s="53">
        <f t="shared" si="59"/>
        <v>436</v>
      </c>
      <c r="M476" s="189">
        <v>1.36</v>
      </c>
      <c r="N476" s="186">
        <f>VLOOKUP(3388,季財報!A:M,8,0)</f>
        <v>2</v>
      </c>
    </row>
    <row r="477" spans="1:14">
      <c r="A477" s="133">
        <v>3474</v>
      </c>
      <c r="C477">
        <v>3932</v>
      </c>
      <c r="D477">
        <v>32308</v>
      </c>
      <c r="E477">
        <v>97977</v>
      </c>
      <c r="F477">
        <v>134453</v>
      </c>
      <c r="G477">
        <v>5000</v>
      </c>
      <c r="H477" s="141">
        <v>0.03</v>
      </c>
      <c r="I477">
        <f t="shared" si="57"/>
        <v>466</v>
      </c>
      <c r="J477" s="137">
        <v>0.03</v>
      </c>
      <c r="K477">
        <f t="shared" si="58"/>
        <v>334</v>
      </c>
      <c r="L477" s="53">
        <f t="shared" si="59"/>
        <v>436</v>
      </c>
      <c r="M477" s="189">
        <v>1.36</v>
      </c>
      <c r="N477" s="186">
        <f>VLOOKUP(3474,季財報!A:M,8,0)</f>
        <v>3</v>
      </c>
    </row>
    <row r="478" spans="1:14">
      <c r="A478" s="133">
        <v>3548</v>
      </c>
      <c r="C478">
        <v>75</v>
      </c>
      <c r="D478">
        <v>1006</v>
      </c>
      <c r="E478">
        <v>1511</v>
      </c>
      <c r="F478">
        <v>2620</v>
      </c>
      <c r="G478">
        <v>89</v>
      </c>
      <c r="H478" s="141">
        <v>0.03</v>
      </c>
      <c r="I478">
        <f t="shared" si="57"/>
        <v>466</v>
      </c>
      <c r="J478" s="137">
        <v>0.03</v>
      </c>
      <c r="K478">
        <f t="shared" si="58"/>
        <v>334</v>
      </c>
      <c r="L478" s="53">
        <f t="shared" si="59"/>
        <v>436</v>
      </c>
      <c r="M478" s="189">
        <v>1.36</v>
      </c>
      <c r="N478" s="186">
        <f>VLOOKUP(3548,季財報!A:M,8,0)</f>
        <v>4</v>
      </c>
    </row>
    <row r="479" spans="1:14">
      <c r="A479" s="133">
        <v>3567</v>
      </c>
      <c r="C479">
        <v>14</v>
      </c>
      <c r="D479">
        <v>178</v>
      </c>
      <c r="E479">
        <v>248</v>
      </c>
      <c r="F479">
        <v>470</v>
      </c>
      <c r="G479">
        <v>2</v>
      </c>
      <c r="H479" s="141">
        <v>0.03</v>
      </c>
      <c r="I479">
        <f t="shared" si="57"/>
        <v>466</v>
      </c>
      <c r="J479" s="137">
        <v>0.03</v>
      </c>
      <c r="K479">
        <f t="shared" si="58"/>
        <v>334</v>
      </c>
      <c r="L479" s="53">
        <f t="shared" si="59"/>
        <v>436</v>
      </c>
      <c r="M479" s="189">
        <v>1.36</v>
      </c>
      <c r="N479" s="186">
        <f>VLOOKUP(3567,季財報!A:M,8,0)</f>
        <v>3</v>
      </c>
    </row>
    <row r="480" spans="1:14">
      <c r="A480" s="133">
        <v>3577</v>
      </c>
      <c r="C480">
        <v>23</v>
      </c>
      <c r="D480">
        <v>291</v>
      </c>
      <c r="E480">
        <v>556</v>
      </c>
      <c r="F480">
        <v>820</v>
      </c>
      <c r="G480">
        <v>36</v>
      </c>
      <c r="H480" s="141">
        <v>0.03</v>
      </c>
      <c r="I480">
        <f t="shared" si="57"/>
        <v>466</v>
      </c>
      <c r="J480" s="137">
        <v>0.03</v>
      </c>
      <c r="K480">
        <f t="shared" si="58"/>
        <v>334</v>
      </c>
      <c r="L480" s="53">
        <f t="shared" si="59"/>
        <v>436</v>
      </c>
      <c r="M480" s="189">
        <v>1.36</v>
      </c>
      <c r="N480" s="186">
        <f>VLOOKUP(3577,季財報!A:M,8,0)</f>
        <v>2</v>
      </c>
    </row>
    <row r="481" spans="1:14">
      <c r="A481" s="133">
        <v>3607</v>
      </c>
      <c r="C481">
        <v>231</v>
      </c>
      <c r="D481">
        <v>4152</v>
      </c>
      <c r="E481">
        <v>4436</v>
      </c>
      <c r="F481">
        <v>7763</v>
      </c>
      <c r="G481">
        <v>189</v>
      </c>
      <c r="H481" s="141">
        <v>0.03</v>
      </c>
      <c r="I481">
        <f t="shared" si="57"/>
        <v>466</v>
      </c>
      <c r="J481" s="137">
        <v>0.03</v>
      </c>
      <c r="K481">
        <f t="shared" si="58"/>
        <v>334</v>
      </c>
      <c r="L481" s="53">
        <f t="shared" si="59"/>
        <v>436</v>
      </c>
      <c r="M481" s="189">
        <v>1.36</v>
      </c>
      <c r="N481" s="186">
        <f>VLOOKUP(3607,季財報!A:M,8,0)</f>
        <v>2</v>
      </c>
    </row>
    <row r="482" spans="1:14">
      <c r="A482" s="133">
        <v>3645</v>
      </c>
      <c r="C482">
        <v>74</v>
      </c>
      <c r="D482">
        <v>572</v>
      </c>
      <c r="E482">
        <v>2220</v>
      </c>
      <c r="F482">
        <v>2006</v>
      </c>
      <c r="G482">
        <v>395</v>
      </c>
      <c r="H482" s="141">
        <v>0.03</v>
      </c>
      <c r="I482">
        <f t="shared" si="57"/>
        <v>466</v>
      </c>
      <c r="J482" s="137">
        <v>0.03</v>
      </c>
      <c r="K482">
        <f t="shared" si="58"/>
        <v>334</v>
      </c>
      <c r="L482" s="53">
        <f t="shared" si="59"/>
        <v>436</v>
      </c>
      <c r="M482" s="189">
        <v>1.36</v>
      </c>
      <c r="N482" s="186">
        <f>VLOOKUP(3645,季財報!A:M,8,0)</f>
        <v>2</v>
      </c>
    </row>
    <row r="483" spans="1:14">
      <c r="A483" s="133">
        <v>3675</v>
      </c>
      <c r="C483">
        <v>25</v>
      </c>
      <c r="D483">
        <v>468</v>
      </c>
      <c r="E483">
        <v>425</v>
      </c>
      <c r="F483">
        <v>934</v>
      </c>
      <c r="G483">
        <v>9</v>
      </c>
      <c r="H483" s="141">
        <v>0.03</v>
      </c>
      <c r="I483">
        <f t="shared" si="57"/>
        <v>466</v>
      </c>
      <c r="J483" s="137">
        <v>0.03</v>
      </c>
      <c r="K483">
        <f t="shared" si="58"/>
        <v>334</v>
      </c>
      <c r="L483" s="53">
        <f t="shared" si="59"/>
        <v>436</v>
      </c>
      <c r="M483" s="189">
        <v>1.36</v>
      </c>
      <c r="N483" s="186">
        <f>VLOOKUP(3675,季財報!A:M,8,0)</f>
        <v>4</v>
      </c>
    </row>
    <row r="484" spans="1:14">
      <c r="A484" s="133">
        <v>9958</v>
      </c>
      <c r="C484">
        <v>105</v>
      </c>
      <c r="D484">
        <v>1955</v>
      </c>
      <c r="E484">
        <v>2060</v>
      </c>
      <c r="F484">
        <v>2433</v>
      </c>
      <c r="G484">
        <v>839</v>
      </c>
      <c r="H484" s="141">
        <v>0.03</v>
      </c>
      <c r="I484">
        <f t="shared" si="57"/>
        <v>466</v>
      </c>
      <c r="J484" s="137">
        <v>0.03</v>
      </c>
      <c r="K484">
        <f t="shared" si="58"/>
        <v>334</v>
      </c>
      <c r="L484" s="53">
        <f t="shared" si="59"/>
        <v>436</v>
      </c>
      <c r="M484" s="189">
        <v>1.36</v>
      </c>
      <c r="N484" s="186">
        <f>VLOOKUP(9958,季財報!A:M,8,0)</f>
        <v>4</v>
      </c>
    </row>
    <row r="485" spans="1:14">
      <c r="A485" s="133">
        <v>8349</v>
      </c>
      <c r="C485">
        <v>183</v>
      </c>
      <c r="D485">
        <v>1760</v>
      </c>
      <c r="E485">
        <v>3858</v>
      </c>
      <c r="F485">
        <v>4249</v>
      </c>
      <c r="G485">
        <v>2488</v>
      </c>
      <c r="H485" s="141">
        <v>0.03</v>
      </c>
      <c r="I485">
        <f t="shared" si="57"/>
        <v>466</v>
      </c>
      <c r="J485" s="137">
        <v>0.03</v>
      </c>
      <c r="K485">
        <f t="shared" si="58"/>
        <v>334</v>
      </c>
      <c r="L485" s="53">
        <f t="shared" si="59"/>
        <v>436</v>
      </c>
      <c r="M485" s="189">
        <v>1.36</v>
      </c>
      <c r="N485" s="186">
        <f>VLOOKUP(8349,季財報!A:M,8,0)</f>
        <v>1</v>
      </c>
    </row>
    <row r="486" spans="1:14">
      <c r="A486" s="133">
        <v>8420</v>
      </c>
      <c r="C486">
        <v>22</v>
      </c>
      <c r="D486">
        <v>189</v>
      </c>
      <c r="E486">
        <v>520</v>
      </c>
      <c r="F486">
        <v>739</v>
      </c>
      <c r="G486">
        <v>50</v>
      </c>
      <c r="H486" s="141">
        <v>0.03</v>
      </c>
      <c r="I486">
        <f t="shared" si="57"/>
        <v>466</v>
      </c>
      <c r="J486" s="137">
        <v>0.03</v>
      </c>
      <c r="K486">
        <f t="shared" si="58"/>
        <v>334</v>
      </c>
      <c r="L486" s="53">
        <f t="shared" si="59"/>
        <v>436</v>
      </c>
      <c r="M486" s="189">
        <v>1.36</v>
      </c>
      <c r="N486" s="186">
        <f>VLOOKUP(8420,季財報!A:M,8,0)</f>
        <v>2</v>
      </c>
    </row>
    <row r="487" spans="1:14">
      <c r="A487" s="133">
        <v>8444</v>
      </c>
      <c r="C487">
        <v>78</v>
      </c>
      <c r="D487">
        <v>0</v>
      </c>
      <c r="E487">
        <v>3050</v>
      </c>
      <c r="F487">
        <v>1645</v>
      </c>
      <c r="G487">
        <v>666</v>
      </c>
      <c r="H487" s="141">
        <v>0.03</v>
      </c>
      <c r="I487">
        <f t="shared" si="57"/>
        <v>466</v>
      </c>
      <c r="J487" s="137">
        <v>0.03</v>
      </c>
      <c r="K487">
        <f t="shared" si="58"/>
        <v>334</v>
      </c>
      <c r="L487" s="53">
        <f t="shared" si="59"/>
        <v>436</v>
      </c>
      <c r="M487" s="189">
        <v>1.36</v>
      </c>
      <c r="N487" s="186">
        <f>VLOOKUP(8444,季財報!A:M,8,0)</f>
        <v>2</v>
      </c>
    </row>
    <row r="488" spans="1:14">
      <c r="A488" s="133">
        <v>6168</v>
      </c>
      <c r="C488">
        <v>83</v>
      </c>
      <c r="D488">
        <v>2019</v>
      </c>
      <c r="E488">
        <v>854</v>
      </c>
      <c r="F488">
        <v>2704</v>
      </c>
      <c r="G488">
        <v>34</v>
      </c>
      <c r="H488" s="141">
        <v>0.03</v>
      </c>
      <c r="I488">
        <f t="shared" si="57"/>
        <v>466</v>
      </c>
      <c r="J488" s="137">
        <v>0.03</v>
      </c>
      <c r="K488">
        <f t="shared" si="58"/>
        <v>334</v>
      </c>
      <c r="L488" s="53">
        <f t="shared" si="59"/>
        <v>436</v>
      </c>
      <c r="M488" s="189">
        <v>1.36</v>
      </c>
      <c r="N488" s="186">
        <f>VLOOKUP(6168,季財報!A:M,8,0)</f>
        <v>5</v>
      </c>
    </row>
    <row r="489" spans="1:14">
      <c r="A489" s="133">
        <v>8042</v>
      </c>
      <c r="C489">
        <v>114</v>
      </c>
      <c r="D489">
        <v>2055</v>
      </c>
      <c r="E489">
        <v>1215</v>
      </c>
      <c r="F489">
        <v>3645</v>
      </c>
      <c r="G489">
        <v>863</v>
      </c>
      <c r="H489" s="141">
        <v>0.03</v>
      </c>
      <c r="I489">
        <f t="shared" si="57"/>
        <v>466</v>
      </c>
      <c r="J489" s="137">
        <v>0.03</v>
      </c>
      <c r="K489">
        <f t="shared" si="58"/>
        <v>334</v>
      </c>
      <c r="L489" s="53">
        <f t="shared" si="59"/>
        <v>436</v>
      </c>
      <c r="M489" s="189">
        <v>1.36</v>
      </c>
      <c r="N489" s="186">
        <f>VLOOKUP(8042,季財報!A:M,8,0)</f>
        <v>2</v>
      </c>
    </row>
    <row r="490" spans="1:14">
      <c r="A490" s="133">
        <v>6187</v>
      </c>
      <c r="C490">
        <v>45</v>
      </c>
      <c r="D490">
        <v>1153</v>
      </c>
      <c r="E490">
        <v>374</v>
      </c>
      <c r="F490">
        <v>1757</v>
      </c>
      <c r="G490">
        <v>14</v>
      </c>
      <c r="H490" s="141">
        <v>0.03</v>
      </c>
      <c r="I490">
        <f t="shared" si="57"/>
        <v>466</v>
      </c>
      <c r="J490" s="137">
        <v>0.03</v>
      </c>
      <c r="K490">
        <f t="shared" si="58"/>
        <v>334</v>
      </c>
      <c r="L490" s="53">
        <f t="shared" si="59"/>
        <v>436</v>
      </c>
      <c r="M490" s="189">
        <v>1.36</v>
      </c>
      <c r="N490" s="186">
        <f>VLOOKUP(6187,季財報!A:M,8,0)</f>
        <v>1</v>
      </c>
    </row>
    <row r="491" spans="1:14">
      <c r="A491" s="133">
        <v>6203</v>
      </c>
      <c r="C491">
        <v>41</v>
      </c>
      <c r="D491">
        <v>1275</v>
      </c>
      <c r="E491">
        <v>201</v>
      </c>
      <c r="F491">
        <v>1423</v>
      </c>
      <c r="G491">
        <v>0</v>
      </c>
      <c r="H491" s="141">
        <v>0.03</v>
      </c>
      <c r="I491">
        <f t="shared" si="57"/>
        <v>466</v>
      </c>
      <c r="J491" s="137">
        <v>0.03</v>
      </c>
      <c r="K491">
        <f t="shared" si="58"/>
        <v>334</v>
      </c>
      <c r="L491" s="53">
        <f t="shared" si="59"/>
        <v>436</v>
      </c>
      <c r="M491" s="189">
        <v>1.36</v>
      </c>
      <c r="N491" s="186">
        <f>VLOOKUP(6203,季財報!A:M,8,0)</f>
        <v>5</v>
      </c>
    </row>
    <row r="492" spans="1:14">
      <c r="A492" s="133">
        <v>6242</v>
      </c>
      <c r="C492">
        <v>7</v>
      </c>
      <c r="D492">
        <v>159</v>
      </c>
      <c r="E492">
        <v>94</v>
      </c>
      <c r="F492">
        <v>263</v>
      </c>
      <c r="G492">
        <v>0</v>
      </c>
      <c r="H492" s="141">
        <v>0.03</v>
      </c>
      <c r="I492">
        <f t="shared" si="57"/>
        <v>466</v>
      </c>
      <c r="J492" s="137">
        <v>0.03</v>
      </c>
      <c r="K492">
        <f t="shared" si="58"/>
        <v>334</v>
      </c>
      <c r="L492" s="53">
        <f t="shared" si="59"/>
        <v>436</v>
      </c>
      <c r="M492" s="189">
        <v>1.36</v>
      </c>
      <c r="N492" s="186">
        <f>VLOOKUP(6242,季財報!A:M,8,0)</f>
        <v>1</v>
      </c>
    </row>
    <row r="493" spans="1:14">
      <c r="A493" s="133">
        <v>8032</v>
      </c>
      <c r="C493">
        <v>43</v>
      </c>
      <c r="D493">
        <v>1291</v>
      </c>
      <c r="E493">
        <v>104</v>
      </c>
      <c r="F493">
        <v>1405</v>
      </c>
      <c r="G493">
        <v>40</v>
      </c>
      <c r="H493" s="141">
        <v>0.03</v>
      </c>
      <c r="I493">
        <f t="shared" si="57"/>
        <v>466</v>
      </c>
      <c r="J493" s="137">
        <v>0.03</v>
      </c>
      <c r="K493">
        <f t="shared" si="58"/>
        <v>334</v>
      </c>
      <c r="L493" s="53">
        <f t="shared" si="59"/>
        <v>436</v>
      </c>
      <c r="M493" s="189">
        <v>1.36</v>
      </c>
      <c r="N493" s="186">
        <f>VLOOKUP(8032,季財報!A:M,8,0)</f>
        <v>3</v>
      </c>
    </row>
    <row r="494" spans="1:14">
      <c r="A494" s="133">
        <v>5013</v>
      </c>
      <c r="C494">
        <v>84</v>
      </c>
      <c r="D494">
        <v>1313</v>
      </c>
      <c r="E494">
        <v>1972</v>
      </c>
      <c r="F494">
        <v>2478</v>
      </c>
      <c r="G494">
        <v>822</v>
      </c>
      <c r="H494" s="141">
        <v>0.03</v>
      </c>
      <c r="I494">
        <f t="shared" si="57"/>
        <v>466</v>
      </c>
      <c r="J494" s="137">
        <v>0.03</v>
      </c>
      <c r="K494">
        <f t="shared" si="58"/>
        <v>334</v>
      </c>
      <c r="L494" s="53">
        <f t="shared" si="59"/>
        <v>436</v>
      </c>
      <c r="M494" s="189">
        <v>1.36</v>
      </c>
      <c r="N494" s="186">
        <f>VLOOKUP(5013,季財報!A:M,8,0)</f>
        <v>2</v>
      </c>
    </row>
    <row r="495" spans="1:14">
      <c r="A495" s="133">
        <v>5230</v>
      </c>
      <c r="C495">
        <v>56</v>
      </c>
      <c r="D495">
        <v>0</v>
      </c>
      <c r="E495">
        <v>1606</v>
      </c>
      <c r="F495">
        <v>1403</v>
      </c>
      <c r="G495">
        <v>572</v>
      </c>
      <c r="H495" s="141">
        <v>0.03</v>
      </c>
      <c r="I495">
        <f t="shared" si="57"/>
        <v>466</v>
      </c>
      <c r="J495" s="137">
        <v>0.03</v>
      </c>
      <c r="K495">
        <f t="shared" si="58"/>
        <v>334</v>
      </c>
      <c r="L495" s="53">
        <f t="shared" si="59"/>
        <v>436</v>
      </c>
      <c r="M495" s="189">
        <v>1.36</v>
      </c>
      <c r="N495" s="186">
        <f>VLOOKUP(5230,季財報!A:M,8,0)</f>
        <v>3</v>
      </c>
    </row>
    <row r="496" spans="1:14">
      <c r="A496" s="133">
        <v>5356</v>
      </c>
      <c r="C496">
        <v>177</v>
      </c>
      <c r="D496">
        <v>4724</v>
      </c>
      <c r="E496">
        <v>575</v>
      </c>
      <c r="F496">
        <v>5383</v>
      </c>
      <c r="G496">
        <v>0</v>
      </c>
      <c r="H496" s="141">
        <v>0.03</v>
      </c>
      <c r="I496">
        <f t="shared" si="57"/>
        <v>466</v>
      </c>
      <c r="J496" s="137">
        <v>0.03</v>
      </c>
      <c r="K496">
        <f t="shared" si="58"/>
        <v>334</v>
      </c>
      <c r="L496" s="53">
        <f t="shared" si="59"/>
        <v>436</v>
      </c>
      <c r="M496" s="189">
        <v>1.36</v>
      </c>
      <c r="N496" s="186">
        <f>VLOOKUP(5356,季財報!A:M,8,0)</f>
        <v>1</v>
      </c>
    </row>
    <row r="497" spans="1:14">
      <c r="A497" s="133">
        <v>5439</v>
      </c>
      <c r="C497">
        <v>39</v>
      </c>
      <c r="D497">
        <v>571</v>
      </c>
      <c r="E497">
        <v>681</v>
      </c>
      <c r="F497">
        <v>1211</v>
      </c>
      <c r="G497">
        <v>9</v>
      </c>
      <c r="H497" s="141">
        <v>0.03</v>
      </c>
      <c r="I497">
        <f t="shared" si="57"/>
        <v>466</v>
      </c>
      <c r="J497" s="137">
        <v>0.03</v>
      </c>
      <c r="K497">
        <f t="shared" si="58"/>
        <v>334</v>
      </c>
      <c r="L497" s="53">
        <f t="shared" si="59"/>
        <v>436</v>
      </c>
      <c r="M497" s="189">
        <v>1.36</v>
      </c>
      <c r="N497" s="186">
        <f>VLOOKUP(5439,季財報!A:M,8,0)</f>
        <v>3</v>
      </c>
    </row>
    <row r="498" spans="1:14">
      <c r="A498" s="133">
        <v>5483</v>
      </c>
      <c r="C498">
        <v>782</v>
      </c>
      <c r="D498">
        <v>9004</v>
      </c>
      <c r="E498">
        <v>17081</v>
      </c>
      <c r="F498">
        <v>28259</v>
      </c>
      <c r="G498">
        <v>1649</v>
      </c>
      <c r="H498" s="141">
        <v>0.03</v>
      </c>
      <c r="I498">
        <f t="shared" si="57"/>
        <v>466</v>
      </c>
      <c r="J498" s="137">
        <v>0.03</v>
      </c>
      <c r="K498">
        <f t="shared" si="58"/>
        <v>334</v>
      </c>
      <c r="L498" s="53">
        <f t="shared" si="59"/>
        <v>436</v>
      </c>
      <c r="M498" s="189">
        <v>1.36</v>
      </c>
      <c r="N498" s="186">
        <f>VLOOKUP(5483,季財報!A:M,8,0)</f>
        <v>3</v>
      </c>
    </row>
    <row r="499" spans="1:14">
      <c r="A499" s="133">
        <v>5508</v>
      </c>
      <c r="C499">
        <v>124</v>
      </c>
      <c r="D499">
        <v>4217</v>
      </c>
      <c r="E499">
        <v>17</v>
      </c>
      <c r="F499">
        <v>4186</v>
      </c>
      <c r="G499">
        <v>670</v>
      </c>
      <c r="H499" s="141">
        <v>0.03</v>
      </c>
      <c r="I499">
        <f t="shared" si="57"/>
        <v>466</v>
      </c>
      <c r="J499" s="137">
        <v>0.03</v>
      </c>
      <c r="K499">
        <f t="shared" si="58"/>
        <v>334</v>
      </c>
      <c r="L499" s="53">
        <f t="shared" si="59"/>
        <v>436</v>
      </c>
      <c r="M499" s="189">
        <v>1.36</v>
      </c>
      <c r="N499" s="186">
        <f>VLOOKUP(5508,季財報!A:M,8,0)</f>
        <v>1</v>
      </c>
    </row>
    <row r="500" spans="1:14">
      <c r="A500" s="133">
        <v>4720</v>
      </c>
      <c r="C500">
        <v>34</v>
      </c>
      <c r="D500">
        <v>549</v>
      </c>
      <c r="E500">
        <v>445</v>
      </c>
      <c r="F500">
        <v>1113</v>
      </c>
      <c r="G500">
        <v>230</v>
      </c>
      <c r="H500" s="141">
        <v>0.03</v>
      </c>
      <c r="I500">
        <f t="shared" si="57"/>
        <v>466</v>
      </c>
      <c r="J500" s="137">
        <v>0.03</v>
      </c>
      <c r="K500">
        <f t="shared" si="58"/>
        <v>334</v>
      </c>
      <c r="L500" s="53">
        <f t="shared" si="59"/>
        <v>436</v>
      </c>
      <c r="M500" s="189">
        <v>1.36</v>
      </c>
      <c r="N500" s="186">
        <f>VLOOKUP(4720,季財報!A:M,8,0)</f>
        <v>3</v>
      </c>
    </row>
    <row r="501" spans="1:14">
      <c r="A501" s="133">
        <v>1108</v>
      </c>
      <c r="C501">
        <v>152</v>
      </c>
      <c r="D501">
        <v>3106</v>
      </c>
      <c r="E501">
        <v>2155</v>
      </c>
      <c r="F501">
        <v>4775</v>
      </c>
      <c r="G501">
        <v>1082</v>
      </c>
      <c r="H501" s="141">
        <v>0.03</v>
      </c>
      <c r="I501">
        <f t="shared" ref="I501:I510" si="60">RANK(0.03,H:H,0)</f>
        <v>466</v>
      </c>
      <c r="J501" s="137">
        <v>0.03</v>
      </c>
      <c r="K501">
        <f t="shared" ref="K501:K510" si="61">RANK(0.03,J:J,0)</f>
        <v>334</v>
      </c>
      <c r="L501" s="53">
        <f t="shared" ref="L501:L510" si="62">RANK(1.9,M:M,0)</f>
        <v>436</v>
      </c>
      <c r="M501" s="189">
        <v>1.36</v>
      </c>
      <c r="N501" s="186">
        <f>VLOOKUP(1108,季財報!A:M,8,0)</f>
        <v>2</v>
      </c>
    </row>
    <row r="502" spans="1:14">
      <c r="A502" s="133">
        <v>1595</v>
      </c>
      <c r="C502">
        <v>51</v>
      </c>
      <c r="D502">
        <v>1358</v>
      </c>
      <c r="E502">
        <v>492</v>
      </c>
      <c r="F502">
        <v>1880</v>
      </c>
      <c r="G502">
        <v>80</v>
      </c>
      <c r="H502" s="141">
        <v>0.03</v>
      </c>
      <c r="I502">
        <f t="shared" si="60"/>
        <v>466</v>
      </c>
      <c r="J502" s="137">
        <v>0.03</v>
      </c>
      <c r="K502">
        <f t="shared" si="61"/>
        <v>334</v>
      </c>
      <c r="L502" s="53">
        <f t="shared" si="62"/>
        <v>436</v>
      </c>
      <c r="M502" s="189">
        <v>1.36</v>
      </c>
      <c r="N502" s="186">
        <f>VLOOKUP(1595,季財報!A:M,8,0)</f>
        <v>2</v>
      </c>
    </row>
    <row r="503" spans="1:14">
      <c r="A503" s="133">
        <v>1712</v>
      </c>
      <c r="C503">
        <v>238</v>
      </c>
      <c r="D503">
        <v>1067</v>
      </c>
      <c r="E503">
        <v>7786</v>
      </c>
      <c r="F503">
        <v>5294</v>
      </c>
      <c r="G503">
        <v>3505</v>
      </c>
      <c r="H503" s="141">
        <v>0.03</v>
      </c>
      <c r="I503">
        <f t="shared" si="60"/>
        <v>466</v>
      </c>
      <c r="J503" s="137">
        <v>0.03</v>
      </c>
      <c r="K503">
        <f t="shared" si="61"/>
        <v>334</v>
      </c>
      <c r="L503" s="53">
        <f t="shared" si="62"/>
        <v>436</v>
      </c>
      <c r="M503" s="189">
        <v>1.36</v>
      </c>
      <c r="N503" s="186">
        <f>VLOOKUP(1712,季財報!A:M,8,0)</f>
        <v>2</v>
      </c>
    </row>
    <row r="504" spans="1:14">
      <c r="A504" s="133">
        <v>1909</v>
      </c>
      <c r="C504">
        <v>833</v>
      </c>
      <c r="D504">
        <v>0</v>
      </c>
      <c r="E504">
        <v>26068</v>
      </c>
      <c r="F504">
        <v>15594</v>
      </c>
      <c r="G504">
        <v>14329</v>
      </c>
      <c r="H504" s="141">
        <v>0.03</v>
      </c>
      <c r="I504">
        <f t="shared" si="60"/>
        <v>466</v>
      </c>
      <c r="J504" s="137">
        <v>0.03</v>
      </c>
      <c r="K504">
        <f t="shared" si="61"/>
        <v>334</v>
      </c>
      <c r="L504" s="53">
        <f t="shared" si="62"/>
        <v>436</v>
      </c>
      <c r="M504" s="189">
        <v>1.36</v>
      </c>
      <c r="N504" s="186">
        <f>VLOOKUP(1909,季財報!A:M,8,0)</f>
        <v>2</v>
      </c>
    </row>
    <row r="505" spans="1:14">
      <c r="A505" s="133">
        <v>2063</v>
      </c>
      <c r="C505">
        <v>28</v>
      </c>
      <c r="D505">
        <v>242</v>
      </c>
      <c r="E505">
        <v>560</v>
      </c>
      <c r="F505">
        <v>596</v>
      </c>
      <c r="G505">
        <v>263</v>
      </c>
      <c r="H505" s="141">
        <v>0.03</v>
      </c>
      <c r="I505">
        <f t="shared" si="60"/>
        <v>466</v>
      </c>
      <c r="J505" s="137">
        <v>0.03</v>
      </c>
      <c r="K505">
        <f t="shared" si="61"/>
        <v>334</v>
      </c>
      <c r="L505" s="53">
        <f t="shared" si="62"/>
        <v>436</v>
      </c>
      <c r="M505" s="189">
        <v>1.36</v>
      </c>
      <c r="N505" s="186">
        <f>VLOOKUP(2063,季財報!A:M,8,0)</f>
        <v>2</v>
      </c>
    </row>
    <row r="506" spans="1:14">
      <c r="A506" s="133">
        <v>2221</v>
      </c>
      <c r="C506">
        <v>24</v>
      </c>
      <c r="D506">
        <v>403</v>
      </c>
      <c r="E506">
        <v>435</v>
      </c>
      <c r="F506">
        <v>594</v>
      </c>
      <c r="G506">
        <v>107</v>
      </c>
      <c r="H506" s="141">
        <v>0.03</v>
      </c>
      <c r="I506">
        <f t="shared" si="60"/>
        <v>466</v>
      </c>
      <c r="J506" s="137">
        <v>0.03</v>
      </c>
      <c r="K506">
        <f t="shared" si="61"/>
        <v>334</v>
      </c>
      <c r="L506" s="53">
        <f t="shared" si="62"/>
        <v>436</v>
      </c>
      <c r="M506" s="189">
        <v>1.36</v>
      </c>
      <c r="N506" s="186">
        <f>VLOOKUP(2221,季財報!A:M,8,0)</f>
        <v>1</v>
      </c>
    </row>
    <row r="507" spans="1:14">
      <c r="A507" s="133">
        <v>3051</v>
      </c>
      <c r="C507">
        <v>122</v>
      </c>
      <c r="D507">
        <v>728</v>
      </c>
      <c r="E507">
        <v>2924</v>
      </c>
      <c r="F507">
        <v>2025</v>
      </c>
      <c r="G507">
        <v>2383</v>
      </c>
      <c r="H507" s="141">
        <v>0.03</v>
      </c>
      <c r="I507">
        <f t="shared" si="60"/>
        <v>466</v>
      </c>
      <c r="J507" s="137">
        <v>0.03</v>
      </c>
      <c r="K507">
        <f t="shared" si="61"/>
        <v>334</v>
      </c>
      <c r="L507" s="53">
        <f t="shared" si="62"/>
        <v>436</v>
      </c>
      <c r="M507" s="189">
        <v>1.36</v>
      </c>
      <c r="N507" s="186">
        <f>VLOOKUP(3051,季財報!A:M,8,0)</f>
        <v>2</v>
      </c>
    </row>
    <row r="508" spans="1:14">
      <c r="A508" s="133">
        <v>3167</v>
      </c>
      <c r="C508">
        <v>64</v>
      </c>
      <c r="D508">
        <v>1506</v>
      </c>
      <c r="E508">
        <v>454</v>
      </c>
      <c r="F508">
        <v>1617</v>
      </c>
      <c r="G508">
        <v>530</v>
      </c>
      <c r="H508" s="141">
        <v>0.03</v>
      </c>
      <c r="I508">
        <f t="shared" si="60"/>
        <v>466</v>
      </c>
      <c r="J508" s="137">
        <v>0.03</v>
      </c>
      <c r="K508">
        <f t="shared" si="61"/>
        <v>334</v>
      </c>
      <c r="L508" s="53">
        <f t="shared" si="62"/>
        <v>436</v>
      </c>
      <c r="M508" s="189">
        <v>1.36</v>
      </c>
      <c r="N508" s="186">
        <f>VLOOKUP(3167,季財報!A:M,8,0)</f>
        <v>3</v>
      </c>
    </row>
    <row r="509" spans="1:14">
      <c r="A509" s="133">
        <v>3264</v>
      </c>
      <c r="C509">
        <v>343</v>
      </c>
      <c r="D509">
        <v>2030</v>
      </c>
      <c r="E509">
        <v>9188</v>
      </c>
      <c r="F509">
        <v>9334</v>
      </c>
      <c r="G509">
        <v>1162</v>
      </c>
      <c r="H509" s="141">
        <v>0.03</v>
      </c>
      <c r="I509">
        <f t="shared" si="60"/>
        <v>466</v>
      </c>
      <c r="J509" s="137">
        <v>0.03</v>
      </c>
      <c r="K509">
        <f t="shared" si="61"/>
        <v>334</v>
      </c>
      <c r="L509" s="53">
        <f t="shared" si="62"/>
        <v>436</v>
      </c>
      <c r="M509" s="189">
        <v>1.36</v>
      </c>
      <c r="N509" s="186">
        <f>VLOOKUP(3264,季財報!A:M,8,0)</f>
        <v>4</v>
      </c>
    </row>
    <row r="510" spans="1:14">
      <c r="A510" s="133">
        <v>3437</v>
      </c>
      <c r="C510">
        <v>89</v>
      </c>
      <c r="D510">
        <v>2333</v>
      </c>
      <c r="E510">
        <v>969</v>
      </c>
      <c r="F510">
        <v>3347</v>
      </c>
      <c r="G510">
        <v>0</v>
      </c>
      <c r="H510" s="141">
        <v>0.03</v>
      </c>
      <c r="I510">
        <f t="shared" si="60"/>
        <v>466</v>
      </c>
      <c r="J510" s="137">
        <v>0.03</v>
      </c>
      <c r="K510">
        <f t="shared" si="61"/>
        <v>334</v>
      </c>
      <c r="L510" s="53">
        <f t="shared" si="62"/>
        <v>436</v>
      </c>
      <c r="M510" s="189">
        <v>1.36</v>
      </c>
      <c r="N510" s="186">
        <f>VLOOKUP(3437,季財報!A:M,8,0)</f>
        <v>2</v>
      </c>
    </row>
    <row r="511" spans="1:14">
      <c r="A511" s="133">
        <v>9933</v>
      </c>
      <c r="C511">
        <v>500</v>
      </c>
      <c r="D511">
        <v>6576</v>
      </c>
      <c r="E511">
        <v>6955</v>
      </c>
      <c r="F511">
        <v>19232</v>
      </c>
      <c r="G511">
        <v>3295</v>
      </c>
      <c r="H511" s="141">
        <v>0.04</v>
      </c>
      <c r="I511">
        <f t="shared" ref="I511:I535" si="63">RANK(0.04,H:H,0)</f>
        <v>330</v>
      </c>
      <c r="J511" s="137">
        <v>0.02</v>
      </c>
      <c r="K511">
        <f t="shared" ref="K511:K535" si="64">RANK(0.02,J:J,0)</f>
        <v>496</v>
      </c>
      <c r="L511" s="53">
        <f t="shared" ref="L511:L535" si="65">RANK(1.84,M:M,0)</f>
        <v>510</v>
      </c>
      <c r="M511" s="189">
        <v>1.36</v>
      </c>
      <c r="N511" s="186">
        <f>VLOOKUP(9933,季財報!A:M,8,0)</f>
        <v>1</v>
      </c>
    </row>
    <row r="512" spans="1:14">
      <c r="A512" s="133">
        <v>8936</v>
      </c>
      <c r="C512">
        <v>162</v>
      </c>
      <c r="D512">
        <v>3032</v>
      </c>
      <c r="E512">
        <v>1191</v>
      </c>
      <c r="F512">
        <v>4866</v>
      </c>
      <c r="G512">
        <v>2945</v>
      </c>
      <c r="H512" s="141">
        <v>0.04</v>
      </c>
      <c r="I512">
        <f t="shared" si="63"/>
        <v>330</v>
      </c>
      <c r="J512" s="137">
        <v>0.02</v>
      </c>
      <c r="K512">
        <f t="shared" si="64"/>
        <v>496</v>
      </c>
      <c r="L512" s="53">
        <f t="shared" si="65"/>
        <v>510</v>
      </c>
      <c r="M512" s="189">
        <v>1.36</v>
      </c>
      <c r="N512" s="186">
        <f>VLOOKUP(8936,季財報!A:M,8,0)</f>
        <v>1</v>
      </c>
    </row>
    <row r="513" spans="1:14">
      <c r="A513" s="133">
        <v>9925</v>
      </c>
      <c r="C513">
        <v>282</v>
      </c>
      <c r="D513">
        <v>3453</v>
      </c>
      <c r="E513">
        <v>3418</v>
      </c>
      <c r="F513">
        <v>9476</v>
      </c>
      <c r="G513">
        <v>2423</v>
      </c>
      <c r="H513" s="141">
        <v>0.04</v>
      </c>
      <c r="I513">
        <f t="shared" si="63"/>
        <v>330</v>
      </c>
      <c r="J513" s="137">
        <v>0.02</v>
      </c>
      <c r="K513">
        <f t="shared" si="64"/>
        <v>496</v>
      </c>
      <c r="L513" s="53">
        <f t="shared" si="65"/>
        <v>510</v>
      </c>
      <c r="M513" s="189">
        <v>1.36</v>
      </c>
      <c r="N513" s="186">
        <f>VLOOKUP(9925,季財報!A:M,8,0)</f>
        <v>2</v>
      </c>
    </row>
    <row r="514" spans="1:14">
      <c r="A514" s="133">
        <v>6112</v>
      </c>
      <c r="C514">
        <v>54</v>
      </c>
      <c r="D514">
        <v>1138</v>
      </c>
      <c r="E514">
        <v>378</v>
      </c>
      <c r="F514">
        <v>1896</v>
      </c>
      <c r="G514">
        <v>1301</v>
      </c>
      <c r="H514" s="141">
        <v>0.04</v>
      </c>
      <c r="I514">
        <f t="shared" si="63"/>
        <v>330</v>
      </c>
      <c r="J514" s="137">
        <v>0.02</v>
      </c>
      <c r="K514">
        <f t="shared" si="64"/>
        <v>496</v>
      </c>
      <c r="L514" s="53">
        <f t="shared" si="65"/>
        <v>510</v>
      </c>
      <c r="M514" s="189">
        <v>1.36</v>
      </c>
      <c r="N514" s="186">
        <f>VLOOKUP(6112,季財報!A:M,8,0)</f>
        <v>2</v>
      </c>
    </row>
    <row r="515" spans="1:14">
      <c r="A515" s="133">
        <v>6147</v>
      </c>
      <c r="C515">
        <v>751</v>
      </c>
      <c r="D515">
        <v>4727</v>
      </c>
      <c r="E515">
        <v>15083</v>
      </c>
      <c r="F515">
        <v>23991</v>
      </c>
      <c r="G515">
        <v>8126</v>
      </c>
      <c r="H515" s="141">
        <v>0.04</v>
      </c>
      <c r="I515">
        <f t="shared" si="63"/>
        <v>330</v>
      </c>
      <c r="J515" s="137">
        <v>0.02</v>
      </c>
      <c r="K515">
        <f t="shared" si="64"/>
        <v>496</v>
      </c>
      <c r="L515" s="53">
        <f t="shared" si="65"/>
        <v>510</v>
      </c>
      <c r="M515" s="189">
        <v>1.36</v>
      </c>
      <c r="N515" s="186">
        <f>VLOOKUP(6147,季財報!A:M,8,0)</f>
        <v>4</v>
      </c>
    </row>
    <row r="516" spans="1:14">
      <c r="A516" s="133">
        <v>5349</v>
      </c>
      <c r="C516">
        <v>106</v>
      </c>
      <c r="D516">
        <v>734</v>
      </c>
      <c r="E516">
        <v>2226</v>
      </c>
      <c r="F516">
        <v>3590</v>
      </c>
      <c r="G516">
        <v>850</v>
      </c>
      <c r="H516" s="141">
        <v>0.04</v>
      </c>
      <c r="I516">
        <f t="shared" si="63"/>
        <v>330</v>
      </c>
      <c r="J516" s="137">
        <v>0.02</v>
      </c>
      <c r="K516">
        <f t="shared" si="64"/>
        <v>496</v>
      </c>
      <c r="L516" s="53">
        <f t="shared" si="65"/>
        <v>510</v>
      </c>
      <c r="M516" s="189">
        <v>1.36</v>
      </c>
      <c r="N516" s="186">
        <f>VLOOKUP(5349,季財報!A:M,8,0)</f>
        <v>1</v>
      </c>
    </row>
    <row r="517" spans="1:14">
      <c r="A517" s="133">
        <v>4721</v>
      </c>
      <c r="C517">
        <v>36</v>
      </c>
      <c r="D517">
        <v>454</v>
      </c>
      <c r="E517">
        <v>453</v>
      </c>
      <c r="F517">
        <v>1081</v>
      </c>
      <c r="G517">
        <v>387</v>
      </c>
      <c r="H517" s="141">
        <v>0.04</v>
      </c>
      <c r="I517">
        <f t="shared" si="63"/>
        <v>330</v>
      </c>
      <c r="J517" s="137">
        <v>0.02</v>
      </c>
      <c r="K517">
        <f t="shared" si="64"/>
        <v>496</v>
      </c>
      <c r="L517" s="53">
        <f t="shared" si="65"/>
        <v>510</v>
      </c>
      <c r="M517" s="189">
        <v>1.36</v>
      </c>
      <c r="N517" s="186">
        <f>VLOOKUP(4721,季財報!A:M,8,0)</f>
        <v>3</v>
      </c>
    </row>
    <row r="518" spans="1:14">
      <c r="A518" s="133">
        <v>1210</v>
      </c>
      <c r="C518">
        <v>608</v>
      </c>
      <c r="D518">
        <v>4193</v>
      </c>
      <c r="E518">
        <v>12819</v>
      </c>
      <c r="F518">
        <v>19759</v>
      </c>
      <c r="G518">
        <v>7700</v>
      </c>
      <c r="H518" s="141">
        <v>0.04</v>
      </c>
      <c r="I518">
        <f t="shared" si="63"/>
        <v>330</v>
      </c>
      <c r="J518" s="137">
        <v>0.02</v>
      </c>
      <c r="K518">
        <f t="shared" si="64"/>
        <v>496</v>
      </c>
      <c r="L518" s="53">
        <f t="shared" si="65"/>
        <v>510</v>
      </c>
      <c r="M518" s="189">
        <v>1.36</v>
      </c>
      <c r="N518" s="186">
        <f>VLOOKUP(1210,季財報!A:M,8,0)</f>
        <v>2</v>
      </c>
    </row>
    <row r="519" spans="1:14">
      <c r="A519" s="133">
        <v>2301</v>
      </c>
      <c r="C519">
        <v>2577</v>
      </c>
      <c r="D519">
        <v>36596</v>
      </c>
      <c r="E519">
        <v>35674</v>
      </c>
      <c r="F519">
        <v>78688</v>
      </c>
      <c r="G519">
        <v>26903</v>
      </c>
      <c r="H519" s="141">
        <v>0.04</v>
      </c>
      <c r="I519">
        <f t="shared" si="63"/>
        <v>330</v>
      </c>
      <c r="J519" s="137">
        <v>0.02</v>
      </c>
      <c r="K519">
        <f t="shared" si="64"/>
        <v>496</v>
      </c>
      <c r="L519" s="53">
        <f t="shared" si="65"/>
        <v>510</v>
      </c>
      <c r="M519" s="189">
        <v>1.36</v>
      </c>
      <c r="N519" s="186">
        <f>VLOOKUP(2301,季財報!A:M,8,0)</f>
        <v>3</v>
      </c>
    </row>
    <row r="520" spans="1:14">
      <c r="A520" s="133">
        <v>2327</v>
      </c>
      <c r="C520">
        <v>907</v>
      </c>
      <c r="D520">
        <v>5949</v>
      </c>
      <c r="E520">
        <v>14695</v>
      </c>
      <c r="F520">
        <v>25353</v>
      </c>
      <c r="G520">
        <v>12121</v>
      </c>
      <c r="H520" s="141">
        <v>0.04</v>
      </c>
      <c r="I520">
        <f t="shared" si="63"/>
        <v>330</v>
      </c>
      <c r="J520" s="137">
        <v>0.02</v>
      </c>
      <c r="K520">
        <f t="shared" si="64"/>
        <v>496</v>
      </c>
      <c r="L520" s="53">
        <f t="shared" si="65"/>
        <v>510</v>
      </c>
      <c r="M520" s="189">
        <v>1.36</v>
      </c>
      <c r="N520" s="186">
        <f>VLOOKUP(2327,季財報!A:M,8,0)</f>
        <v>3</v>
      </c>
    </row>
    <row r="521" spans="1:14">
      <c r="A521" s="133">
        <v>2382</v>
      </c>
      <c r="C521">
        <v>5007</v>
      </c>
      <c r="D521">
        <v>90409</v>
      </c>
      <c r="E521">
        <v>50732</v>
      </c>
      <c r="F521">
        <v>135508</v>
      </c>
      <c r="G521">
        <v>153508</v>
      </c>
      <c r="H521" s="141">
        <v>0.04</v>
      </c>
      <c r="I521">
        <f t="shared" si="63"/>
        <v>330</v>
      </c>
      <c r="J521" s="137">
        <v>0.02</v>
      </c>
      <c r="K521">
        <f t="shared" si="64"/>
        <v>496</v>
      </c>
      <c r="L521" s="53">
        <f t="shared" si="65"/>
        <v>510</v>
      </c>
      <c r="M521" s="189">
        <v>1.36</v>
      </c>
      <c r="N521" s="186">
        <f>VLOOKUP(2382,季財報!A:M,8,0)</f>
        <v>2</v>
      </c>
    </row>
    <row r="522" spans="1:14">
      <c r="A522" s="133">
        <v>2415</v>
      </c>
      <c r="C522">
        <v>60</v>
      </c>
      <c r="D522">
        <v>530</v>
      </c>
      <c r="E522">
        <v>825</v>
      </c>
      <c r="F522">
        <v>1756</v>
      </c>
      <c r="G522">
        <v>1109</v>
      </c>
      <c r="H522" s="141">
        <v>0.04</v>
      </c>
      <c r="I522">
        <f t="shared" si="63"/>
        <v>330</v>
      </c>
      <c r="J522" s="137">
        <v>0.02</v>
      </c>
      <c r="K522">
        <f t="shared" si="64"/>
        <v>496</v>
      </c>
      <c r="L522" s="53">
        <f t="shared" si="65"/>
        <v>510</v>
      </c>
      <c r="M522" s="189">
        <v>1.36</v>
      </c>
      <c r="N522" s="186">
        <f>VLOOKUP(2415,季財報!A:M,8,0)</f>
        <v>4</v>
      </c>
    </row>
    <row r="523" spans="1:14">
      <c r="A523" s="133">
        <v>2433</v>
      </c>
      <c r="C523">
        <v>127</v>
      </c>
      <c r="D523">
        <v>424</v>
      </c>
      <c r="E523">
        <v>2899</v>
      </c>
      <c r="F523">
        <v>3985</v>
      </c>
      <c r="G523">
        <v>2228</v>
      </c>
      <c r="H523" s="141">
        <v>0.04</v>
      </c>
      <c r="I523">
        <f t="shared" si="63"/>
        <v>330</v>
      </c>
      <c r="J523" s="137">
        <v>0.02</v>
      </c>
      <c r="K523">
        <f t="shared" si="64"/>
        <v>496</v>
      </c>
      <c r="L523" s="53">
        <f t="shared" si="65"/>
        <v>510</v>
      </c>
      <c r="M523" s="189">
        <v>1.36</v>
      </c>
      <c r="N523" s="186">
        <f>VLOOKUP(2433,季財報!A:M,8,0)</f>
        <v>4</v>
      </c>
    </row>
    <row r="524" spans="1:14">
      <c r="A524" s="133">
        <v>2472</v>
      </c>
      <c r="C524">
        <v>158</v>
      </c>
      <c r="D524">
        <v>1690</v>
      </c>
      <c r="E524">
        <v>2704</v>
      </c>
      <c r="F524">
        <v>4866</v>
      </c>
      <c r="G524">
        <v>2000</v>
      </c>
      <c r="H524" s="141">
        <v>0.04</v>
      </c>
      <c r="I524">
        <f t="shared" si="63"/>
        <v>330</v>
      </c>
      <c r="J524" s="137">
        <v>0.02</v>
      </c>
      <c r="K524">
        <f t="shared" si="64"/>
        <v>496</v>
      </c>
      <c r="L524" s="53">
        <f t="shared" si="65"/>
        <v>510</v>
      </c>
      <c r="M524" s="189">
        <v>1.36</v>
      </c>
      <c r="N524" s="186">
        <f>VLOOKUP(2472,季財報!A:M,8,0)</f>
        <v>3</v>
      </c>
    </row>
    <row r="525" spans="1:14">
      <c r="A525" s="133">
        <v>2536</v>
      </c>
      <c r="C525">
        <v>364</v>
      </c>
      <c r="D525">
        <v>9500</v>
      </c>
      <c r="E525">
        <v>3</v>
      </c>
      <c r="F525">
        <v>11192</v>
      </c>
      <c r="G525">
        <v>5686</v>
      </c>
      <c r="H525" s="141">
        <v>0.04</v>
      </c>
      <c r="I525">
        <f t="shared" si="63"/>
        <v>330</v>
      </c>
      <c r="J525" s="137">
        <v>0.02</v>
      </c>
      <c r="K525">
        <f t="shared" si="64"/>
        <v>496</v>
      </c>
      <c r="L525" s="53">
        <f t="shared" si="65"/>
        <v>510</v>
      </c>
      <c r="M525" s="189">
        <v>1.36</v>
      </c>
      <c r="N525" s="186">
        <f>VLOOKUP(2536,季財報!A:M,8,0)</f>
        <v>3</v>
      </c>
    </row>
    <row r="526" spans="1:14">
      <c r="A526" s="133">
        <v>3044</v>
      </c>
      <c r="C526">
        <v>1033</v>
      </c>
      <c r="D526">
        <v>11819</v>
      </c>
      <c r="E526">
        <v>14873</v>
      </c>
      <c r="F526">
        <v>29482</v>
      </c>
      <c r="G526">
        <v>16389</v>
      </c>
      <c r="H526" s="141">
        <v>0.04</v>
      </c>
      <c r="I526">
        <f t="shared" si="63"/>
        <v>330</v>
      </c>
      <c r="J526" s="137">
        <v>0.02</v>
      </c>
      <c r="K526">
        <f t="shared" si="64"/>
        <v>496</v>
      </c>
      <c r="L526" s="53">
        <f t="shared" si="65"/>
        <v>510</v>
      </c>
      <c r="M526" s="189">
        <v>1.36</v>
      </c>
      <c r="N526" s="186">
        <f>VLOOKUP(3044,季財報!A:M,8,0)</f>
        <v>5</v>
      </c>
    </row>
    <row r="527" spans="1:14">
      <c r="A527" s="133">
        <v>3068</v>
      </c>
      <c r="C527">
        <v>57</v>
      </c>
      <c r="D527">
        <v>180</v>
      </c>
      <c r="E527">
        <v>1294</v>
      </c>
      <c r="F527">
        <v>1406</v>
      </c>
      <c r="G527">
        <v>1640</v>
      </c>
      <c r="H527" s="141">
        <v>0.04</v>
      </c>
      <c r="I527">
        <f t="shared" si="63"/>
        <v>330</v>
      </c>
      <c r="J527" s="137">
        <v>0.02</v>
      </c>
      <c r="K527">
        <f t="shared" si="64"/>
        <v>496</v>
      </c>
      <c r="L527" s="53">
        <f t="shared" si="65"/>
        <v>510</v>
      </c>
      <c r="M527" s="189">
        <v>1.36</v>
      </c>
      <c r="N527" s="186">
        <f>VLOOKUP(3068,季財報!A:M,8,0)</f>
        <v>5</v>
      </c>
    </row>
    <row r="528" spans="1:14">
      <c r="A528" s="133">
        <v>8933</v>
      </c>
      <c r="C528">
        <v>87</v>
      </c>
      <c r="D528">
        <v>1575</v>
      </c>
      <c r="E528">
        <v>639</v>
      </c>
      <c r="F528">
        <v>2468</v>
      </c>
      <c r="G528">
        <v>1561</v>
      </c>
      <c r="H528" s="141">
        <v>0.04</v>
      </c>
      <c r="I528">
        <f t="shared" si="63"/>
        <v>330</v>
      </c>
      <c r="J528" s="137">
        <v>0.02</v>
      </c>
      <c r="K528">
        <f t="shared" si="64"/>
        <v>496</v>
      </c>
      <c r="L528" s="53">
        <f t="shared" si="65"/>
        <v>510</v>
      </c>
      <c r="M528" s="189">
        <v>1.36</v>
      </c>
      <c r="N528" s="186">
        <f>VLOOKUP(8933,季財報!A:M,8,0)</f>
        <v>4</v>
      </c>
    </row>
    <row r="529" spans="1:14">
      <c r="A529" s="133">
        <v>8112</v>
      </c>
      <c r="C529">
        <v>210</v>
      </c>
      <c r="D529">
        <v>5414</v>
      </c>
      <c r="E529">
        <v>261</v>
      </c>
      <c r="F529">
        <v>5304</v>
      </c>
      <c r="G529">
        <v>6793</v>
      </c>
      <c r="H529" s="141">
        <v>0.04</v>
      </c>
      <c r="I529">
        <f t="shared" si="63"/>
        <v>330</v>
      </c>
      <c r="J529" s="137">
        <v>0.02</v>
      </c>
      <c r="K529">
        <f t="shared" si="64"/>
        <v>496</v>
      </c>
      <c r="L529" s="53">
        <f t="shared" si="65"/>
        <v>510</v>
      </c>
      <c r="M529" s="189">
        <v>1.36</v>
      </c>
      <c r="N529" s="186">
        <f>VLOOKUP(8112,季財報!A:M,8,0)</f>
        <v>4</v>
      </c>
    </row>
    <row r="530" spans="1:14">
      <c r="A530" s="133">
        <v>4745</v>
      </c>
      <c r="C530">
        <v>43</v>
      </c>
      <c r="D530">
        <v>808</v>
      </c>
      <c r="E530">
        <v>283</v>
      </c>
      <c r="F530">
        <v>1592</v>
      </c>
      <c r="G530">
        <v>976</v>
      </c>
      <c r="H530" s="141">
        <v>0.04</v>
      </c>
      <c r="I530">
        <f t="shared" si="63"/>
        <v>330</v>
      </c>
      <c r="J530" s="137">
        <v>0.02</v>
      </c>
      <c r="K530">
        <f t="shared" si="64"/>
        <v>496</v>
      </c>
      <c r="L530" s="53">
        <f t="shared" si="65"/>
        <v>510</v>
      </c>
      <c r="M530" s="189">
        <v>1.29</v>
      </c>
      <c r="N530" s="186">
        <f>VLOOKUP(4745,季財報!A:M,8,0)</f>
        <v>0</v>
      </c>
    </row>
    <row r="531" spans="1:14">
      <c r="A531" s="133">
        <v>2392</v>
      </c>
      <c r="C531">
        <v>940</v>
      </c>
      <c r="D531">
        <v>2962</v>
      </c>
      <c r="E531">
        <v>22098</v>
      </c>
      <c r="F531">
        <v>29850</v>
      </c>
      <c r="G531">
        <v>12501</v>
      </c>
      <c r="H531" s="141">
        <v>0.04</v>
      </c>
      <c r="I531">
        <f t="shared" si="63"/>
        <v>330</v>
      </c>
      <c r="J531" s="137">
        <v>0.02</v>
      </c>
      <c r="K531">
        <f t="shared" si="64"/>
        <v>496</v>
      </c>
      <c r="L531" s="53">
        <f t="shared" si="65"/>
        <v>510</v>
      </c>
      <c r="M531" s="189">
        <v>1.29</v>
      </c>
      <c r="N531" s="186">
        <f>VLOOKUP(2392,季財報!A:M,8,0)</f>
        <v>3</v>
      </c>
    </row>
    <row r="532" spans="1:14">
      <c r="A532" s="133">
        <v>3010</v>
      </c>
      <c r="C532">
        <v>372</v>
      </c>
      <c r="D532">
        <v>7070</v>
      </c>
      <c r="E532">
        <v>2258</v>
      </c>
      <c r="F532">
        <v>10649</v>
      </c>
      <c r="G532">
        <v>4665</v>
      </c>
      <c r="H532" s="141">
        <v>0.04</v>
      </c>
      <c r="I532">
        <f t="shared" si="63"/>
        <v>330</v>
      </c>
      <c r="J532" s="137">
        <v>0.02</v>
      </c>
      <c r="K532">
        <f t="shared" si="64"/>
        <v>496</v>
      </c>
      <c r="L532" s="53">
        <f t="shared" si="65"/>
        <v>510</v>
      </c>
      <c r="M532" s="189">
        <v>1.29</v>
      </c>
      <c r="N532" s="186">
        <f>VLOOKUP(3010,季財報!A:M,8,0)</f>
        <v>1</v>
      </c>
    </row>
    <row r="533" spans="1:14">
      <c r="A533" s="133">
        <v>3360</v>
      </c>
      <c r="C533">
        <v>48</v>
      </c>
      <c r="D533">
        <v>959</v>
      </c>
      <c r="E533">
        <v>110</v>
      </c>
      <c r="F533">
        <v>1128</v>
      </c>
      <c r="G533">
        <v>2044</v>
      </c>
      <c r="H533" s="141">
        <v>0.04</v>
      </c>
      <c r="I533">
        <f t="shared" si="63"/>
        <v>330</v>
      </c>
      <c r="J533" s="137">
        <v>0.02</v>
      </c>
      <c r="K533">
        <f t="shared" si="64"/>
        <v>496</v>
      </c>
      <c r="L533" s="53">
        <f t="shared" si="65"/>
        <v>510</v>
      </c>
      <c r="M533" s="189">
        <v>1.18</v>
      </c>
      <c r="N533" s="186">
        <f>VLOOKUP(3360,季財報!A:M,8,0)</f>
        <v>1</v>
      </c>
    </row>
    <row r="534" spans="1:14">
      <c r="A534" s="133">
        <v>3434</v>
      </c>
      <c r="C534">
        <v>7</v>
      </c>
      <c r="D534">
        <v>90</v>
      </c>
      <c r="E534">
        <v>73</v>
      </c>
      <c r="F534">
        <v>233</v>
      </c>
      <c r="G534">
        <v>146</v>
      </c>
      <c r="H534" s="141">
        <v>0.04</v>
      </c>
      <c r="I534">
        <f t="shared" si="63"/>
        <v>330</v>
      </c>
      <c r="J534" s="137">
        <v>0.02</v>
      </c>
      <c r="K534">
        <f t="shared" si="64"/>
        <v>496</v>
      </c>
      <c r="L534" s="53">
        <f t="shared" si="65"/>
        <v>510</v>
      </c>
      <c r="M534" s="189">
        <v>1.18</v>
      </c>
      <c r="N534" s="186">
        <f>VLOOKUP(3434,季財報!A:M,8,0)</f>
        <v>4</v>
      </c>
    </row>
    <row r="535" spans="1:14">
      <c r="A535" s="133">
        <v>5534</v>
      </c>
      <c r="C535">
        <v>397</v>
      </c>
      <c r="D535">
        <v>8915</v>
      </c>
      <c r="E535">
        <v>89</v>
      </c>
      <c r="F535">
        <v>9455</v>
      </c>
      <c r="G535">
        <v>11083</v>
      </c>
      <c r="H535" s="141">
        <v>0.04</v>
      </c>
      <c r="I535">
        <f t="shared" si="63"/>
        <v>330</v>
      </c>
      <c r="J535" s="137">
        <v>0.02</v>
      </c>
      <c r="K535">
        <f t="shared" si="64"/>
        <v>496</v>
      </c>
      <c r="L535" s="53">
        <f t="shared" si="65"/>
        <v>510</v>
      </c>
      <c r="M535" s="189">
        <v>1.18</v>
      </c>
      <c r="N535" s="186">
        <f>VLOOKUP(5534,季財報!A:M,8,0)</f>
        <v>2</v>
      </c>
    </row>
    <row r="536" spans="1:14">
      <c r="A536" s="133">
        <v>1527</v>
      </c>
      <c r="C536">
        <v>190</v>
      </c>
      <c r="D536">
        <v>2522</v>
      </c>
      <c r="E536">
        <v>925</v>
      </c>
      <c r="F536">
        <v>3423</v>
      </c>
      <c r="G536">
        <v>9464</v>
      </c>
      <c r="H536" s="141">
        <v>0.06</v>
      </c>
      <c r="I536">
        <f>RANK(0.06,H:H,0)</f>
        <v>155</v>
      </c>
      <c r="J536" s="137">
        <v>0.01</v>
      </c>
      <c r="K536">
        <f>RANK(0.01,J:J,0)</f>
        <v>708</v>
      </c>
      <c r="L536" s="53">
        <f>RANK(1.76,M:M,0)</f>
        <v>535</v>
      </c>
      <c r="M536" s="189">
        <v>1.1399999999999999</v>
      </c>
      <c r="N536" s="186">
        <f>VLOOKUP(1527,季財報!A:M,8,0)</f>
        <v>3</v>
      </c>
    </row>
    <row r="537" spans="1:14">
      <c r="A537" s="133">
        <v>5871</v>
      </c>
      <c r="C537">
        <v>2255</v>
      </c>
      <c r="D537">
        <v>25366</v>
      </c>
      <c r="E537">
        <v>9891</v>
      </c>
      <c r="F537">
        <v>38783</v>
      </c>
      <c r="G537">
        <v>150776</v>
      </c>
      <c r="H537" s="141">
        <v>0.06</v>
      </c>
      <c r="I537">
        <f>RANK(0.06,H:H,0)</f>
        <v>155</v>
      </c>
      <c r="J537" s="137">
        <v>0.01</v>
      </c>
      <c r="K537">
        <f>RANK(0.01,J:J,0)</f>
        <v>708</v>
      </c>
      <c r="L537" s="53">
        <f>RANK(1.76,M:M,0)</f>
        <v>535</v>
      </c>
      <c r="M537" s="189">
        <v>1.1399999999999999</v>
      </c>
      <c r="N537" s="186">
        <f>VLOOKUP(5871,季財報!A:M,8,0)</f>
        <v>4</v>
      </c>
    </row>
    <row r="538" spans="1:14">
      <c r="A538" s="133">
        <v>6172</v>
      </c>
      <c r="C538">
        <v>2</v>
      </c>
      <c r="D538">
        <v>12</v>
      </c>
      <c r="E538">
        <v>29</v>
      </c>
      <c r="F538">
        <v>283</v>
      </c>
      <c r="G538">
        <v>72</v>
      </c>
      <c r="H538" s="141">
        <v>0.05</v>
      </c>
      <c r="I538">
        <f>RANK(0.05,H:H,0)</f>
        <v>231</v>
      </c>
      <c r="J538" s="137">
        <v>0.01</v>
      </c>
      <c r="K538">
        <f>RANK(0.01,J:J,0)</f>
        <v>708</v>
      </c>
      <c r="L538" s="53">
        <f>RANK(1.62,M:M,0)</f>
        <v>537</v>
      </c>
      <c r="M538" s="189">
        <v>1.1399999999999999</v>
      </c>
      <c r="N538" s="186">
        <f>VLOOKUP(6172,季財報!A:M,8,0)</f>
        <v>3</v>
      </c>
    </row>
    <row r="539" spans="1:14">
      <c r="A539" s="133">
        <v>1437</v>
      </c>
      <c r="C539">
        <v>47</v>
      </c>
      <c r="D539">
        <v>687</v>
      </c>
      <c r="E539">
        <v>296</v>
      </c>
      <c r="F539">
        <v>4728</v>
      </c>
      <c r="G539">
        <v>329</v>
      </c>
      <c r="H539" s="141">
        <v>0.05</v>
      </c>
      <c r="I539">
        <f>RANK(0.05,H:H,0)</f>
        <v>231</v>
      </c>
      <c r="J539" s="137">
        <v>0.01</v>
      </c>
      <c r="K539">
        <f>RANK(0.01,J:J,0)</f>
        <v>708</v>
      </c>
      <c r="L539" s="53">
        <f>RANK(1.62,M:M,0)</f>
        <v>537</v>
      </c>
      <c r="M539" s="189">
        <v>1.1399999999999999</v>
      </c>
      <c r="N539" s="186">
        <f>VLOOKUP(1437,季財報!A:M,8,0)</f>
        <v>4</v>
      </c>
    </row>
    <row r="540" spans="1:14">
      <c r="A540" s="133">
        <v>3252</v>
      </c>
      <c r="C540">
        <v>5</v>
      </c>
      <c r="D540">
        <v>0</v>
      </c>
      <c r="E540">
        <v>12</v>
      </c>
      <c r="F540">
        <v>1063</v>
      </c>
      <c r="G540">
        <v>1287</v>
      </c>
      <c r="H540" s="141">
        <v>0.42</v>
      </c>
      <c r="I540">
        <f>RANK(0.42,H:H,0)</f>
        <v>6</v>
      </c>
      <c r="J540" s="137">
        <v>0</v>
      </c>
      <c r="K540">
        <f>RANK(0,J:J,0)</f>
        <v>945</v>
      </c>
      <c r="L540" s="53">
        <f>RANK(1.6,M:M,0)</f>
        <v>539</v>
      </c>
      <c r="M540" s="189">
        <v>1.1399999999999999</v>
      </c>
      <c r="N540" s="186">
        <f>VLOOKUP(3252,季財報!A:M,8,0)</f>
        <v>1</v>
      </c>
    </row>
    <row r="541" spans="1:14">
      <c r="A541" s="133">
        <v>9926</v>
      </c>
      <c r="C541">
        <v>76</v>
      </c>
      <c r="D541">
        <v>995</v>
      </c>
      <c r="E541">
        <v>2135</v>
      </c>
      <c r="F541">
        <v>2629</v>
      </c>
      <c r="G541">
        <v>0</v>
      </c>
      <c r="H541" s="141">
        <v>0.02</v>
      </c>
      <c r="I541">
        <f t="shared" ref="I541:I547" si="66">RANK(0.02,H:H,0)</f>
        <v>619</v>
      </c>
      <c r="J541" s="137">
        <v>0.03</v>
      </c>
      <c r="K541">
        <f t="shared" ref="K541:K547" si="67">RANK(0.03,J:J,0)</f>
        <v>334</v>
      </c>
      <c r="L541" s="53">
        <f t="shared" ref="L541:L547" si="68">RANK(1.59,M:M,0)</f>
        <v>540</v>
      </c>
      <c r="M541" s="189">
        <v>1.1399999999999999</v>
      </c>
      <c r="N541" s="186">
        <f>VLOOKUP(9926,季財報!A:M,8,0)</f>
        <v>2</v>
      </c>
    </row>
    <row r="542" spans="1:14">
      <c r="A542" s="133">
        <v>8450</v>
      </c>
      <c r="C542">
        <v>44</v>
      </c>
      <c r="D542">
        <v>1772</v>
      </c>
      <c r="E542">
        <v>286</v>
      </c>
      <c r="F542">
        <v>1501</v>
      </c>
      <c r="G542">
        <v>10</v>
      </c>
      <c r="H542" s="141">
        <v>0.02</v>
      </c>
      <c r="I542">
        <f t="shared" si="66"/>
        <v>619</v>
      </c>
      <c r="J542" s="137">
        <v>0.03</v>
      </c>
      <c r="K542">
        <f t="shared" si="67"/>
        <v>334</v>
      </c>
      <c r="L542" s="53">
        <f t="shared" si="68"/>
        <v>540</v>
      </c>
      <c r="M542" s="189">
        <v>1.1399999999999999</v>
      </c>
      <c r="N542" s="186">
        <f>VLOOKUP(8450,季財報!A:M,8,0)</f>
        <v>3</v>
      </c>
    </row>
    <row r="543" spans="1:14">
      <c r="A543" s="133">
        <v>2449</v>
      </c>
      <c r="C543">
        <v>715</v>
      </c>
      <c r="D543">
        <v>5804</v>
      </c>
      <c r="E543">
        <v>25442</v>
      </c>
      <c r="F543">
        <v>22045</v>
      </c>
      <c r="G543">
        <v>2451</v>
      </c>
      <c r="H543" s="141">
        <v>0.02</v>
      </c>
      <c r="I543">
        <f t="shared" si="66"/>
        <v>619</v>
      </c>
      <c r="J543" s="137">
        <v>0.03</v>
      </c>
      <c r="K543">
        <f t="shared" si="67"/>
        <v>334</v>
      </c>
      <c r="L543" s="53">
        <f t="shared" si="68"/>
        <v>540</v>
      </c>
      <c r="M543" s="189">
        <v>1.1399999999999999</v>
      </c>
      <c r="N543" s="186">
        <f>VLOOKUP(2449,季財報!A:M,8,0)</f>
        <v>1</v>
      </c>
    </row>
    <row r="544" spans="1:14">
      <c r="A544" s="133">
        <v>2605</v>
      </c>
      <c r="C544">
        <v>583</v>
      </c>
      <c r="D544">
        <v>3812</v>
      </c>
      <c r="E544">
        <v>21625</v>
      </c>
      <c r="F544">
        <v>19511</v>
      </c>
      <c r="G544">
        <v>2820</v>
      </c>
      <c r="H544" s="141">
        <v>0.02</v>
      </c>
      <c r="I544">
        <f t="shared" si="66"/>
        <v>619</v>
      </c>
      <c r="J544" s="137">
        <v>0.03</v>
      </c>
      <c r="K544">
        <f t="shared" si="67"/>
        <v>334</v>
      </c>
      <c r="L544" s="53">
        <f t="shared" si="68"/>
        <v>540</v>
      </c>
      <c r="M544" s="189">
        <v>1.1399999999999999</v>
      </c>
      <c r="N544" s="186">
        <f>VLOOKUP(2605,季財報!A:M,8,0)</f>
        <v>5</v>
      </c>
    </row>
    <row r="545" spans="1:14">
      <c r="A545" s="133">
        <v>2610</v>
      </c>
      <c r="C545">
        <v>2732</v>
      </c>
      <c r="D545">
        <v>0</v>
      </c>
      <c r="E545">
        <v>132189</v>
      </c>
      <c r="F545">
        <v>60540</v>
      </c>
      <c r="G545">
        <v>32100</v>
      </c>
      <c r="H545" s="141">
        <v>0.02</v>
      </c>
      <c r="I545">
        <f t="shared" si="66"/>
        <v>619</v>
      </c>
      <c r="J545" s="137">
        <v>0.03</v>
      </c>
      <c r="K545">
        <f t="shared" si="67"/>
        <v>334</v>
      </c>
      <c r="L545" s="53">
        <f t="shared" si="68"/>
        <v>540</v>
      </c>
      <c r="M545" s="189">
        <v>1.1399999999999999</v>
      </c>
      <c r="N545" s="186">
        <f>VLOOKUP(2610,季財報!A:M,8,0)</f>
        <v>4</v>
      </c>
    </row>
    <row r="546" spans="1:14">
      <c r="A546" s="133">
        <v>8917</v>
      </c>
      <c r="C546">
        <v>46</v>
      </c>
      <c r="D546">
        <v>619</v>
      </c>
      <c r="E546">
        <v>1441</v>
      </c>
      <c r="F546">
        <v>1769</v>
      </c>
      <c r="G546">
        <v>0</v>
      </c>
      <c r="H546" s="141">
        <v>0.02</v>
      </c>
      <c r="I546">
        <f t="shared" si="66"/>
        <v>619</v>
      </c>
      <c r="J546" s="137">
        <v>0.03</v>
      </c>
      <c r="K546">
        <f t="shared" si="67"/>
        <v>334</v>
      </c>
      <c r="L546" s="53">
        <f t="shared" si="68"/>
        <v>540</v>
      </c>
      <c r="M546" s="189">
        <v>1.1399999999999999</v>
      </c>
      <c r="N546" s="186">
        <f>VLOOKUP(8917,季財報!A:M,8,0)</f>
        <v>3</v>
      </c>
    </row>
    <row r="547" spans="1:14">
      <c r="A547" s="133">
        <v>1752</v>
      </c>
      <c r="C547">
        <v>53</v>
      </c>
      <c r="D547">
        <v>401</v>
      </c>
      <c r="E547">
        <v>1821</v>
      </c>
      <c r="F547">
        <v>1770</v>
      </c>
      <c r="G547">
        <v>187</v>
      </c>
      <c r="H547" s="141">
        <v>0.02</v>
      </c>
      <c r="I547">
        <f t="shared" si="66"/>
        <v>619</v>
      </c>
      <c r="J547" s="137">
        <v>0.03</v>
      </c>
      <c r="K547">
        <f t="shared" si="67"/>
        <v>334</v>
      </c>
      <c r="L547" s="53">
        <f t="shared" si="68"/>
        <v>540</v>
      </c>
      <c r="M547" s="189">
        <v>1.1399999999999999</v>
      </c>
      <c r="N547" s="186">
        <f>VLOOKUP(1752,季財報!A:M,8,0)</f>
        <v>3</v>
      </c>
    </row>
    <row r="548" spans="1:14">
      <c r="A548" s="133">
        <v>1906</v>
      </c>
      <c r="C548">
        <v>6</v>
      </c>
      <c r="D548">
        <v>0</v>
      </c>
      <c r="E548">
        <v>39</v>
      </c>
      <c r="F548">
        <v>2288</v>
      </c>
      <c r="G548">
        <v>950</v>
      </c>
      <c r="H548" s="141">
        <v>0.15</v>
      </c>
      <c r="I548">
        <f>RANK(0.15,H:H,0)</f>
        <v>17</v>
      </c>
      <c r="J548" s="137">
        <v>0</v>
      </c>
      <c r="K548">
        <f>RANK(0,J:J,0)</f>
        <v>945</v>
      </c>
      <c r="L548" s="53">
        <f t="shared" ref="L548:L579" si="69">RANK(1.58,M:M,0)</f>
        <v>547</v>
      </c>
      <c r="M548" s="189">
        <v>1.1399999999999999</v>
      </c>
      <c r="N548" s="186">
        <f>VLOOKUP(1906,季財報!A:M,8,0)</f>
        <v>3</v>
      </c>
    </row>
    <row r="549" spans="1:14">
      <c r="A549" s="133">
        <v>8081</v>
      </c>
      <c r="C549">
        <v>108</v>
      </c>
      <c r="D549">
        <v>2700</v>
      </c>
      <c r="E549">
        <v>524</v>
      </c>
      <c r="F549">
        <v>3792</v>
      </c>
      <c r="G549">
        <v>625</v>
      </c>
      <c r="H549" s="141">
        <v>0.03</v>
      </c>
      <c r="I549">
        <f t="shared" ref="I549:I580" si="70">RANK(0.03,H:H,0)</f>
        <v>466</v>
      </c>
      <c r="J549" s="137">
        <v>0.02</v>
      </c>
      <c r="K549">
        <f t="shared" ref="K549:K580" si="71">RANK(0.02,J:J,0)</f>
        <v>496</v>
      </c>
      <c r="L549" s="53">
        <f t="shared" si="69"/>
        <v>547</v>
      </c>
      <c r="M549" s="189">
        <v>1.1399999999999999</v>
      </c>
      <c r="N549" s="186">
        <f>VLOOKUP(8081,季財報!A:M,8,0)</f>
        <v>2</v>
      </c>
    </row>
    <row r="550" spans="1:14">
      <c r="A550" s="133">
        <v>8213</v>
      </c>
      <c r="C550">
        <v>481</v>
      </c>
      <c r="D550">
        <v>3226</v>
      </c>
      <c r="E550">
        <v>11000</v>
      </c>
      <c r="F550">
        <v>13582</v>
      </c>
      <c r="G550">
        <v>7885</v>
      </c>
      <c r="H550" s="141">
        <v>0.03</v>
      </c>
      <c r="I550">
        <f t="shared" si="70"/>
        <v>466</v>
      </c>
      <c r="J550" s="137">
        <v>0.02</v>
      </c>
      <c r="K550">
        <f t="shared" si="71"/>
        <v>496</v>
      </c>
      <c r="L550" s="53">
        <f t="shared" si="69"/>
        <v>547</v>
      </c>
      <c r="M550" s="189">
        <v>1.1399999999999999</v>
      </c>
      <c r="N550" s="186">
        <f>VLOOKUP(8213,季財報!A:M,8,0)</f>
        <v>3</v>
      </c>
    </row>
    <row r="551" spans="1:14">
      <c r="A551" s="133">
        <v>6247</v>
      </c>
      <c r="C551">
        <v>22</v>
      </c>
      <c r="D551">
        <v>297</v>
      </c>
      <c r="E551">
        <v>536</v>
      </c>
      <c r="F551">
        <v>929</v>
      </c>
      <c r="G551">
        <v>262</v>
      </c>
      <c r="H551" s="141">
        <v>0.03</v>
      </c>
      <c r="I551">
        <f t="shared" si="70"/>
        <v>466</v>
      </c>
      <c r="J551" s="137">
        <v>0.02</v>
      </c>
      <c r="K551">
        <f t="shared" si="71"/>
        <v>496</v>
      </c>
      <c r="L551" s="53">
        <f t="shared" si="69"/>
        <v>547</v>
      </c>
      <c r="M551" s="189">
        <v>1.1399999999999999</v>
      </c>
      <c r="N551" s="186">
        <f>VLOOKUP(6247,季財報!A:M,8,0)</f>
        <v>3</v>
      </c>
    </row>
    <row r="552" spans="1:14">
      <c r="A552" s="133">
        <v>6257</v>
      </c>
      <c r="C552">
        <v>228</v>
      </c>
      <c r="D552">
        <v>2839</v>
      </c>
      <c r="E552">
        <v>6142</v>
      </c>
      <c r="F552">
        <v>7746</v>
      </c>
      <c r="G552">
        <v>2149</v>
      </c>
      <c r="H552" s="141">
        <v>0.03</v>
      </c>
      <c r="I552">
        <f t="shared" si="70"/>
        <v>466</v>
      </c>
      <c r="J552" s="137">
        <v>0.02</v>
      </c>
      <c r="K552">
        <f t="shared" si="71"/>
        <v>496</v>
      </c>
      <c r="L552" s="53">
        <f t="shared" si="69"/>
        <v>547</v>
      </c>
      <c r="M552" s="189">
        <v>1.1399999999999999</v>
      </c>
      <c r="N552" s="186">
        <f>VLOOKUP(6257,季財報!A:M,8,0)</f>
        <v>2</v>
      </c>
    </row>
    <row r="553" spans="1:14">
      <c r="A553" s="133">
        <v>8099</v>
      </c>
      <c r="C553">
        <v>27</v>
      </c>
      <c r="D553">
        <v>750</v>
      </c>
      <c r="E553">
        <v>103</v>
      </c>
      <c r="F553">
        <v>969</v>
      </c>
      <c r="G553">
        <v>200</v>
      </c>
      <c r="H553" s="141">
        <v>0.03</v>
      </c>
      <c r="I553">
        <f t="shared" si="70"/>
        <v>466</v>
      </c>
      <c r="J553" s="137">
        <v>0.02</v>
      </c>
      <c r="K553">
        <f t="shared" si="71"/>
        <v>496</v>
      </c>
      <c r="L553" s="53">
        <f t="shared" si="69"/>
        <v>547</v>
      </c>
      <c r="M553" s="189">
        <v>1.1399999999999999</v>
      </c>
      <c r="N553" s="186">
        <f>VLOOKUP(8099,季財報!A:M,8,0)</f>
        <v>1</v>
      </c>
    </row>
    <row r="554" spans="1:14">
      <c r="A554" s="133">
        <v>6205</v>
      </c>
      <c r="C554">
        <v>38</v>
      </c>
      <c r="D554">
        <v>1111</v>
      </c>
      <c r="E554">
        <v>289</v>
      </c>
      <c r="F554">
        <v>1679</v>
      </c>
      <c r="G554">
        <v>0</v>
      </c>
      <c r="H554" s="141">
        <v>0.03</v>
      </c>
      <c r="I554">
        <f t="shared" si="70"/>
        <v>466</v>
      </c>
      <c r="J554" s="137">
        <v>0.02</v>
      </c>
      <c r="K554">
        <f t="shared" si="71"/>
        <v>496</v>
      </c>
      <c r="L554" s="53">
        <f t="shared" si="69"/>
        <v>547</v>
      </c>
      <c r="M554" s="189">
        <v>1.1399999999999999</v>
      </c>
      <c r="N554" s="186">
        <f>VLOOKUP(6205,季財報!A:M,8,0)</f>
        <v>5</v>
      </c>
    </row>
    <row r="555" spans="1:14">
      <c r="A555" s="133">
        <v>4129</v>
      </c>
      <c r="C555">
        <v>38</v>
      </c>
      <c r="D555">
        <v>326</v>
      </c>
      <c r="E555">
        <v>846</v>
      </c>
      <c r="F555">
        <v>1130</v>
      </c>
      <c r="G555">
        <v>460</v>
      </c>
      <c r="H555" s="141">
        <v>0.03</v>
      </c>
      <c r="I555">
        <f t="shared" si="70"/>
        <v>466</v>
      </c>
      <c r="J555" s="137">
        <v>0.02</v>
      </c>
      <c r="K555">
        <f t="shared" si="71"/>
        <v>496</v>
      </c>
      <c r="L555" s="53">
        <f t="shared" si="69"/>
        <v>547</v>
      </c>
      <c r="M555" s="189">
        <v>1.1399999999999999</v>
      </c>
      <c r="N555" s="186">
        <f>VLOOKUP(4129,季財報!A:M,8,0)</f>
        <v>3</v>
      </c>
    </row>
    <row r="556" spans="1:14">
      <c r="A556" s="133">
        <v>4138</v>
      </c>
      <c r="C556">
        <v>32</v>
      </c>
      <c r="D556">
        <v>1147</v>
      </c>
      <c r="E556">
        <v>81</v>
      </c>
      <c r="F556">
        <v>1361</v>
      </c>
      <c r="G556">
        <v>0</v>
      </c>
      <c r="H556" s="141">
        <v>0.03</v>
      </c>
      <c r="I556">
        <f t="shared" si="70"/>
        <v>466</v>
      </c>
      <c r="J556" s="137">
        <v>0.02</v>
      </c>
      <c r="K556">
        <f t="shared" si="71"/>
        <v>496</v>
      </c>
      <c r="L556" s="53">
        <f t="shared" si="69"/>
        <v>547</v>
      </c>
      <c r="M556" s="189">
        <v>1.1399999999999999</v>
      </c>
      <c r="N556" s="186">
        <f>VLOOKUP(4138,季財報!A:M,8,0)</f>
        <v>3</v>
      </c>
    </row>
    <row r="557" spans="1:14">
      <c r="A557" s="133">
        <v>4164</v>
      </c>
      <c r="C557">
        <v>145</v>
      </c>
      <c r="D557">
        <v>287</v>
      </c>
      <c r="E557">
        <v>4619</v>
      </c>
      <c r="F557">
        <v>4925</v>
      </c>
      <c r="G557">
        <v>1388</v>
      </c>
      <c r="H557" s="141">
        <v>0.03</v>
      </c>
      <c r="I557">
        <f t="shared" si="70"/>
        <v>466</v>
      </c>
      <c r="J557" s="137">
        <v>0.02</v>
      </c>
      <c r="K557">
        <f t="shared" si="71"/>
        <v>496</v>
      </c>
      <c r="L557" s="53">
        <f t="shared" si="69"/>
        <v>547</v>
      </c>
      <c r="M557" s="189">
        <v>1.1399999999999999</v>
      </c>
      <c r="N557" s="186">
        <f>VLOOKUP(4164,季財報!A:M,8,0)</f>
        <v>2</v>
      </c>
    </row>
    <row r="558" spans="1:14">
      <c r="A558" s="133">
        <v>4532</v>
      </c>
      <c r="C558">
        <v>277</v>
      </c>
      <c r="D558">
        <v>4659</v>
      </c>
      <c r="E558">
        <v>6016</v>
      </c>
      <c r="F558">
        <v>9922</v>
      </c>
      <c r="G558">
        <v>4429</v>
      </c>
      <c r="H558" s="141">
        <v>0.03</v>
      </c>
      <c r="I558">
        <f t="shared" si="70"/>
        <v>466</v>
      </c>
      <c r="J558" s="137">
        <v>0.02</v>
      </c>
      <c r="K558">
        <f t="shared" si="71"/>
        <v>496</v>
      </c>
      <c r="L558" s="53">
        <f t="shared" si="69"/>
        <v>547</v>
      </c>
      <c r="M558" s="189">
        <v>1.1399999999999999</v>
      </c>
      <c r="N558" s="186">
        <f>VLOOKUP(4532,季財報!A:M,8,0)</f>
        <v>2</v>
      </c>
    </row>
    <row r="559" spans="1:14">
      <c r="A559" s="133">
        <v>4746</v>
      </c>
      <c r="C559">
        <v>94</v>
      </c>
      <c r="D559">
        <v>756</v>
      </c>
      <c r="E559">
        <v>2627</v>
      </c>
      <c r="F559">
        <v>3008</v>
      </c>
      <c r="G559">
        <v>1066</v>
      </c>
      <c r="H559" s="141">
        <v>0.03</v>
      </c>
      <c r="I559">
        <f t="shared" si="70"/>
        <v>466</v>
      </c>
      <c r="J559" s="137">
        <v>0.02</v>
      </c>
      <c r="K559">
        <f t="shared" si="71"/>
        <v>496</v>
      </c>
      <c r="L559" s="53">
        <f t="shared" si="69"/>
        <v>547</v>
      </c>
      <c r="M559" s="189">
        <v>1.1399999999999999</v>
      </c>
      <c r="N559" s="186">
        <f>VLOOKUP(4746,季財報!A:M,8,0)</f>
        <v>5</v>
      </c>
    </row>
    <row r="560" spans="1:14">
      <c r="A560" s="133">
        <v>5403</v>
      </c>
      <c r="C560">
        <v>28</v>
      </c>
      <c r="D560">
        <v>41</v>
      </c>
      <c r="E560">
        <v>845</v>
      </c>
      <c r="F560">
        <v>1140</v>
      </c>
      <c r="G560">
        <v>313</v>
      </c>
      <c r="H560" s="141">
        <v>0.03</v>
      </c>
      <c r="I560">
        <f t="shared" si="70"/>
        <v>466</v>
      </c>
      <c r="J560" s="137">
        <v>0.02</v>
      </c>
      <c r="K560">
        <f t="shared" si="71"/>
        <v>496</v>
      </c>
      <c r="L560" s="53">
        <f t="shared" si="69"/>
        <v>547</v>
      </c>
      <c r="M560" s="189">
        <v>1.1399999999999999</v>
      </c>
      <c r="N560" s="186">
        <f>VLOOKUP(5403,季財報!A:M,8,0)</f>
        <v>1</v>
      </c>
    </row>
    <row r="561" spans="1:14">
      <c r="A561" s="133">
        <v>1220</v>
      </c>
      <c r="C561">
        <v>58</v>
      </c>
      <c r="D561">
        <v>1376</v>
      </c>
      <c r="E561">
        <v>901</v>
      </c>
      <c r="F561">
        <v>2280</v>
      </c>
      <c r="G561">
        <v>239</v>
      </c>
      <c r="H561" s="141">
        <v>0.03</v>
      </c>
      <c r="I561">
        <f t="shared" si="70"/>
        <v>466</v>
      </c>
      <c r="J561" s="137">
        <v>0.02</v>
      </c>
      <c r="K561">
        <f t="shared" si="71"/>
        <v>496</v>
      </c>
      <c r="L561" s="53">
        <f t="shared" si="69"/>
        <v>547</v>
      </c>
      <c r="M561" s="189">
        <v>1.1399999999999999</v>
      </c>
      <c r="N561" s="186">
        <f>VLOOKUP(1220,季財報!A:M,8,0)</f>
        <v>2</v>
      </c>
    </row>
    <row r="562" spans="1:14">
      <c r="A562" s="133">
        <v>1225</v>
      </c>
      <c r="C562">
        <v>95</v>
      </c>
      <c r="D562">
        <v>1480</v>
      </c>
      <c r="E562">
        <v>2226</v>
      </c>
      <c r="F562">
        <v>2993</v>
      </c>
      <c r="G562">
        <v>1229</v>
      </c>
      <c r="H562" s="141">
        <v>0.03</v>
      </c>
      <c r="I562">
        <f t="shared" si="70"/>
        <v>466</v>
      </c>
      <c r="J562" s="137">
        <v>0.02</v>
      </c>
      <c r="K562">
        <f t="shared" si="71"/>
        <v>496</v>
      </c>
      <c r="L562" s="53">
        <f t="shared" si="69"/>
        <v>547</v>
      </c>
      <c r="M562" s="189">
        <v>1.1399999999999999</v>
      </c>
      <c r="N562" s="186">
        <f>VLOOKUP(1225,季財報!A:M,8,0)</f>
        <v>1</v>
      </c>
    </row>
    <row r="563" spans="1:14">
      <c r="A563" s="133">
        <v>1312</v>
      </c>
      <c r="C563">
        <v>369</v>
      </c>
      <c r="D563">
        <v>3983</v>
      </c>
      <c r="E563">
        <v>8329</v>
      </c>
      <c r="F563">
        <v>19005</v>
      </c>
      <c r="G563">
        <v>613</v>
      </c>
      <c r="H563" s="141">
        <v>0.03</v>
      </c>
      <c r="I563">
        <f t="shared" si="70"/>
        <v>466</v>
      </c>
      <c r="J563" s="137">
        <v>0.02</v>
      </c>
      <c r="K563">
        <f t="shared" si="71"/>
        <v>496</v>
      </c>
      <c r="L563" s="53">
        <f t="shared" si="69"/>
        <v>547</v>
      </c>
      <c r="M563" s="189">
        <v>1.1399999999999999</v>
      </c>
      <c r="N563" s="186">
        <f>VLOOKUP(1312,季財報!A:M,8,0)</f>
        <v>2</v>
      </c>
    </row>
    <row r="564" spans="1:14">
      <c r="A564" s="133">
        <v>1504</v>
      </c>
      <c r="C564">
        <v>1018</v>
      </c>
      <c r="D564">
        <v>25154</v>
      </c>
      <c r="E564">
        <v>14571</v>
      </c>
      <c r="F564">
        <v>50235</v>
      </c>
      <c r="G564">
        <v>3915</v>
      </c>
      <c r="H564" s="141">
        <v>0.03</v>
      </c>
      <c r="I564">
        <f t="shared" si="70"/>
        <v>466</v>
      </c>
      <c r="J564" s="137">
        <v>0.02</v>
      </c>
      <c r="K564">
        <f t="shared" si="71"/>
        <v>496</v>
      </c>
      <c r="L564" s="53">
        <f t="shared" si="69"/>
        <v>547</v>
      </c>
      <c r="M564" s="189">
        <v>1.1399999999999999</v>
      </c>
      <c r="N564" s="186">
        <f>VLOOKUP(1504,季財報!A:M,8,0)</f>
        <v>2</v>
      </c>
    </row>
    <row r="565" spans="1:14">
      <c r="A565" s="133">
        <v>1568</v>
      </c>
      <c r="C565">
        <v>48</v>
      </c>
      <c r="D565">
        <v>476</v>
      </c>
      <c r="E565">
        <v>1361</v>
      </c>
      <c r="F565">
        <v>1597</v>
      </c>
      <c r="G565">
        <v>356</v>
      </c>
      <c r="H565" s="141">
        <v>0.03</v>
      </c>
      <c r="I565">
        <f t="shared" si="70"/>
        <v>466</v>
      </c>
      <c r="J565" s="137">
        <v>0.02</v>
      </c>
      <c r="K565">
        <f t="shared" si="71"/>
        <v>496</v>
      </c>
      <c r="L565" s="53">
        <f t="shared" si="69"/>
        <v>547</v>
      </c>
      <c r="M565" s="189">
        <v>1.1399999999999999</v>
      </c>
      <c r="N565" s="186">
        <f>VLOOKUP(1568,季財報!A:M,8,0)</f>
        <v>3</v>
      </c>
    </row>
    <row r="566" spans="1:14">
      <c r="A566" s="133">
        <v>1720</v>
      </c>
      <c r="C566">
        <v>93</v>
      </c>
      <c r="D566">
        <v>1329</v>
      </c>
      <c r="E566">
        <v>1913</v>
      </c>
      <c r="F566">
        <v>3742</v>
      </c>
      <c r="G566">
        <v>375</v>
      </c>
      <c r="H566" s="141">
        <v>0.03</v>
      </c>
      <c r="I566">
        <f t="shared" si="70"/>
        <v>466</v>
      </c>
      <c r="J566" s="137">
        <v>0.02</v>
      </c>
      <c r="K566">
        <f t="shared" si="71"/>
        <v>496</v>
      </c>
      <c r="L566" s="53">
        <f t="shared" si="69"/>
        <v>547</v>
      </c>
      <c r="M566" s="189">
        <v>1.1399999999999999</v>
      </c>
      <c r="N566" s="186">
        <f>VLOOKUP(1720,季財報!A:M,8,0)</f>
        <v>3</v>
      </c>
    </row>
    <row r="567" spans="1:14">
      <c r="A567" s="133">
        <v>1724</v>
      </c>
      <c r="C567">
        <v>39</v>
      </c>
      <c r="D567">
        <v>279</v>
      </c>
      <c r="E567">
        <v>1192</v>
      </c>
      <c r="F567">
        <v>1856</v>
      </c>
      <c r="G567">
        <v>200</v>
      </c>
      <c r="H567" s="141">
        <v>0.03</v>
      </c>
      <c r="I567">
        <f t="shared" si="70"/>
        <v>466</v>
      </c>
      <c r="J567" s="137">
        <v>0.02</v>
      </c>
      <c r="K567">
        <f t="shared" si="71"/>
        <v>496</v>
      </c>
      <c r="L567" s="53">
        <f t="shared" si="69"/>
        <v>547</v>
      </c>
      <c r="M567" s="189">
        <v>1.1399999999999999</v>
      </c>
      <c r="N567" s="186">
        <f>VLOOKUP(1724,季財報!A:M,8,0)</f>
        <v>4</v>
      </c>
    </row>
    <row r="568" spans="1:14">
      <c r="A568" s="133">
        <v>1789</v>
      </c>
      <c r="C568">
        <v>221</v>
      </c>
      <c r="D568">
        <v>3331</v>
      </c>
      <c r="E568">
        <v>5143</v>
      </c>
      <c r="F568">
        <v>9701</v>
      </c>
      <c r="G568">
        <v>1679</v>
      </c>
      <c r="H568" s="141">
        <v>0.03</v>
      </c>
      <c r="I568">
        <f t="shared" si="70"/>
        <v>466</v>
      </c>
      <c r="J568" s="137">
        <v>0.02</v>
      </c>
      <c r="K568">
        <f t="shared" si="71"/>
        <v>496</v>
      </c>
      <c r="L568" s="53">
        <f t="shared" si="69"/>
        <v>547</v>
      </c>
      <c r="M568" s="189">
        <v>1.1399999999999999</v>
      </c>
      <c r="N568" s="186">
        <f>VLOOKUP(1789,季財報!A:M,8,0)</f>
        <v>3</v>
      </c>
    </row>
    <row r="569" spans="1:14">
      <c r="A569" s="133">
        <v>2015</v>
      </c>
      <c r="C569">
        <v>364</v>
      </c>
      <c r="D569">
        <v>5869</v>
      </c>
      <c r="E569">
        <v>7849</v>
      </c>
      <c r="F569">
        <v>15686</v>
      </c>
      <c r="G569">
        <v>184</v>
      </c>
      <c r="H569" s="141">
        <v>0.03</v>
      </c>
      <c r="I569">
        <f t="shared" si="70"/>
        <v>466</v>
      </c>
      <c r="J569" s="137">
        <v>0.02</v>
      </c>
      <c r="K569">
        <f t="shared" si="71"/>
        <v>496</v>
      </c>
      <c r="L569" s="53">
        <f t="shared" si="69"/>
        <v>547</v>
      </c>
      <c r="M569" s="189">
        <v>1.1399999999999999</v>
      </c>
      <c r="N569" s="186">
        <f>VLOOKUP(2015,季財報!A:M,8,0)</f>
        <v>3</v>
      </c>
    </row>
    <row r="570" spans="1:14">
      <c r="A570" s="133">
        <v>2103</v>
      </c>
      <c r="C570">
        <v>432</v>
      </c>
      <c r="D570">
        <v>4335</v>
      </c>
      <c r="E570">
        <v>10165</v>
      </c>
      <c r="F570">
        <v>18261</v>
      </c>
      <c r="G570">
        <v>6291</v>
      </c>
      <c r="H570" s="141">
        <v>0.03</v>
      </c>
      <c r="I570">
        <f t="shared" si="70"/>
        <v>466</v>
      </c>
      <c r="J570" s="137">
        <v>0.02</v>
      </c>
      <c r="K570">
        <f t="shared" si="71"/>
        <v>496</v>
      </c>
      <c r="L570" s="53">
        <f t="shared" si="69"/>
        <v>547</v>
      </c>
      <c r="M570" s="189">
        <v>1.1399999999999999</v>
      </c>
      <c r="N570" s="186">
        <f>VLOOKUP(2103,季財報!A:M,8,0)</f>
        <v>0</v>
      </c>
    </row>
    <row r="571" spans="1:14">
      <c r="A571" s="133">
        <v>2324</v>
      </c>
      <c r="C571">
        <v>2749</v>
      </c>
      <c r="D571">
        <v>69867</v>
      </c>
      <c r="E571">
        <v>24530</v>
      </c>
      <c r="F571">
        <v>107247</v>
      </c>
      <c r="G571">
        <v>48769</v>
      </c>
      <c r="H571" s="141">
        <v>0.03</v>
      </c>
      <c r="I571">
        <f t="shared" si="70"/>
        <v>466</v>
      </c>
      <c r="J571" s="137">
        <v>0.02</v>
      </c>
      <c r="K571">
        <f t="shared" si="71"/>
        <v>496</v>
      </c>
      <c r="L571" s="53">
        <f t="shared" si="69"/>
        <v>547</v>
      </c>
      <c r="M571" s="189">
        <v>1.1399999999999999</v>
      </c>
      <c r="N571" s="186">
        <f>VLOOKUP(2324,季財報!A:M,8,0)</f>
        <v>2</v>
      </c>
    </row>
    <row r="572" spans="1:14">
      <c r="A572" s="133">
        <v>2328</v>
      </c>
      <c r="C572">
        <v>241</v>
      </c>
      <c r="D572">
        <v>5605</v>
      </c>
      <c r="E572">
        <v>2882</v>
      </c>
      <c r="F572">
        <v>11075</v>
      </c>
      <c r="G572">
        <v>974</v>
      </c>
      <c r="H572" s="141">
        <v>0.03</v>
      </c>
      <c r="I572">
        <f t="shared" si="70"/>
        <v>466</v>
      </c>
      <c r="J572" s="137">
        <v>0.02</v>
      </c>
      <c r="K572">
        <f t="shared" si="71"/>
        <v>496</v>
      </c>
      <c r="L572" s="53">
        <f t="shared" si="69"/>
        <v>547</v>
      </c>
      <c r="M572" s="189">
        <v>1.1399999999999999</v>
      </c>
      <c r="N572" s="186">
        <f>VLOOKUP(2328,季財報!A:M,8,0)</f>
        <v>2</v>
      </c>
    </row>
    <row r="573" spans="1:14">
      <c r="A573" s="133">
        <v>2356</v>
      </c>
      <c r="C573">
        <v>1752</v>
      </c>
      <c r="D573">
        <v>23271</v>
      </c>
      <c r="E573">
        <v>35834</v>
      </c>
      <c r="F573">
        <v>62150</v>
      </c>
      <c r="G573">
        <v>27739</v>
      </c>
      <c r="H573" s="141">
        <v>0.03</v>
      </c>
      <c r="I573">
        <f t="shared" si="70"/>
        <v>466</v>
      </c>
      <c r="J573" s="137">
        <v>0.02</v>
      </c>
      <c r="K573">
        <f t="shared" si="71"/>
        <v>496</v>
      </c>
      <c r="L573" s="53">
        <f t="shared" si="69"/>
        <v>547</v>
      </c>
      <c r="M573" s="189">
        <v>1.1399999999999999</v>
      </c>
      <c r="N573" s="186">
        <f>VLOOKUP(2356,季財報!A:M,8,0)</f>
        <v>4</v>
      </c>
    </row>
    <row r="574" spans="1:14">
      <c r="A574" s="133">
        <v>2373</v>
      </c>
      <c r="C574">
        <v>169</v>
      </c>
      <c r="D574">
        <v>3679</v>
      </c>
      <c r="E574">
        <v>1811</v>
      </c>
      <c r="F574">
        <v>8112</v>
      </c>
      <c r="G574">
        <v>2317</v>
      </c>
      <c r="H574" s="141">
        <v>0.03</v>
      </c>
      <c r="I574">
        <f t="shared" si="70"/>
        <v>466</v>
      </c>
      <c r="J574" s="137">
        <v>0.02</v>
      </c>
      <c r="K574">
        <f t="shared" si="71"/>
        <v>496</v>
      </c>
      <c r="L574" s="53">
        <f t="shared" si="69"/>
        <v>547</v>
      </c>
      <c r="M574" s="189">
        <v>1.1399999999999999</v>
      </c>
      <c r="N574" s="186">
        <f>VLOOKUP(2373,季財報!A:M,8,0)</f>
        <v>1</v>
      </c>
    </row>
    <row r="575" spans="1:14">
      <c r="A575" s="133">
        <v>2374</v>
      </c>
      <c r="C575">
        <v>214</v>
      </c>
      <c r="D575">
        <v>3516</v>
      </c>
      <c r="E575">
        <v>3558</v>
      </c>
      <c r="F575">
        <v>8713</v>
      </c>
      <c r="G575">
        <v>410</v>
      </c>
      <c r="H575" s="141">
        <v>0.03</v>
      </c>
      <c r="I575">
        <f t="shared" si="70"/>
        <v>466</v>
      </c>
      <c r="J575" s="137">
        <v>0.02</v>
      </c>
      <c r="K575">
        <f t="shared" si="71"/>
        <v>496</v>
      </c>
      <c r="L575" s="53">
        <f t="shared" si="69"/>
        <v>547</v>
      </c>
      <c r="M575" s="189">
        <v>1.1399999999999999</v>
      </c>
      <c r="N575" s="186">
        <f>VLOOKUP(2374,季財報!A:M,8,0)</f>
        <v>2</v>
      </c>
    </row>
    <row r="576" spans="1:14">
      <c r="A576" s="133">
        <v>2401</v>
      </c>
      <c r="C576">
        <v>290</v>
      </c>
      <c r="D576">
        <v>5295</v>
      </c>
      <c r="E576">
        <v>3573</v>
      </c>
      <c r="F576">
        <v>10724</v>
      </c>
      <c r="G576">
        <v>1744</v>
      </c>
      <c r="H576" s="141">
        <v>0.03</v>
      </c>
      <c r="I576">
        <f t="shared" si="70"/>
        <v>466</v>
      </c>
      <c r="J576" s="137">
        <v>0.02</v>
      </c>
      <c r="K576">
        <f t="shared" si="71"/>
        <v>496</v>
      </c>
      <c r="L576" s="53">
        <f t="shared" si="69"/>
        <v>547</v>
      </c>
      <c r="M576" s="189">
        <v>1.1399999999999999</v>
      </c>
      <c r="N576" s="186">
        <f>VLOOKUP(2401,季財報!A:M,8,0)</f>
        <v>0</v>
      </c>
    </row>
    <row r="577" spans="1:14">
      <c r="A577" s="133">
        <v>2413</v>
      </c>
      <c r="C577">
        <v>59</v>
      </c>
      <c r="D577">
        <v>944</v>
      </c>
      <c r="E577">
        <v>1332</v>
      </c>
      <c r="F577">
        <v>2024</v>
      </c>
      <c r="G577">
        <v>510</v>
      </c>
      <c r="H577" s="141">
        <v>0.03</v>
      </c>
      <c r="I577">
        <f t="shared" si="70"/>
        <v>466</v>
      </c>
      <c r="J577" s="137">
        <v>0.02</v>
      </c>
      <c r="K577">
        <f t="shared" si="71"/>
        <v>496</v>
      </c>
      <c r="L577" s="53">
        <f t="shared" si="69"/>
        <v>547</v>
      </c>
      <c r="M577" s="189">
        <v>1.1399999999999999</v>
      </c>
      <c r="N577" s="186">
        <f>VLOOKUP(2413,季財報!A:M,8,0)</f>
        <v>4</v>
      </c>
    </row>
    <row r="578" spans="1:14">
      <c r="A578" s="133">
        <v>2414</v>
      </c>
      <c r="C578">
        <v>75</v>
      </c>
      <c r="D578">
        <v>1754</v>
      </c>
      <c r="E578">
        <v>1050</v>
      </c>
      <c r="F578">
        <v>2927</v>
      </c>
      <c r="G578">
        <v>954</v>
      </c>
      <c r="H578" s="141">
        <v>0.03</v>
      </c>
      <c r="I578">
        <f t="shared" si="70"/>
        <v>466</v>
      </c>
      <c r="J578" s="137">
        <v>0.02</v>
      </c>
      <c r="K578">
        <f t="shared" si="71"/>
        <v>496</v>
      </c>
      <c r="L578" s="53">
        <f t="shared" si="69"/>
        <v>547</v>
      </c>
      <c r="M578" s="189">
        <v>1.01</v>
      </c>
      <c r="N578" s="186">
        <f>VLOOKUP(2414,季財報!A:M,8,0)</f>
        <v>1</v>
      </c>
    </row>
    <row r="579" spans="1:14">
      <c r="A579" s="133">
        <v>2419</v>
      </c>
      <c r="C579">
        <v>87</v>
      </c>
      <c r="D579">
        <v>2260</v>
      </c>
      <c r="E579">
        <v>965</v>
      </c>
      <c r="F579">
        <v>3365</v>
      </c>
      <c r="G579">
        <v>922</v>
      </c>
      <c r="H579" s="141">
        <v>0.03</v>
      </c>
      <c r="I579">
        <f t="shared" si="70"/>
        <v>466</v>
      </c>
      <c r="J579" s="137">
        <v>0.02</v>
      </c>
      <c r="K579">
        <f t="shared" si="71"/>
        <v>496</v>
      </c>
      <c r="L579" s="53">
        <f t="shared" si="69"/>
        <v>547</v>
      </c>
      <c r="M579" s="189">
        <v>1.01</v>
      </c>
      <c r="N579" s="186">
        <f>VLOOKUP(2419,季財報!A:M,8,0)</f>
        <v>4</v>
      </c>
    </row>
    <row r="580" spans="1:14">
      <c r="A580" s="133">
        <v>2426</v>
      </c>
      <c r="C580">
        <v>78</v>
      </c>
      <c r="D580">
        <v>1702</v>
      </c>
      <c r="E580">
        <v>1189</v>
      </c>
      <c r="F580">
        <v>3429</v>
      </c>
      <c r="G580">
        <v>732</v>
      </c>
      <c r="H580" s="141">
        <v>0.03</v>
      </c>
      <c r="I580">
        <f t="shared" si="70"/>
        <v>466</v>
      </c>
      <c r="J580" s="137">
        <v>0.02</v>
      </c>
      <c r="K580">
        <f t="shared" si="71"/>
        <v>496</v>
      </c>
      <c r="L580" s="53">
        <f t="shared" ref="L580:L607" si="72">RANK(1.58,M:M,0)</f>
        <v>547</v>
      </c>
      <c r="M580" s="189">
        <v>1.01</v>
      </c>
      <c r="N580" s="186">
        <f>VLOOKUP(2426,季財報!A:M,8,0)</f>
        <v>2</v>
      </c>
    </row>
    <row r="581" spans="1:14">
      <c r="A581" s="133">
        <v>2481</v>
      </c>
      <c r="C581">
        <v>264</v>
      </c>
      <c r="D581">
        <v>2399</v>
      </c>
      <c r="E581">
        <v>7965</v>
      </c>
      <c r="F581">
        <v>8040</v>
      </c>
      <c r="G581">
        <v>3438</v>
      </c>
      <c r="H581" s="141">
        <v>0.03</v>
      </c>
      <c r="I581">
        <f t="shared" ref="I581:I607" si="73">RANK(0.03,H:H,0)</f>
        <v>466</v>
      </c>
      <c r="J581" s="137">
        <v>0.02</v>
      </c>
      <c r="K581">
        <f t="shared" ref="K581:K607" si="74">RANK(0.02,J:J,0)</f>
        <v>496</v>
      </c>
      <c r="L581" s="53">
        <f t="shared" si="72"/>
        <v>547</v>
      </c>
      <c r="M581" s="189">
        <v>1.01</v>
      </c>
      <c r="N581" s="186">
        <f>VLOOKUP(2481,季財報!A:M,8,0)</f>
        <v>2</v>
      </c>
    </row>
    <row r="582" spans="1:14">
      <c r="A582" s="133">
        <v>2492</v>
      </c>
      <c r="C582">
        <v>393</v>
      </c>
      <c r="D582">
        <v>6563</v>
      </c>
      <c r="E582">
        <v>5721</v>
      </c>
      <c r="F582">
        <v>15344</v>
      </c>
      <c r="G582">
        <v>2787</v>
      </c>
      <c r="H582" s="141">
        <v>0.03</v>
      </c>
      <c r="I582">
        <f t="shared" si="73"/>
        <v>466</v>
      </c>
      <c r="J582" s="137">
        <v>0.02</v>
      </c>
      <c r="K582">
        <f t="shared" si="74"/>
        <v>496</v>
      </c>
      <c r="L582" s="53">
        <f t="shared" si="72"/>
        <v>547</v>
      </c>
      <c r="M582" s="189">
        <v>1.01</v>
      </c>
      <c r="N582" s="186">
        <f>VLOOKUP(2492,季財報!A:M,8,0)</f>
        <v>4</v>
      </c>
    </row>
    <row r="583" spans="1:14">
      <c r="A583" s="133">
        <v>2497</v>
      </c>
      <c r="C583">
        <v>49</v>
      </c>
      <c r="D583">
        <v>871</v>
      </c>
      <c r="E583">
        <v>1051</v>
      </c>
      <c r="F583">
        <v>2041</v>
      </c>
      <c r="G583">
        <v>573</v>
      </c>
      <c r="H583" s="141">
        <v>0.03</v>
      </c>
      <c r="I583">
        <f t="shared" si="73"/>
        <v>466</v>
      </c>
      <c r="J583" s="137">
        <v>0.02</v>
      </c>
      <c r="K583">
        <f t="shared" si="74"/>
        <v>496</v>
      </c>
      <c r="L583" s="53">
        <f t="shared" si="72"/>
        <v>547</v>
      </c>
      <c r="M583" s="189">
        <v>1.01</v>
      </c>
      <c r="N583" s="186">
        <f>VLOOKUP(2497,季財報!A:M,8,0)</f>
        <v>1</v>
      </c>
    </row>
    <row r="584" spans="1:14">
      <c r="A584" s="133">
        <v>2540</v>
      </c>
      <c r="C584">
        <v>89</v>
      </c>
      <c r="D584">
        <v>2724</v>
      </c>
      <c r="E584">
        <v>146</v>
      </c>
      <c r="F584">
        <v>3658</v>
      </c>
      <c r="G584">
        <v>951</v>
      </c>
      <c r="H584" s="141">
        <v>0.03</v>
      </c>
      <c r="I584">
        <f t="shared" si="73"/>
        <v>466</v>
      </c>
      <c r="J584" s="137">
        <v>0.02</v>
      </c>
      <c r="K584">
        <f t="shared" si="74"/>
        <v>496</v>
      </c>
      <c r="L584" s="53">
        <f t="shared" si="72"/>
        <v>547</v>
      </c>
      <c r="M584" s="189">
        <v>1.01</v>
      </c>
      <c r="N584" s="186">
        <f>VLOOKUP(2540,季財報!A:M,8,0)</f>
        <v>1</v>
      </c>
    </row>
    <row r="585" spans="1:14">
      <c r="A585" s="133">
        <v>2727</v>
      </c>
      <c r="C585">
        <v>105</v>
      </c>
      <c r="D585">
        <v>815</v>
      </c>
      <c r="E585">
        <v>2938</v>
      </c>
      <c r="F585">
        <v>4755</v>
      </c>
      <c r="G585">
        <v>111</v>
      </c>
      <c r="H585" s="141">
        <v>0.03</v>
      </c>
      <c r="I585">
        <f t="shared" si="73"/>
        <v>466</v>
      </c>
      <c r="J585" s="137">
        <v>0.02</v>
      </c>
      <c r="K585">
        <f t="shared" si="74"/>
        <v>496</v>
      </c>
      <c r="L585" s="53">
        <f t="shared" si="72"/>
        <v>547</v>
      </c>
      <c r="M585" s="189">
        <v>1.01</v>
      </c>
      <c r="N585" s="186">
        <f>VLOOKUP(2727,季財報!A:M,8,0)</f>
        <v>1</v>
      </c>
    </row>
    <row r="586" spans="1:14">
      <c r="A586" s="133">
        <v>3005</v>
      </c>
      <c r="C586">
        <v>356</v>
      </c>
      <c r="D586">
        <v>6472</v>
      </c>
      <c r="E586">
        <v>6200</v>
      </c>
      <c r="F586">
        <v>14854</v>
      </c>
      <c r="G586">
        <v>1338</v>
      </c>
      <c r="H586" s="141">
        <v>0.03</v>
      </c>
      <c r="I586">
        <f t="shared" si="73"/>
        <v>466</v>
      </c>
      <c r="J586" s="137">
        <v>0.02</v>
      </c>
      <c r="K586">
        <f t="shared" si="74"/>
        <v>496</v>
      </c>
      <c r="L586" s="53">
        <f t="shared" si="72"/>
        <v>547</v>
      </c>
      <c r="M586" s="189">
        <v>1.01</v>
      </c>
      <c r="N586" s="186">
        <f>VLOOKUP(3005,季財報!A:M,8,0)</f>
        <v>2</v>
      </c>
    </row>
    <row r="587" spans="1:14">
      <c r="A587" s="133">
        <v>3042</v>
      </c>
      <c r="C587">
        <v>246</v>
      </c>
      <c r="D587">
        <v>4955</v>
      </c>
      <c r="E587">
        <v>4877</v>
      </c>
      <c r="F587">
        <v>9922</v>
      </c>
      <c r="G587">
        <v>1736</v>
      </c>
      <c r="H587" s="141">
        <v>0.03</v>
      </c>
      <c r="I587">
        <f t="shared" si="73"/>
        <v>466</v>
      </c>
      <c r="J587" s="137">
        <v>0.02</v>
      </c>
      <c r="K587">
        <f t="shared" si="74"/>
        <v>496</v>
      </c>
      <c r="L587" s="53">
        <f t="shared" si="72"/>
        <v>547</v>
      </c>
      <c r="M587" s="189">
        <v>1.01</v>
      </c>
      <c r="N587" s="186">
        <f>VLOOKUP(3042,季財報!A:M,8,0)</f>
        <v>4</v>
      </c>
    </row>
    <row r="588" spans="1:14">
      <c r="A588" s="133">
        <v>3090</v>
      </c>
      <c r="C588">
        <v>98</v>
      </c>
      <c r="D588">
        <v>2362</v>
      </c>
      <c r="E588">
        <v>664</v>
      </c>
      <c r="F588">
        <v>2876</v>
      </c>
      <c r="G588">
        <v>1565</v>
      </c>
      <c r="H588" s="141">
        <v>0.03</v>
      </c>
      <c r="I588">
        <f t="shared" si="73"/>
        <v>466</v>
      </c>
      <c r="J588" s="137">
        <v>0.02</v>
      </c>
      <c r="K588">
        <f t="shared" si="74"/>
        <v>496</v>
      </c>
      <c r="L588" s="53">
        <f t="shared" si="72"/>
        <v>547</v>
      </c>
      <c r="M588" s="189">
        <v>1.01</v>
      </c>
      <c r="N588" s="186">
        <f>VLOOKUP(3090,季財報!A:M,8,0)</f>
        <v>2</v>
      </c>
    </row>
    <row r="589" spans="1:14">
      <c r="A589" s="133">
        <v>3689</v>
      </c>
      <c r="C589">
        <v>65</v>
      </c>
      <c r="D589">
        <v>1295</v>
      </c>
      <c r="E589">
        <v>1008</v>
      </c>
      <c r="F589">
        <v>2675</v>
      </c>
      <c r="G589">
        <v>812</v>
      </c>
      <c r="H589" s="141">
        <v>0.03</v>
      </c>
      <c r="I589">
        <f t="shared" si="73"/>
        <v>466</v>
      </c>
      <c r="J589" s="137">
        <v>0.02</v>
      </c>
      <c r="K589">
        <f t="shared" si="74"/>
        <v>496</v>
      </c>
      <c r="L589" s="53">
        <f t="shared" si="72"/>
        <v>547</v>
      </c>
      <c r="M589" s="189">
        <v>1.01</v>
      </c>
      <c r="N589" s="186">
        <f>VLOOKUP(3689,季財報!A:M,8,0)</f>
        <v>1</v>
      </c>
    </row>
    <row r="590" spans="1:14">
      <c r="A590" s="133">
        <v>8931</v>
      </c>
      <c r="C590">
        <v>47</v>
      </c>
      <c r="D590">
        <v>38</v>
      </c>
      <c r="E590">
        <v>1630</v>
      </c>
      <c r="F590">
        <v>1623</v>
      </c>
      <c r="G590">
        <v>485</v>
      </c>
      <c r="H590" s="141">
        <v>0.03</v>
      </c>
      <c r="I590">
        <f t="shared" si="73"/>
        <v>466</v>
      </c>
      <c r="J590" s="137">
        <v>0.02</v>
      </c>
      <c r="K590">
        <f t="shared" si="74"/>
        <v>496</v>
      </c>
      <c r="L590" s="53">
        <f t="shared" si="72"/>
        <v>547</v>
      </c>
      <c r="M590" s="189">
        <v>1.01</v>
      </c>
      <c r="N590" s="186">
        <f>VLOOKUP(8931,季財報!A:M,8,0)</f>
        <v>4</v>
      </c>
    </row>
    <row r="591" spans="1:14">
      <c r="A591" s="133">
        <v>6223</v>
      </c>
      <c r="C591">
        <v>98</v>
      </c>
      <c r="D591">
        <v>1021</v>
      </c>
      <c r="E591">
        <v>2847</v>
      </c>
      <c r="F591">
        <v>3681</v>
      </c>
      <c r="G591">
        <v>563</v>
      </c>
      <c r="H591" s="141">
        <v>0.03</v>
      </c>
      <c r="I591">
        <f t="shared" si="73"/>
        <v>466</v>
      </c>
      <c r="J591" s="137">
        <v>0.02</v>
      </c>
      <c r="K591">
        <f t="shared" si="74"/>
        <v>496</v>
      </c>
      <c r="L591" s="53">
        <f t="shared" si="72"/>
        <v>547</v>
      </c>
      <c r="M591" s="189">
        <v>1.01</v>
      </c>
      <c r="N591" s="186">
        <f>VLOOKUP(6223,季財報!A:M,8,0)</f>
        <v>1</v>
      </c>
    </row>
    <row r="592" spans="1:14">
      <c r="A592" s="133">
        <v>6167</v>
      </c>
      <c r="C592">
        <v>27</v>
      </c>
      <c r="D592">
        <v>0</v>
      </c>
      <c r="E592">
        <v>851</v>
      </c>
      <c r="F592">
        <v>902</v>
      </c>
      <c r="G592">
        <v>697</v>
      </c>
      <c r="H592" s="141">
        <v>0.03</v>
      </c>
      <c r="I592">
        <f t="shared" si="73"/>
        <v>466</v>
      </c>
      <c r="J592" s="137">
        <v>0.02</v>
      </c>
      <c r="K592">
        <f t="shared" si="74"/>
        <v>496</v>
      </c>
      <c r="L592" s="53">
        <f t="shared" si="72"/>
        <v>547</v>
      </c>
      <c r="M592" s="189">
        <v>1.01</v>
      </c>
      <c r="N592" s="186">
        <f>VLOOKUP(6167,季財報!A:M,8,0)</f>
        <v>1</v>
      </c>
    </row>
    <row r="593" spans="1:14">
      <c r="A593" s="133">
        <v>6115</v>
      </c>
      <c r="C593">
        <v>127</v>
      </c>
      <c r="D593">
        <v>3972</v>
      </c>
      <c r="E593">
        <v>867</v>
      </c>
      <c r="F593">
        <v>5198</v>
      </c>
      <c r="G593">
        <v>1698</v>
      </c>
      <c r="H593" s="141">
        <v>0.03</v>
      </c>
      <c r="I593">
        <f t="shared" si="73"/>
        <v>466</v>
      </c>
      <c r="J593" s="137">
        <v>0.02</v>
      </c>
      <c r="K593">
        <f t="shared" si="74"/>
        <v>496</v>
      </c>
      <c r="L593" s="53">
        <f t="shared" si="72"/>
        <v>547</v>
      </c>
      <c r="M593" s="189">
        <v>1.01</v>
      </c>
      <c r="N593" s="186">
        <f>VLOOKUP(6115,季財報!A:M,8,0)</f>
        <v>5</v>
      </c>
    </row>
    <row r="594" spans="1:14">
      <c r="A594" s="133">
        <v>6154</v>
      </c>
      <c r="C594">
        <v>30</v>
      </c>
      <c r="D594">
        <v>782</v>
      </c>
      <c r="E594">
        <v>362</v>
      </c>
      <c r="F594">
        <v>1256</v>
      </c>
      <c r="G594">
        <v>0</v>
      </c>
      <c r="H594" s="141">
        <v>0.03</v>
      </c>
      <c r="I594">
        <f t="shared" si="73"/>
        <v>466</v>
      </c>
      <c r="J594" s="137">
        <v>0.02</v>
      </c>
      <c r="K594">
        <f t="shared" si="74"/>
        <v>496</v>
      </c>
      <c r="L594" s="53">
        <f t="shared" si="72"/>
        <v>547</v>
      </c>
      <c r="M594" s="189">
        <v>1.01</v>
      </c>
      <c r="N594" s="186">
        <f>VLOOKUP(6154,季財報!A:M,8,0)</f>
        <v>2</v>
      </c>
    </row>
    <row r="595" spans="1:14">
      <c r="A595" s="133">
        <v>5438</v>
      </c>
      <c r="C595">
        <v>34</v>
      </c>
      <c r="D595">
        <v>992</v>
      </c>
      <c r="E595">
        <v>30</v>
      </c>
      <c r="F595">
        <v>1854</v>
      </c>
      <c r="G595">
        <v>0</v>
      </c>
      <c r="H595" s="141">
        <v>0.03</v>
      </c>
      <c r="I595">
        <f t="shared" si="73"/>
        <v>466</v>
      </c>
      <c r="J595" s="137">
        <v>0.02</v>
      </c>
      <c r="K595">
        <f t="shared" si="74"/>
        <v>496</v>
      </c>
      <c r="L595" s="53">
        <f t="shared" si="72"/>
        <v>547</v>
      </c>
      <c r="M595" s="189">
        <v>1.01</v>
      </c>
      <c r="N595" s="186">
        <f>VLOOKUP(5438,季財報!A:M,8,0)</f>
        <v>4</v>
      </c>
    </row>
    <row r="596" spans="1:14">
      <c r="A596" s="133">
        <v>4153</v>
      </c>
      <c r="C596">
        <v>26</v>
      </c>
      <c r="D596">
        <v>692</v>
      </c>
      <c r="E596">
        <v>254</v>
      </c>
      <c r="F596">
        <v>990</v>
      </c>
      <c r="G596">
        <v>160</v>
      </c>
      <c r="H596" s="141">
        <v>0.03</v>
      </c>
      <c r="I596">
        <f t="shared" si="73"/>
        <v>466</v>
      </c>
      <c r="J596" s="137">
        <v>0.02</v>
      </c>
      <c r="K596">
        <f t="shared" si="74"/>
        <v>496</v>
      </c>
      <c r="L596" s="53">
        <f t="shared" si="72"/>
        <v>547</v>
      </c>
      <c r="M596" s="189">
        <v>1.01</v>
      </c>
      <c r="N596" s="186">
        <f>VLOOKUP(4153,季財報!A:M,8,0)</f>
        <v>3</v>
      </c>
    </row>
    <row r="597" spans="1:14">
      <c r="A597" s="133">
        <v>4755</v>
      </c>
      <c r="C597">
        <v>48</v>
      </c>
      <c r="D597">
        <v>998</v>
      </c>
      <c r="E597">
        <v>762</v>
      </c>
      <c r="F597">
        <v>2528</v>
      </c>
      <c r="G597">
        <v>304</v>
      </c>
      <c r="H597" s="141">
        <v>0.03</v>
      </c>
      <c r="I597">
        <f t="shared" si="73"/>
        <v>466</v>
      </c>
      <c r="J597" s="137">
        <v>0.02</v>
      </c>
      <c r="K597">
        <f t="shared" si="74"/>
        <v>496</v>
      </c>
      <c r="L597" s="53">
        <f t="shared" si="72"/>
        <v>547</v>
      </c>
      <c r="M597" s="189">
        <v>1.01</v>
      </c>
      <c r="N597" s="186">
        <f>VLOOKUP(4755,季財報!A:M,8,0)</f>
        <v>3</v>
      </c>
    </row>
    <row r="598" spans="1:14">
      <c r="A598" s="133">
        <v>1339</v>
      </c>
      <c r="C598">
        <v>79</v>
      </c>
      <c r="D598">
        <v>587</v>
      </c>
      <c r="E598">
        <v>2489</v>
      </c>
      <c r="F598">
        <v>3049</v>
      </c>
      <c r="G598">
        <v>302</v>
      </c>
      <c r="H598" s="141">
        <v>0.03</v>
      </c>
      <c r="I598">
        <f t="shared" si="73"/>
        <v>466</v>
      </c>
      <c r="J598" s="137">
        <v>0.02</v>
      </c>
      <c r="K598">
        <f t="shared" si="74"/>
        <v>496</v>
      </c>
      <c r="L598" s="53">
        <f t="shared" si="72"/>
        <v>547</v>
      </c>
      <c r="M598" s="189">
        <v>1.01</v>
      </c>
      <c r="N598" s="186">
        <f>VLOOKUP(1339,季財報!A:M,8,0)</f>
        <v>3</v>
      </c>
    </row>
    <row r="599" spans="1:14">
      <c r="A599" s="133">
        <v>1533</v>
      </c>
      <c r="C599">
        <v>62</v>
      </c>
      <c r="D599">
        <v>1416</v>
      </c>
      <c r="E599">
        <v>979</v>
      </c>
      <c r="F599">
        <v>2289</v>
      </c>
      <c r="G599">
        <v>1019</v>
      </c>
      <c r="H599" s="141">
        <v>0.03</v>
      </c>
      <c r="I599">
        <f t="shared" si="73"/>
        <v>466</v>
      </c>
      <c r="J599" s="137">
        <v>0.02</v>
      </c>
      <c r="K599">
        <f t="shared" si="74"/>
        <v>496</v>
      </c>
      <c r="L599" s="53">
        <f t="shared" si="72"/>
        <v>547</v>
      </c>
      <c r="M599" s="189">
        <v>1.01</v>
      </c>
      <c r="N599" s="186">
        <f>VLOOKUP(1533,季財報!A:M,8,0)</f>
        <v>3</v>
      </c>
    </row>
    <row r="600" spans="1:14">
      <c r="A600" s="133">
        <v>2233</v>
      </c>
      <c r="C600">
        <v>55</v>
      </c>
      <c r="D600">
        <v>1039</v>
      </c>
      <c r="E600">
        <v>1127</v>
      </c>
      <c r="F600">
        <v>2141</v>
      </c>
      <c r="G600">
        <v>123</v>
      </c>
      <c r="H600" s="141">
        <v>0.03</v>
      </c>
      <c r="I600">
        <f t="shared" si="73"/>
        <v>466</v>
      </c>
      <c r="J600" s="137">
        <v>0.02</v>
      </c>
      <c r="K600">
        <f t="shared" si="74"/>
        <v>496</v>
      </c>
      <c r="L600" s="53">
        <f t="shared" si="72"/>
        <v>547</v>
      </c>
      <c r="M600" s="189">
        <v>1.01</v>
      </c>
      <c r="N600" s="186">
        <f>VLOOKUP(2233,季財報!A:M,8,0)</f>
        <v>1</v>
      </c>
    </row>
    <row r="601" spans="1:14">
      <c r="A601" s="133">
        <v>2430</v>
      </c>
      <c r="C601">
        <v>105</v>
      </c>
      <c r="D601">
        <v>0</v>
      </c>
      <c r="E601">
        <v>3687</v>
      </c>
      <c r="F601">
        <v>4530</v>
      </c>
      <c r="G601">
        <v>1</v>
      </c>
      <c r="H601" s="141">
        <v>0.03</v>
      </c>
      <c r="I601">
        <f t="shared" si="73"/>
        <v>466</v>
      </c>
      <c r="J601" s="137">
        <v>0.02</v>
      </c>
      <c r="K601">
        <f t="shared" si="74"/>
        <v>496</v>
      </c>
      <c r="L601" s="53">
        <f t="shared" si="72"/>
        <v>547</v>
      </c>
      <c r="M601" s="189">
        <v>1.01</v>
      </c>
      <c r="N601" s="186">
        <f>VLOOKUP(2430,季財報!A:M,8,0)</f>
        <v>2</v>
      </c>
    </row>
    <row r="602" spans="1:14">
      <c r="A602" s="133">
        <v>2543</v>
      </c>
      <c r="C602">
        <v>74</v>
      </c>
      <c r="D602">
        <v>2056</v>
      </c>
      <c r="E602">
        <v>689</v>
      </c>
      <c r="F602">
        <v>2757</v>
      </c>
      <c r="G602">
        <v>670</v>
      </c>
      <c r="H602" s="141">
        <v>0.03</v>
      </c>
      <c r="I602">
        <f t="shared" si="73"/>
        <v>466</v>
      </c>
      <c r="J602" s="137">
        <v>0.02</v>
      </c>
      <c r="K602">
        <f t="shared" si="74"/>
        <v>496</v>
      </c>
      <c r="L602" s="53">
        <f t="shared" si="72"/>
        <v>547</v>
      </c>
      <c r="M602" s="189">
        <v>1.01</v>
      </c>
      <c r="N602" s="186">
        <f>VLOOKUP(2543,季財報!A:M,8,0)</f>
        <v>1</v>
      </c>
    </row>
    <row r="603" spans="1:14">
      <c r="A603" s="133">
        <v>2908</v>
      </c>
      <c r="C603">
        <v>225</v>
      </c>
      <c r="D603">
        <v>860</v>
      </c>
      <c r="E603">
        <v>6429</v>
      </c>
      <c r="F603">
        <v>7447</v>
      </c>
      <c r="G603">
        <v>4704</v>
      </c>
      <c r="H603" s="141">
        <v>0.03</v>
      </c>
      <c r="I603">
        <f t="shared" si="73"/>
        <v>466</v>
      </c>
      <c r="J603" s="137">
        <v>0.02</v>
      </c>
      <c r="K603">
        <f t="shared" si="74"/>
        <v>496</v>
      </c>
      <c r="L603" s="53">
        <f t="shared" si="72"/>
        <v>547</v>
      </c>
      <c r="M603" s="189">
        <v>1.01</v>
      </c>
      <c r="N603" s="186">
        <f>VLOOKUP(2908,季財報!A:M,8,0)</f>
        <v>1</v>
      </c>
    </row>
    <row r="604" spans="1:14">
      <c r="A604" s="133">
        <v>3114</v>
      </c>
      <c r="C604">
        <v>19</v>
      </c>
      <c r="D604">
        <v>538</v>
      </c>
      <c r="E604">
        <v>123</v>
      </c>
      <c r="F604">
        <v>835</v>
      </c>
      <c r="G604">
        <v>345</v>
      </c>
      <c r="H604" s="141">
        <v>0.03</v>
      </c>
      <c r="I604">
        <f t="shared" si="73"/>
        <v>466</v>
      </c>
      <c r="J604" s="137">
        <v>0.02</v>
      </c>
      <c r="K604">
        <f t="shared" si="74"/>
        <v>496</v>
      </c>
      <c r="L604" s="53">
        <f t="shared" si="72"/>
        <v>547</v>
      </c>
      <c r="M604" s="189">
        <v>1.01</v>
      </c>
      <c r="N604" s="186">
        <f>VLOOKUP(3114,季財報!A:M,8,0)</f>
        <v>4</v>
      </c>
    </row>
    <row r="605" spans="1:14">
      <c r="A605" s="133">
        <v>3211</v>
      </c>
      <c r="C605">
        <v>203</v>
      </c>
      <c r="D605">
        <v>6120</v>
      </c>
      <c r="E605">
        <v>1663</v>
      </c>
      <c r="F605">
        <v>7373</v>
      </c>
      <c r="G605">
        <v>950</v>
      </c>
      <c r="H605" s="141">
        <v>0.03</v>
      </c>
      <c r="I605">
        <f t="shared" si="73"/>
        <v>466</v>
      </c>
      <c r="J605" s="137">
        <v>0.02</v>
      </c>
      <c r="K605">
        <f t="shared" si="74"/>
        <v>496</v>
      </c>
      <c r="L605" s="53">
        <f t="shared" si="72"/>
        <v>547</v>
      </c>
      <c r="M605" s="189">
        <v>1.01</v>
      </c>
      <c r="N605" s="186">
        <f>VLOOKUP(3211,季財報!A:M,8,0)</f>
        <v>2</v>
      </c>
    </row>
    <row r="606" spans="1:14">
      <c r="A606" s="133">
        <v>3332</v>
      </c>
      <c r="C606">
        <v>34</v>
      </c>
      <c r="D606">
        <v>1071</v>
      </c>
      <c r="E606">
        <v>227</v>
      </c>
      <c r="F606">
        <v>1392</v>
      </c>
      <c r="G606">
        <v>0</v>
      </c>
      <c r="H606" s="141">
        <v>0.03</v>
      </c>
      <c r="I606">
        <f t="shared" si="73"/>
        <v>466</v>
      </c>
      <c r="J606" s="137">
        <v>0.02</v>
      </c>
      <c r="K606">
        <f t="shared" si="74"/>
        <v>496</v>
      </c>
      <c r="L606" s="53">
        <f t="shared" si="72"/>
        <v>547</v>
      </c>
      <c r="M606" s="189">
        <v>1.01</v>
      </c>
      <c r="N606" s="186">
        <f>VLOOKUP(3332,季財報!A:M,8,0)</f>
        <v>4</v>
      </c>
    </row>
    <row r="607" spans="1:14">
      <c r="A607" s="133">
        <v>3527</v>
      </c>
      <c r="C607">
        <v>38</v>
      </c>
      <c r="D607">
        <v>1071</v>
      </c>
      <c r="E607">
        <v>176</v>
      </c>
      <c r="F607">
        <v>1499</v>
      </c>
      <c r="G607">
        <v>35</v>
      </c>
      <c r="H607" s="141">
        <v>0.03</v>
      </c>
      <c r="I607">
        <f t="shared" si="73"/>
        <v>466</v>
      </c>
      <c r="J607" s="137">
        <v>0.02</v>
      </c>
      <c r="K607">
        <f t="shared" si="74"/>
        <v>496</v>
      </c>
      <c r="L607" s="53">
        <f t="shared" si="72"/>
        <v>547</v>
      </c>
      <c r="M607" s="189">
        <v>1.01</v>
      </c>
      <c r="N607" s="186">
        <f>VLOOKUP(3527,季財報!A:M,8,0)</f>
        <v>1</v>
      </c>
    </row>
    <row r="608" spans="1:14">
      <c r="A608" s="133">
        <v>1456</v>
      </c>
      <c r="C608">
        <v>11</v>
      </c>
      <c r="D608">
        <v>0</v>
      </c>
      <c r="E608">
        <v>145</v>
      </c>
      <c r="F608">
        <v>938</v>
      </c>
      <c r="G608">
        <v>2825</v>
      </c>
      <c r="H608" s="141">
        <v>0.08</v>
      </c>
      <c r="I608">
        <f>RANK(0.08,H:H,0)</f>
        <v>80</v>
      </c>
      <c r="J608" s="137">
        <v>0</v>
      </c>
      <c r="K608">
        <f>RANK(0,J:J,0)</f>
        <v>945</v>
      </c>
      <c r="L608" s="53">
        <f>RANK(1.48,M:M,0)</f>
        <v>607</v>
      </c>
      <c r="M608" s="189">
        <v>1.01</v>
      </c>
      <c r="N608" s="186">
        <f>VLOOKUP(1456,季財報!A:M,8,0)</f>
        <v>3</v>
      </c>
    </row>
    <row r="609" spans="1:14">
      <c r="A609" s="133">
        <v>6148</v>
      </c>
      <c r="C609">
        <v>40</v>
      </c>
      <c r="D609">
        <v>925</v>
      </c>
      <c r="E609">
        <v>12</v>
      </c>
      <c r="F609">
        <v>1328</v>
      </c>
      <c r="G609">
        <v>2089</v>
      </c>
      <c r="H609" s="141">
        <v>0.04</v>
      </c>
      <c r="I609">
        <f t="shared" ref="I609:I615" si="75">RANK(0.04,H:H,0)</f>
        <v>330</v>
      </c>
      <c r="J609" s="137">
        <v>0.01</v>
      </c>
      <c r="K609">
        <f t="shared" ref="K609:K615" si="76">RANK(0.01,J:J,0)</f>
        <v>708</v>
      </c>
      <c r="L609" s="53">
        <f t="shared" ref="L609:L615" si="77">RANK(1.46,M:M,0)</f>
        <v>608</v>
      </c>
      <c r="M609" s="189">
        <v>1.01</v>
      </c>
      <c r="N609" s="186">
        <f>VLOOKUP(6148,季財報!A:M,8,0)</f>
        <v>3</v>
      </c>
    </row>
    <row r="610" spans="1:14">
      <c r="A610" s="133">
        <v>6184</v>
      </c>
      <c r="C610">
        <v>79</v>
      </c>
      <c r="D610">
        <v>0</v>
      </c>
      <c r="E610">
        <v>2169</v>
      </c>
      <c r="F610">
        <v>4995</v>
      </c>
      <c r="G610">
        <v>1704</v>
      </c>
      <c r="H610" s="141">
        <v>0.04</v>
      </c>
      <c r="I610">
        <f t="shared" si="75"/>
        <v>330</v>
      </c>
      <c r="J610" s="137">
        <v>0.01</v>
      </c>
      <c r="K610">
        <f t="shared" si="76"/>
        <v>708</v>
      </c>
      <c r="L610" s="53">
        <f t="shared" si="77"/>
        <v>608</v>
      </c>
      <c r="M610" s="189">
        <v>1.01</v>
      </c>
      <c r="N610" s="186">
        <f>VLOOKUP(6184,季財報!A:M,8,0)</f>
        <v>1</v>
      </c>
    </row>
    <row r="611" spans="1:14">
      <c r="A611" s="133">
        <v>2207</v>
      </c>
      <c r="C611">
        <v>1738</v>
      </c>
      <c r="D611">
        <v>9564</v>
      </c>
      <c r="E611">
        <v>35778</v>
      </c>
      <c r="F611">
        <v>43553</v>
      </c>
      <c r="G611">
        <v>77684</v>
      </c>
      <c r="H611" s="141">
        <v>0.04</v>
      </c>
      <c r="I611">
        <f t="shared" si="75"/>
        <v>330</v>
      </c>
      <c r="J611" s="137">
        <v>0.01</v>
      </c>
      <c r="K611">
        <f t="shared" si="76"/>
        <v>708</v>
      </c>
      <c r="L611" s="53">
        <f t="shared" si="77"/>
        <v>608</v>
      </c>
      <c r="M611" s="189">
        <v>1.01</v>
      </c>
      <c r="N611" s="186">
        <f>VLOOKUP(2207,季財報!A:M,8,0)</f>
        <v>2</v>
      </c>
    </row>
    <row r="612" spans="1:14">
      <c r="A612" s="133">
        <v>2509</v>
      </c>
      <c r="C612">
        <v>96</v>
      </c>
      <c r="D612">
        <v>2406</v>
      </c>
      <c r="E612">
        <v>204</v>
      </c>
      <c r="F612">
        <v>3245</v>
      </c>
      <c r="G612">
        <v>3778</v>
      </c>
      <c r="H612" s="141">
        <v>0.04</v>
      </c>
      <c r="I612">
        <f t="shared" si="75"/>
        <v>330</v>
      </c>
      <c r="J612" s="137">
        <v>0.01</v>
      </c>
      <c r="K612">
        <f t="shared" si="76"/>
        <v>708</v>
      </c>
      <c r="L612" s="53">
        <f t="shared" si="77"/>
        <v>608</v>
      </c>
      <c r="M612" s="189">
        <v>1.01</v>
      </c>
      <c r="N612" s="186">
        <f>VLOOKUP(2509,季財報!A:M,8,0)</f>
        <v>5</v>
      </c>
    </row>
    <row r="613" spans="1:14">
      <c r="A613" s="133">
        <v>9941</v>
      </c>
      <c r="C613">
        <v>619</v>
      </c>
      <c r="D613">
        <v>0</v>
      </c>
      <c r="E613">
        <v>15835</v>
      </c>
      <c r="F613">
        <v>9774</v>
      </c>
      <c r="G613">
        <v>74537</v>
      </c>
      <c r="H613" s="141">
        <v>0.04</v>
      </c>
      <c r="I613">
        <f t="shared" si="75"/>
        <v>330</v>
      </c>
      <c r="J613" s="137">
        <v>0.01</v>
      </c>
      <c r="K613">
        <f t="shared" si="76"/>
        <v>708</v>
      </c>
      <c r="L613" s="53">
        <f t="shared" si="77"/>
        <v>608</v>
      </c>
      <c r="M613" s="189">
        <v>1.01</v>
      </c>
      <c r="N613" s="186">
        <f>VLOOKUP(9941,季財報!A:M,8,0)</f>
        <v>0</v>
      </c>
    </row>
    <row r="614" spans="1:14">
      <c r="A614" s="133">
        <v>1333</v>
      </c>
      <c r="C614">
        <v>5</v>
      </c>
      <c r="D614">
        <v>0</v>
      </c>
      <c r="E614">
        <v>115</v>
      </c>
      <c r="F614">
        <v>518</v>
      </c>
      <c r="G614">
        <v>327</v>
      </c>
      <c r="H614" s="141">
        <v>0.04</v>
      </c>
      <c r="I614">
        <f t="shared" si="75"/>
        <v>330</v>
      </c>
      <c r="J614" s="137">
        <v>0.01</v>
      </c>
      <c r="K614">
        <f t="shared" si="76"/>
        <v>708</v>
      </c>
      <c r="L614" s="53">
        <f t="shared" si="77"/>
        <v>608</v>
      </c>
      <c r="M614" s="189">
        <v>1.01</v>
      </c>
      <c r="N614" s="186">
        <f>VLOOKUP(1333,季財報!A:M,8,0)</f>
        <v>3</v>
      </c>
    </row>
    <row r="615" spans="1:14">
      <c r="A615" s="133">
        <v>2352</v>
      </c>
      <c r="C615">
        <v>750</v>
      </c>
      <c r="D615">
        <v>545</v>
      </c>
      <c r="E615">
        <v>19707</v>
      </c>
      <c r="F615">
        <v>30780</v>
      </c>
      <c r="G615">
        <v>21068</v>
      </c>
      <c r="H615" s="141">
        <v>0.04</v>
      </c>
      <c r="I615">
        <f t="shared" si="75"/>
        <v>330</v>
      </c>
      <c r="J615" s="137">
        <v>0.01</v>
      </c>
      <c r="K615">
        <f t="shared" si="76"/>
        <v>708</v>
      </c>
      <c r="L615" s="53">
        <f t="shared" si="77"/>
        <v>608</v>
      </c>
      <c r="M615" s="189">
        <v>1.01</v>
      </c>
      <c r="N615" s="186">
        <f>VLOOKUP(2352,季財報!A:M,8,0)</f>
        <v>1</v>
      </c>
    </row>
    <row r="616" spans="1:14">
      <c r="A616" s="133">
        <v>1229</v>
      </c>
      <c r="C616">
        <v>95</v>
      </c>
      <c r="D616">
        <v>0</v>
      </c>
      <c r="E616">
        <v>1501</v>
      </c>
      <c r="F616">
        <v>20002</v>
      </c>
      <c r="G616">
        <v>2890</v>
      </c>
      <c r="H616" s="141">
        <v>0.06</v>
      </c>
      <c r="I616">
        <f>RANK(0.06,H:H,0)</f>
        <v>155</v>
      </c>
      <c r="J616" s="137">
        <v>0</v>
      </c>
      <c r="K616">
        <f>RANK(0,J:J,0)</f>
        <v>945</v>
      </c>
      <c r="L616" s="53">
        <f>RANK(1.38,M:M,0)</f>
        <v>615</v>
      </c>
      <c r="M616" s="189">
        <v>1.01</v>
      </c>
      <c r="N616" s="186">
        <f>VLOOKUP(1229,季財報!A:M,8,0)</f>
        <v>1</v>
      </c>
    </row>
    <row r="617" spans="1:14">
      <c r="A617" s="133">
        <v>9939</v>
      </c>
      <c r="C617">
        <v>391</v>
      </c>
      <c r="D617">
        <v>0</v>
      </c>
      <c r="E617">
        <v>18675</v>
      </c>
      <c r="F617">
        <v>13636</v>
      </c>
      <c r="G617">
        <v>10013</v>
      </c>
      <c r="H617" s="141">
        <v>0.02</v>
      </c>
      <c r="I617">
        <f t="shared" ref="I617:I648" si="78">RANK(0.02,H:H,0)</f>
        <v>619</v>
      </c>
      <c r="J617" s="137">
        <v>0.02</v>
      </c>
      <c r="K617">
        <f t="shared" ref="K617:K648" si="79">RANK(0.02,J:J,0)</f>
        <v>496</v>
      </c>
      <c r="L617" s="53">
        <f t="shared" ref="L617:L648" si="80">RANK(1.36,M:M,0)</f>
        <v>616</v>
      </c>
      <c r="M617" s="189">
        <v>1.01</v>
      </c>
      <c r="N617" s="186">
        <f>VLOOKUP(9939,季財報!A:M,8,0)</f>
        <v>1</v>
      </c>
    </row>
    <row r="618" spans="1:14">
      <c r="A618" s="133">
        <v>9907</v>
      </c>
      <c r="C618">
        <v>662</v>
      </c>
      <c r="D618">
        <v>0</v>
      </c>
      <c r="E618">
        <v>33846</v>
      </c>
      <c r="F618">
        <v>20739</v>
      </c>
      <c r="G618">
        <v>9910</v>
      </c>
      <c r="H618" s="141">
        <v>0.02</v>
      </c>
      <c r="I618">
        <f t="shared" si="78"/>
        <v>619</v>
      </c>
      <c r="J618" s="137">
        <v>0.02</v>
      </c>
      <c r="K618">
        <f t="shared" si="79"/>
        <v>496</v>
      </c>
      <c r="L618" s="53">
        <f t="shared" si="80"/>
        <v>616</v>
      </c>
      <c r="M618" s="189">
        <v>1.01</v>
      </c>
      <c r="N618" s="186">
        <f>VLOOKUP(9907,季財報!A:M,8,0)</f>
        <v>2</v>
      </c>
    </row>
    <row r="619" spans="1:14">
      <c r="A619" s="133">
        <v>9927</v>
      </c>
      <c r="C619">
        <v>93</v>
      </c>
      <c r="D619">
        <v>3427</v>
      </c>
      <c r="E619">
        <v>621</v>
      </c>
      <c r="F619">
        <v>4445</v>
      </c>
      <c r="G619">
        <v>1477</v>
      </c>
      <c r="H619" s="141">
        <v>0.02</v>
      </c>
      <c r="I619">
        <f t="shared" si="78"/>
        <v>619</v>
      </c>
      <c r="J619" s="137">
        <v>0.02</v>
      </c>
      <c r="K619">
        <f t="shared" si="79"/>
        <v>496</v>
      </c>
      <c r="L619" s="53">
        <f t="shared" si="80"/>
        <v>616</v>
      </c>
      <c r="M619" s="189">
        <v>1.01</v>
      </c>
      <c r="N619" s="186">
        <f>VLOOKUP(9927,季財報!A:M,8,0)</f>
        <v>3</v>
      </c>
    </row>
    <row r="620" spans="1:14">
      <c r="A620" s="133">
        <v>9904</v>
      </c>
      <c r="C620">
        <v>3081</v>
      </c>
      <c r="D620">
        <v>55094</v>
      </c>
      <c r="E620">
        <v>68204</v>
      </c>
      <c r="F620">
        <v>153888</v>
      </c>
      <c r="G620">
        <v>39209</v>
      </c>
      <c r="H620" s="141">
        <v>0.02</v>
      </c>
      <c r="I620">
        <f t="shared" si="78"/>
        <v>619</v>
      </c>
      <c r="J620" s="137">
        <v>0.02</v>
      </c>
      <c r="K620">
        <f t="shared" si="79"/>
        <v>496</v>
      </c>
      <c r="L620" s="53">
        <f t="shared" si="80"/>
        <v>616</v>
      </c>
      <c r="M620" s="189">
        <v>1.01</v>
      </c>
      <c r="N620" s="186">
        <f>VLOOKUP(9904,季財報!A:M,8,0)</f>
        <v>3</v>
      </c>
    </row>
    <row r="621" spans="1:14">
      <c r="A621" s="133">
        <v>8411</v>
      </c>
      <c r="C621">
        <v>131</v>
      </c>
      <c r="D621">
        <v>1980</v>
      </c>
      <c r="E621">
        <v>4297</v>
      </c>
      <c r="F621">
        <v>6128</v>
      </c>
      <c r="G621">
        <v>1347</v>
      </c>
      <c r="H621" s="141">
        <v>0.02</v>
      </c>
      <c r="I621">
        <f t="shared" si="78"/>
        <v>619</v>
      </c>
      <c r="J621" s="137">
        <v>0.02</v>
      </c>
      <c r="K621">
        <f t="shared" si="79"/>
        <v>496</v>
      </c>
      <c r="L621" s="53">
        <f t="shared" si="80"/>
        <v>616</v>
      </c>
      <c r="M621" s="189">
        <v>1.01</v>
      </c>
      <c r="N621" s="186">
        <f>VLOOKUP(8411,季財報!A:M,8,0)</f>
        <v>5</v>
      </c>
    </row>
    <row r="622" spans="1:14">
      <c r="A622" s="133">
        <v>8929</v>
      </c>
      <c r="C622">
        <v>15</v>
      </c>
      <c r="D622">
        <v>608</v>
      </c>
      <c r="E622">
        <v>294</v>
      </c>
      <c r="F622">
        <v>878</v>
      </c>
      <c r="G622">
        <v>93</v>
      </c>
      <c r="H622" s="141">
        <v>0.02</v>
      </c>
      <c r="I622">
        <f t="shared" si="78"/>
        <v>619</v>
      </c>
      <c r="J622" s="137">
        <v>0.02</v>
      </c>
      <c r="K622">
        <f t="shared" si="79"/>
        <v>496</v>
      </c>
      <c r="L622" s="53">
        <f t="shared" si="80"/>
        <v>616</v>
      </c>
      <c r="M622" s="189">
        <v>1.01</v>
      </c>
      <c r="N622" s="186">
        <f>VLOOKUP(8929,季財報!A:M,8,0)</f>
        <v>1</v>
      </c>
    </row>
    <row r="623" spans="1:14">
      <c r="A623" s="133">
        <v>8234</v>
      </c>
      <c r="C623">
        <v>44</v>
      </c>
      <c r="D623">
        <v>699</v>
      </c>
      <c r="E623">
        <v>1507</v>
      </c>
      <c r="F623">
        <v>2297</v>
      </c>
      <c r="G623">
        <v>601</v>
      </c>
      <c r="H623" s="141">
        <v>0.02</v>
      </c>
      <c r="I623">
        <f t="shared" si="78"/>
        <v>619</v>
      </c>
      <c r="J623" s="137">
        <v>0.02</v>
      </c>
      <c r="K623">
        <f t="shared" si="79"/>
        <v>496</v>
      </c>
      <c r="L623" s="53">
        <f t="shared" si="80"/>
        <v>616</v>
      </c>
      <c r="M623" s="189">
        <v>1.01</v>
      </c>
      <c r="N623" s="186">
        <f>VLOOKUP(8234,季財報!A:M,8,0)</f>
        <v>2</v>
      </c>
    </row>
    <row r="624" spans="1:14">
      <c r="A624" s="133">
        <v>8261</v>
      </c>
      <c r="C624">
        <v>23</v>
      </c>
      <c r="D624">
        <v>904</v>
      </c>
      <c r="E624">
        <v>275</v>
      </c>
      <c r="F624">
        <v>1328</v>
      </c>
      <c r="G624">
        <v>0</v>
      </c>
      <c r="H624" s="141">
        <v>0.02</v>
      </c>
      <c r="I624">
        <f t="shared" si="78"/>
        <v>619</v>
      </c>
      <c r="J624" s="137">
        <v>0.02</v>
      </c>
      <c r="K624">
        <f t="shared" si="79"/>
        <v>496</v>
      </c>
      <c r="L624" s="53">
        <f t="shared" si="80"/>
        <v>616</v>
      </c>
      <c r="M624" s="189">
        <v>1.01</v>
      </c>
      <c r="N624" s="186">
        <f>VLOOKUP(8261,季財報!A:M,8,0)</f>
        <v>3</v>
      </c>
    </row>
    <row r="625" spans="1:14">
      <c r="A625" s="133">
        <v>6426</v>
      </c>
      <c r="C625">
        <v>12</v>
      </c>
      <c r="D625">
        <v>322</v>
      </c>
      <c r="E625">
        <v>291</v>
      </c>
      <c r="F625">
        <v>612</v>
      </c>
      <c r="G625">
        <v>25</v>
      </c>
      <c r="H625" s="141">
        <v>0.02</v>
      </c>
      <c r="I625">
        <f t="shared" si="78"/>
        <v>619</v>
      </c>
      <c r="J625" s="137">
        <v>0.02</v>
      </c>
      <c r="K625">
        <f t="shared" si="79"/>
        <v>496</v>
      </c>
      <c r="L625" s="53">
        <f t="shared" si="80"/>
        <v>616</v>
      </c>
      <c r="M625" s="189">
        <v>1.01</v>
      </c>
      <c r="N625" s="186">
        <f>VLOOKUP(6426,季財報!A:M,8,0)</f>
        <v>3</v>
      </c>
    </row>
    <row r="626" spans="1:14">
      <c r="A626" s="133">
        <v>8047</v>
      </c>
      <c r="C626">
        <v>10</v>
      </c>
      <c r="D626">
        <v>377</v>
      </c>
      <c r="E626">
        <v>148</v>
      </c>
      <c r="F626">
        <v>542</v>
      </c>
      <c r="G626">
        <v>0</v>
      </c>
      <c r="H626" s="141">
        <v>0.02</v>
      </c>
      <c r="I626">
        <f t="shared" si="78"/>
        <v>619</v>
      </c>
      <c r="J626" s="137">
        <v>0.02</v>
      </c>
      <c r="K626">
        <f t="shared" si="79"/>
        <v>496</v>
      </c>
      <c r="L626" s="53">
        <f t="shared" si="80"/>
        <v>616</v>
      </c>
      <c r="M626" s="189">
        <v>1.01</v>
      </c>
      <c r="N626" s="186">
        <f>VLOOKUP(8047,季財報!A:M,8,0)</f>
        <v>0</v>
      </c>
    </row>
    <row r="627" spans="1:14">
      <c r="A627" s="133">
        <v>6174</v>
      </c>
      <c r="C627">
        <v>14</v>
      </c>
      <c r="D627">
        <v>349</v>
      </c>
      <c r="E627">
        <v>225</v>
      </c>
      <c r="F627">
        <v>579</v>
      </c>
      <c r="G627">
        <v>7</v>
      </c>
      <c r="H627" s="141">
        <v>0.02</v>
      </c>
      <c r="I627">
        <f t="shared" si="78"/>
        <v>619</v>
      </c>
      <c r="J627" s="137">
        <v>0.02</v>
      </c>
      <c r="K627">
        <f t="shared" si="79"/>
        <v>496</v>
      </c>
      <c r="L627" s="53">
        <f t="shared" si="80"/>
        <v>616</v>
      </c>
      <c r="M627" s="189">
        <v>1.01</v>
      </c>
      <c r="N627" s="186">
        <f>VLOOKUP(6174,季財報!A:M,8,0)</f>
        <v>4</v>
      </c>
    </row>
    <row r="628" spans="1:14">
      <c r="A628" s="133">
        <v>6261</v>
      </c>
      <c r="C628">
        <v>111</v>
      </c>
      <c r="D628">
        <v>1427</v>
      </c>
      <c r="E628">
        <v>3833</v>
      </c>
      <c r="F628">
        <v>5867</v>
      </c>
      <c r="G628">
        <v>953</v>
      </c>
      <c r="H628" s="141">
        <v>0.02</v>
      </c>
      <c r="I628">
        <f t="shared" si="78"/>
        <v>619</v>
      </c>
      <c r="J628" s="137">
        <v>0.02</v>
      </c>
      <c r="K628">
        <f t="shared" si="79"/>
        <v>496</v>
      </c>
      <c r="L628" s="53">
        <f t="shared" si="80"/>
        <v>616</v>
      </c>
      <c r="M628" s="189">
        <v>1.01</v>
      </c>
      <c r="N628" s="186">
        <f>VLOOKUP(6261,季財報!A:M,8,0)</f>
        <v>1</v>
      </c>
    </row>
    <row r="629" spans="1:14">
      <c r="A629" s="133">
        <v>6282</v>
      </c>
      <c r="C629">
        <v>182</v>
      </c>
      <c r="D629">
        <v>4477</v>
      </c>
      <c r="E629">
        <v>3609</v>
      </c>
      <c r="F629">
        <v>8848</v>
      </c>
      <c r="G629">
        <v>266</v>
      </c>
      <c r="H629" s="141">
        <v>0.02</v>
      </c>
      <c r="I629">
        <f t="shared" si="78"/>
        <v>619</v>
      </c>
      <c r="J629" s="137">
        <v>0.02</v>
      </c>
      <c r="K629">
        <f t="shared" si="79"/>
        <v>496</v>
      </c>
      <c r="L629" s="53">
        <f t="shared" si="80"/>
        <v>616</v>
      </c>
      <c r="M629" s="189">
        <v>1.01</v>
      </c>
      <c r="N629" s="186">
        <f>VLOOKUP(6282,季財報!A:M,8,0)</f>
        <v>3</v>
      </c>
    </row>
    <row r="630" spans="1:14">
      <c r="A630" s="133">
        <v>6505</v>
      </c>
      <c r="C630">
        <v>5392</v>
      </c>
      <c r="D630">
        <v>138625</v>
      </c>
      <c r="E630">
        <v>134335</v>
      </c>
      <c r="F630">
        <v>248726</v>
      </c>
      <c r="G630">
        <v>30732</v>
      </c>
      <c r="H630" s="141">
        <v>0.02</v>
      </c>
      <c r="I630">
        <f t="shared" si="78"/>
        <v>619</v>
      </c>
      <c r="J630" s="137">
        <v>0.02</v>
      </c>
      <c r="K630">
        <f t="shared" si="79"/>
        <v>496</v>
      </c>
      <c r="L630" s="53">
        <f t="shared" si="80"/>
        <v>616</v>
      </c>
      <c r="M630" s="189">
        <v>1.01</v>
      </c>
      <c r="N630" s="186">
        <f>VLOOKUP(6505,季財報!A:M,8,0)</f>
        <v>2</v>
      </c>
    </row>
    <row r="631" spans="1:14">
      <c r="A631" s="133">
        <v>6508</v>
      </c>
      <c r="C631">
        <v>39</v>
      </c>
      <c r="D631">
        <v>1135</v>
      </c>
      <c r="E631">
        <v>767</v>
      </c>
      <c r="F631">
        <v>2045</v>
      </c>
      <c r="G631">
        <v>299</v>
      </c>
      <c r="H631" s="141">
        <v>0.02</v>
      </c>
      <c r="I631">
        <f t="shared" si="78"/>
        <v>619</v>
      </c>
      <c r="J631" s="137">
        <v>0.02</v>
      </c>
      <c r="K631">
        <f t="shared" si="79"/>
        <v>496</v>
      </c>
      <c r="L631" s="53">
        <f t="shared" si="80"/>
        <v>616</v>
      </c>
      <c r="M631" s="189">
        <v>1.01</v>
      </c>
      <c r="N631" s="186">
        <f>VLOOKUP(6508,季財報!A:M,8,0)</f>
        <v>1</v>
      </c>
    </row>
    <row r="632" spans="1:14">
      <c r="A632" s="133">
        <v>8222</v>
      </c>
      <c r="C632">
        <v>16</v>
      </c>
      <c r="D632">
        <v>424</v>
      </c>
      <c r="E632">
        <v>577</v>
      </c>
      <c r="F632">
        <v>869</v>
      </c>
      <c r="G632">
        <v>186</v>
      </c>
      <c r="H632" s="141">
        <v>0.02</v>
      </c>
      <c r="I632">
        <f t="shared" si="78"/>
        <v>619</v>
      </c>
      <c r="J632" s="137">
        <v>0.02</v>
      </c>
      <c r="K632">
        <f t="shared" si="79"/>
        <v>496</v>
      </c>
      <c r="L632" s="53">
        <f t="shared" si="80"/>
        <v>616</v>
      </c>
      <c r="M632" s="189">
        <v>1.01</v>
      </c>
      <c r="N632" s="186">
        <f>VLOOKUP(8222,季財報!A:M,8,0)</f>
        <v>3</v>
      </c>
    </row>
    <row r="633" spans="1:14">
      <c r="A633" s="133">
        <v>6127</v>
      </c>
      <c r="C633">
        <v>31</v>
      </c>
      <c r="D633">
        <v>84</v>
      </c>
      <c r="E633">
        <v>1177</v>
      </c>
      <c r="F633">
        <v>1173</v>
      </c>
      <c r="G633">
        <v>746</v>
      </c>
      <c r="H633" s="141">
        <v>0.02</v>
      </c>
      <c r="I633">
        <f t="shared" si="78"/>
        <v>619</v>
      </c>
      <c r="J633" s="137">
        <v>0.02</v>
      </c>
      <c r="K633">
        <f t="shared" si="79"/>
        <v>496</v>
      </c>
      <c r="L633" s="53">
        <f t="shared" si="80"/>
        <v>616</v>
      </c>
      <c r="M633" s="189">
        <v>1.01</v>
      </c>
      <c r="N633" s="186">
        <f>VLOOKUP(6127,季財報!A:M,8,0)</f>
        <v>1</v>
      </c>
    </row>
    <row r="634" spans="1:14">
      <c r="A634" s="133">
        <v>6201</v>
      </c>
      <c r="C634">
        <v>47</v>
      </c>
      <c r="D634">
        <v>1764</v>
      </c>
      <c r="E634">
        <v>688</v>
      </c>
      <c r="F634">
        <v>2409</v>
      </c>
      <c r="G634">
        <v>4</v>
      </c>
      <c r="H634" s="141">
        <v>0.02</v>
      </c>
      <c r="I634">
        <f t="shared" si="78"/>
        <v>619</v>
      </c>
      <c r="J634" s="137">
        <v>0.02</v>
      </c>
      <c r="K634">
        <f t="shared" si="79"/>
        <v>496</v>
      </c>
      <c r="L634" s="53">
        <f t="shared" si="80"/>
        <v>616</v>
      </c>
      <c r="M634" s="189">
        <v>1.01</v>
      </c>
      <c r="N634" s="186">
        <f>VLOOKUP(6201,季財報!A:M,8,0)</f>
        <v>3</v>
      </c>
    </row>
    <row r="635" spans="1:14">
      <c r="A635" s="133">
        <v>5102</v>
      </c>
      <c r="C635">
        <v>17</v>
      </c>
      <c r="D635">
        <v>302</v>
      </c>
      <c r="E635">
        <v>471</v>
      </c>
      <c r="F635">
        <v>855</v>
      </c>
      <c r="G635">
        <v>270</v>
      </c>
      <c r="H635" s="141">
        <v>0.02</v>
      </c>
      <c r="I635">
        <f t="shared" si="78"/>
        <v>619</v>
      </c>
      <c r="J635" s="137">
        <v>0.02</v>
      </c>
      <c r="K635">
        <f t="shared" si="79"/>
        <v>496</v>
      </c>
      <c r="L635" s="53">
        <f t="shared" si="80"/>
        <v>616</v>
      </c>
      <c r="M635" s="189">
        <v>1.01</v>
      </c>
      <c r="N635" s="186">
        <f>VLOOKUP(5102,季財報!A:M,8,0)</f>
        <v>1</v>
      </c>
    </row>
    <row r="636" spans="1:14">
      <c r="A636" s="133">
        <v>5209</v>
      </c>
      <c r="C636">
        <v>10</v>
      </c>
      <c r="D636">
        <v>403</v>
      </c>
      <c r="E636">
        <v>73</v>
      </c>
      <c r="F636">
        <v>496</v>
      </c>
      <c r="G636">
        <v>0</v>
      </c>
      <c r="H636" s="141">
        <v>0.02</v>
      </c>
      <c r="I636">
        <f t="shared" si="78"/>
        <v>619</v>
      </c>
      <c r="J636" s="137">
        <v>0.02</v>
      </c>
      <c r="K636">
        <f t="shared" si="79"/>
        <v>496</v>
      </c>
      <c r="L636" s="53">
        <f t="shared" si="80"/>
        <v>616</v>
      </c>
      <c r="M636" s="189">
        <v>1.01</v>
      </c>
      <c r="N636" s="186">
        <f>VLOOKUP(5209,季財報!A:M,8,0)</f>
        <v>3</v>
      </c>
    </row>
    <row r="637" spans="1:14">
      <c r="A637" s="133">
        <v>5457</v>
      </c>
      <c r="C637">
        <v>38</v>
      </c>
      <c r="D637">
        <v>704</v>
      </c>
      <c r="E637">
        <v>1022</v>
      </c>
      <c r="F637">
        <v>1881</v>
      </c>
      <c r="G637">
        <v>511</v>
      </c>
      <c r="H637" s="141">
        <v>0.02</v>
      </c>
      <c r="I637">
        <f t="shared" si="78"/>
        <v>619</v>
      </c>
      <c r="J637" s="137">
        <v>0.02</v>
      </c>
      <c r="K637">
        <f t="shared" si="79"/>
        <v>496</v>
      </c>
      <c r="L637" s="53">
        <f t="shared" si="80"/>
        <v>616</v>
      </c>
      <c r="M637" s="189">
        <v>1.01</v>
      </c>
      <c r="N637" s="186">
        <f>VLOOKUP(5457,季財報!A:M,8,0)</f>
        <v>0</v>
      </c>
    </row>
    <row r="638" spans="1:14">
      <c r="A638" s="133">
        <v>5519</v>
      </c>
      <c r="C638">
        <v>77</v>
      </c>
      <c r="D638">
        <v>4446</v>
      </c>
      <c r="E638">
        <v>111</v>
      </c>
      <c r="F638">
        <v>2881</v>
      </c>
      <c r="G638">
        <v>729</v>
      </c>
      <c r="H638" s="141">
        <v>0.02</v>
      </c>
      <c r="I638">
        <f t="shared" si="78"/>
        <v>619</v>
      </c>
      <c r="J638" s="137">
        <v>0.02</v>
      </c>
      <c r="K638">
        <f t="shared" si="79"/>
        <v>496</v>
      </c>
      <c r="L638" s="53">
        <f t="shared" si="80"/>
        <v>616</v>
      </c>
      <c r="M638" s="189">
        <v>1.01</v>
      </c>
      <c r="N638" s="186">
        <f>VLOOKUP(5519,季財報!A:M,8,0)</f>
        <v>2</v>
      </c>
    </row>
    <row r="639" spans="1:14">
      <c r="A639" s="133">
        <v>4429</v>
      </c>
      <c r="C639">
        <v>20</v>
      </c>
      <c r="D639">
        <v>304</v>
      </c>
      <c r="E639">
        <v>728</v>
      </c>
      <c r="F639">
        <v>1080</v>
      </c>
      <c r="G639">
        <v>54</v>
      </c>
      <c r="H639" s="141">
        <v>0.02</v>
      </c>
      <c r="I639">
        <f t="shared" si="78"/>
        <v>619</v>
      </c>
      <c r="J639" s="137">
        <v>0.02</v>
      </c>
      <c r="K639">
        <f t="shared" si="79"/>
        <v>496</v>
      </c>
      <c r="L639" s="53">
        <f t="shared" si="80"/>
        <v>616</v>
      </c>
      <c r="M639" s="189">
        <v>1.01</v>
      </c>
      <c r="N639" s="186">
        <f>VLOOKUP(4429,季財報!A:M,8,0)</f>
        <v>3</v>
      </c>
    </row>
    <row r="640" spans="1:14">
      <c r="A640" s="133">
        <v>4549</v>
      </c>
      <c r="C640">
        <v>18</v>
      </c>
      <c r="D640">
        <v>774</v>
      </c>
      <c r="E640">
        <v>421</v>
      </c>
      <c r="F640">
        <v>1188</v>
      </c>
      <c r="G640">
        <v>2</v>
      </c>
      <c r="H640" s="141">
        <v>0.02</v>
      </c>
      <c r="I640">
        <f t="shared" si="78"/>
        <v>619</v>
      </c>
      <c r="J640" s="137">
        <v>0.02</v>
      </c>
      <c r="K640">
        <f t="shared" si="79"/>
        <v>496</v>
      </c>
      <c r="L640" s="53">
        <f t="shared" si="80"/>
        <v>616</v>
      </c>
      <c r="M640" s="189">
        <v>1.01</v>
      </c>
      <c r="N640" s="186">
        <f>VLOOKUP(4549,季財報!A:M,8,0)</f>
        <v>4</v>
      </c>
    </row>
    <row r="641" spans="1:14">
      <c r="A641" s="133">
        <v>4909</v>
      </c>
      <c r="C641">
        <v>58</v>
      </c>
      <c r="D641">
        <v>2233</v>
      </c>
      <c r="E641">
        <v>404</v>
      </c>
      <c r="F641">
        <v>2561</v>
      </c>
      <c r="G641">
        <v>0</v>
      </c>
      <c r="H641" s="141">
        <v>0.02</v>
      </c>
      <c r="I641">
        <f t="shared" si="78"/>
        <v>619</v>
      </c>
      <c r="J641" s="137">
        <v>0.02</v>
      </c>
      <c r="K641">
        <f t="shared" si="79"/>
        <v>496</v>
      </c>
      <c r="L641" s="53">
        <f t="shared" si="80"/>
        <v>616</v>
      </c>
      <c r="M641" s="189">
        <v>1.01</v>
      </c>
      <c r="N641" s="186">
        <f>VLOOKUP(4909,季財報!A:M,8,0)</f>
        <v>3</v>
      </c>
    </row>
    <row r="642" spans="1:14">
      <c r="A642" s="133">
        <v>1319</v>
      </c>
      <c r="C642">
        <v>377</v>
      </c>
      <c r="D642">
        <v>1187</v>
      </c>
      <c r="E642">
        <v>17691</v>
      </c>
      <c r="F642">
        <v>18634</v>
      </c>
      <c r="G642">
        <v>4210</v>
      </c>
      <c r="H642" s="141">
        <v>0.02</v>
      </c>
      <c r="I642">
        <f t="shared" si="78"/>
        <v>619</v>
      </c>
      <c r="J642" s="137">
        <v>0.02</v>
      </c>
      <c r="K642">
        <f t="shared" si="79"/>
        <v>496</v>
      </c>
      <c r="L642" s="53">
        <f t="shared" si="80"/>
        <v>616</v>
      </c>
      <c r="M642" s="189">
        <v>1.01</v>
      </c>
      <c r="N642" s="186">
        <f>VLOOKUP(1319,季財報!A:M,8,0)</f>
        <v>3</v>
      </c>
    </row>
    <row r="643" spans="1:14">
      <c r="A643" s="133">
        <v>1324</v>
      </c>
      <c r="C643">
        <v>19</v>
      </c>
      <c r="D643">
        <v>627</v>
      </c>
      <c r="E643">
        <v>369</v>
      </c>
      <c r="F643">
        <v>984</v>
      </c>
      <c r="G643">
        <v>0</v>
      </c>
      <c r="H643" s="141">
        <v>0.02</v>
      </c>
      <c r="I643">
        <f t="shared" si="78"/>
        <v>619</v>
      </c>
      <c r="J643" s="137">
        <v>0.02</v>
      </c>
      <c r="K643">
        <f t="shared" si="79"/>
        <v>496</v>
      </c>
      <c r="L643" s="53">
        <f t="shared" si="80"/>
        <v>616</v>
      </c>
      <c r="M643" s="189">
        <v>1.01</v>
      </c>
      <c r="N643" s="186">
        <f>VLOOKUP(1324,季財報!A:M,8,0)</f>
        <v>2</v>
      </c>
    </row>
    <row r="644" spans="1:14">
      <c r="A644" s="133">
        <v>1452</v>
      </c>
      <c r="C644">
        <v>38</v>
      </c>
      <c r="D644">
        <v>1391</v>
      </c>
      <c r="E644">
        <v>558</v>
      </c>
      <c r="F644">
        <v>2426</v>
      </c>
      <c r="G644">
        <v>0</v>
      </c>
      <c r="H644" s="141">
        <v>0.02</v>
      </c>
      <c r="I644">
        <f t="shared" si="78"/>
        <v>619</v>
      </c>
      <c r="J644" s="137">
        <v>0.02</v>
      </c>
      <c r="K644">
        <f t="shared" si="79"/>
        <v>496</v>
      </c>
      <c r="L644" s="53">
        <f t="shared" si="80"/>
        <v>616</v>
      </c>
      <c r="M644" s="189">
        <v>1.01</v>
      </c>
      <c r="N644" s="186">
        <f>VLOOKUP(1452,季財報!A:M,8,0)</f>
        <v>2</v>
      </c>
    </row>
    <row r="645" spans="1:14">
      <c r="A645" s="133">
        <v>1470</v>
      </c>
      <c r="C645">
        <v>16</v>
      </c>
      <c r="D645">
        <v>540</v>
      </c>
      <c r="E645">
        <v>377</v>
      </c>
      <c r="F645">
        <v>938</v>
      </c>
      <c r="G645">
        <v>0</v>
      </c>
      <c r="H645" s="141">
        <v>0.02</v>
      </c>
      <c r="I645">
        <f t="shared" si="78"/>
        <v>619</v>
      </c>
      <c r="J645" s="137">
        <v>0.02</v>
      </c>
      <c r="K645">
        <f t="shared" si="79"/>
        <v>496</v>
      </c>
      <c r="L645" s="53">
        <f t="shared" si="80"/>
        <v>616</v>
      </c>
      <c r="M645" s="189">
        <v>1.01</v>
      </c>
      <c r="N645" s="186">
        <f>VLOOKUP(1470,季財報!A:M,8,0)</f>
        <v>2</v>
      </c>
    </row>
    <row r="646" spans="1:14">
      <c r="A646" s="133">
        <v>1522</v>
      </c>
      <c r="C646">
        <v>175</v>
      </c>
      <c r="D646">
        <v>847</v>
      </c>
      <c r="E646">
        <v>7093</v>
      </c>
      <c r="F646">
        <v>6457</v>
      </c>
      <c r="G646">
        <v>2905</v>
      </c>
      <c r="H646" s="141">
        <v>0.02</v>
      </c>
      <c r="I646">
        <f t="shared" si="78"/>
        <v>619</v>
      </c>
      <c r="J646" s="137">
        <v>0.02</v>
      </c>
      <c r="K646">
        <f t="shared" si="79"/>
        <v>496</v>
      </c>
      <c r="L646" s="53">
        <f t="shared" si="80"/>
        <v>616</v>
      </c>
      <c r="M646" s="189">
        <v>1.01</v>
      </c>
      <c r="N646" s="186">
        <f>VLOOKUP(1522,季財報!A:M,8,0)</f>
        <v>3</v>
      </c>
    </row>
    <row r="647" spans="1:14">
      <c r="A647" s="133">
        <v>1524</v>
      </c>
      <c r="C647">
        <v>51</v>
      </c>
      <c r="D647">
        <v>0</v>
      </c>
      <c r="E647">
        <v>3161</v>
      </c>
      <c r="F647">
        <v>1811</v>
      </c>
      <c r="G647">
        <v>732</v>
      </c>
      <c r="H647" s="141">
        <v>0.02</v>
      </c>
      <c r="I647">
        <f t="shared" si="78"/>
        <v>619</v>
      </c>
      <c r="J647" s="137">
        <v>0.02</v>
      </c>
      <c r="K647">
        <f t="shared" si="79"/>
        <v>496</v>
      </c>
      <c r="L647" s="53">
        <f t="shared" si="80"/>
        <v>616</v>
      </c>
      <c r="M647" s="189">
        <v>1.01</v>
      </c>
      <c r="N647" s="186">
        <f>VLOOKUP(1524,季財報!A:M,8,0)</f>
        <v>5</v>
      </c>
    </row>
    <row r="648" spans="1:14">
      <c r="A648" s="133">
        <v>1597</v>
      </c>
      <c r="C648">
        <v>29</v>
      </c>
      <c r="D648">
        <v>717</v>
      </c>
      <c r="E648">
        <v>688</v>
      </c>
      <c r="F648">
        <v>1310</v>
      </c>
      <c r="G648">
        <v>416</v>
      </c>
      <c r="H648" s="141">
        <v>0.02</v>
      </c>
      <c r="I648">
        <f t="shared" si="78"/>
        <v>619</v>
      </c>
      <c r="J648" s="137">
        <v>0.02</v>
      </c>
      <c r="K648">
        <f t="shared" si="79"/>
        <v>496</v>
      </c>
      <c r="L648" s="53">
        <f t="shared" si="80"/>
        <v>616</v>
      </c>
      <c r="M648" s="189">
        <v>1.01</v>
      </c>
      <c r="N648" s="186">
        <f>VLOOKUP(1597,季財報!A:M,8,0)</f>
        <v>3</v>
      </c>
    </row>
    <row r="649" spans="1:14">
      <c r="A649" s="133">
        <v>1614</v>
      </c>
      <c r="C649">
        <v>91</v>
      </c>
      <c r="D649">
        <v>1206</v>
      </c>
      <c r="E649">
        <v>2796</v>
      </c>
      <c r="F649">
        <v>5066</v>
      </c>
      <c r="G649">
        <v>60</v>
      </c>
      <c r="H649" s="141">
        <v>0.02</v>
      </c>
      <c r="I649">
        <f t="shared" ref="I649:I680" si="81">RANK(0.02,H:H,0)</f>
        <v>619</v>
      </c>
      <c r="J649" s="137">
        <v>0.02</v>
      </c>
      <c r="K649">
        <f t="shared" ref="K649:K680" si="82">RANK(0.02,J:J,0)</f>
        <v>496</v>
      </c>
      <c r="L649" s="53">
        <f t="shared" ref="L649:L680" si="83">RANK(1.36,M:M,0)</f>
        <v>616</v>
      </c>
      <c r="M649" s="189">
        <v>1.01</v>
      </c>
      <c r="N649" s="186">
        <f>VLOOKUP(1614,季財報!A:M,8,0)</f>
        <v>2</v>
      </c>
    </row>
    <row r="650" spans="1:14">
      <c r="A650" s="133">
        <v>1711</v>
      </c>
      <c r="C650">
        <v>178</v>
      </c>
      <c r="D650">
        <v>2018</v>
      </c>
      <c r="E650">
        <v>5221</v>
      </c>
      <c r="F650">
        <v>7839</v>
      </c>
      <c r="G650">
        <v>3149</v>
      </c>
      <c r="H650" s="141">
        <v>0.02</v>
      </c>
      <c r="I650">
        <f t="shared" si="81"/>
        <v>619</v>
      </c>
      <c r="J650" s="137">
        <v>0.02</v>
      </c>
      <c r="K650">
        <f t="shared" si="82"/>
        <v>496</v>
      </c>
      <c r="L650" s="53">
        <f t="shared" si="83"/>
        <v>616</v>
      </c>
      <c r="M650" s="189">
        <v>1.01</v>
      </c>
      <c r="N650" s="186">
        <f>VLOOKUP(1711,季財報!A:M,8,0)</f>
        <v>3</v>
      </c>
    </row>
    <row r="651" spans="1:14">
      <c r="A651" s="133">
        <v>1737</v>
      </c>
      <c r="C651">
        <v>91</v>
      </c>
      <c r="D651">
        <v>1868</v>
      </c>
      <c r="E651">
        <v>2677</v>
      </c>
      <c r="F651">
        <v>5845</v>
      </c>
      <c r="G651">
        <v>0</v>
      </c>
      <c r="H651" s="141">
        <v>0.02</v>
      </c>
      <c r="I651">
        <f t="shared" si="81"/>
        <v>619</v>
      </c>
      <c r="J651" s="137">
        <v>0.02</v>
      </c>
      <c r="K651">
        <f t="shared" si="82"/>
        <v>496</v>
      </c>
      <c r="L651" s="53">
        <f t="shared" si="83"/>
        <v>616</v>
      </c>
      <c r="M651" s="189">
        <v>1.01</v>
      </c>
      <c r="N651" s="186">
        <f>VLOOKUP(1737,季財報!A:M,8,0)</f>
        <v>3</v>
      </c>
    </row>
    <row r="652" spans="1:14">
      <c r="A652" s="133">
        <v>1786</v>
      </c>
      <c r="C652">
        <v>16</v>
      </c>
      <c r="D652">
        <v>500</v>
      </c>
      <c r="E652">
        <v>360</v>
      </c>
      <c r="F652">
        <v>941</v>
      </c>
      <c r="G652">
        <v>0</v>
      </c>
      <c r="H652" s="141">
        <v>0.02</v>
      </c>
      <c r="I652">
        <f t="shared" si="81"/>
        <v>619</v>
      </c>
      <c r="J652" s="137">
        <v>0.02</v>
      </c>
      <c r="K652">
        <f t="shared" si="82"/>
        <v>496</v>
      </c>
      <c r="L652" s="53">
        <f t="shared" si="83"/>
        <v>616</v>
      </c>
      <c r="M652" s="189">
        <v>1.01</v>
      </c>
      <c r="N652" s="186">
        <f>VLOOKUP(1786,季財報!A:M,8,0)</f>
        <v>5</v>
      </c>
    </row>
    <row r="653" spans="1:14">
      <c r="A653" s="133">
        <v>1806</v>
      </c>
      <c r="C653">
        <v>197</v>
      </c>
      <c r="D653">
        <v>2116</v>
      </c>
      <c r="E653">
        <v>6579</v>
      </c>
      <c r="F653">
        <v>7599</v>
      </c>
      <c r="G653">
        <v>2279</v>
      </c>
      <c r="H653" s="141">
        <v>0.02</v>
      </c>
      <c r="I653">
        <f t="shared" si="81"/>
        <v>619</v>
      </c>
      <c r="J653" s="137">
        <v>0.02</v>
      </c>
      <c r="K653">
        <f t="shared" si="82"/>
        <v>496</v>
      </c>
      <c r="L653" s="53">
        <f t="shared" si="83"/>
        <v>616</v>
      </c>
      <c r="M653" s="189">
        <v>1.01</v>
      </c>
      <c r="N653" s="186">
        <f>VLOOKUP(1806,季財報!A:M,8,0)</f>
        <v>3</v>
      </c>
    </row>
    <row r="654" spans="1:14">
      <c r="A654" s="133">
        <v>2034</v>
      </c>
      <c r="C654">
        <v>148</v>
      </c>
      <c r="D654">
        <v>3858</v>
      </c>
      <c r="E654">
        <v>2561</v>
      </c>
      <c r="F654">
        <v>6965</v>
      </c>
      <c r="G654">
        <v>1824</v>
      </c>
      <c r="H654" s="141">
        <v>0.02</v>
      </c>
      <c r="I654">
        <f t="shared" si="81"/>
        <v>619</v>
      </c>
      <c r="J654" s="137">
        <v>0.02</v>
      </c>
      <c r="K654">
        <f t="shared" si="82"/>
        <v>496</v>
      </c>
      <c r="L654" s="53">
        <f t="shared" si="83"/>
        <v>616</v>
      </c>
      <c r="M654" s="189">
        <v>1.01</v>
      </c>
      <c r="N654" s="186">
        <f>VLOOKUP(2034,季財報!A:M,8,0)</f>
        <v>2</v>
      </c>
    </row>
    <row r="655" spans="1:14">
      <c r="A655" s="133">
        <v>2049</v>
      </c>
      <c r="C655">
        <v>445</v>
      </c>
      <c r="D655">
        <v>3018</v>
      </c>
      <c r="E655">
        <v>15740</v>
      </c>
      <c r="F655">
        <v>14556</v>
      </c>
      <c r="G655">
        <v>6559</v>
      </c>
      <c r="H655" s="141">
        <v>0.02</v>
      </c>
      <c r="I655">
        <f t="shared" si="81"/>
        <v>619</v>
      </c>
      <c r="J655" s="137">
        <v>0.02</v>
      </c>
      <c r="K655">
        <f t="shared" si="82"/>
        <v>496</v>
      </c>
      <c r="L655" s="53">
        <f t="shared" si="83"/>
        <v>616</v>
      </c>
      <c r="M655" s="189">
        <v>1.01</v>
      </c>
      <c r="N655" s="186">
        <f>VLOOKUP(2049,季財報!A:M,8,0)</f>
        <v>3</v>
      </c>
    </row>
    <row r="656" spans="1:14">
      <c r="A656" s="133">
        <v>2101</v>
      </c>
      <c r="C656">
        <v>317</v>
      </c>
      <c r="D656">
        <v>4646</v>
      </c>
      <c r="E656">
        <v>8107</v>
      </c>
      <c r="F656">
        <v>11926</v>
      </c>
      <c r="G656">
        <v>5649</v>
      </c>
      <c r="H656" s="141">
        <v>0.02</v>
      </c>
      <c r="I656">
        <f t="shared" si="81"/>
        <v>619</v>
      </c>
      <c r="J656" s="137">
        <v>0.02</v>
      </c>
      <c r="K656">
        <f t="shared" si="82"/>
        <v>496</v>
      </c>
      <c r="L656" s="53">
        <f t="shared" si="83"/>
        <v>616</v>
      </c>
      <c r="M656" s="189">
        <v>1.01</v>
      </c>
      <c r="N656" s="186">
        <f>VLOOKUP(2101,季財報!A:M,8,0)</f>
        <v>2</v>
      </c>
    </row>
    <row r="657" spans="1:14">
      <c r="A657" s="133">
        <v>2102</v>
      </c>
      <c r="C657">
        <v>204</v>
      </c>
      <c r="D657">
        <v>3467</v>
      </c>
      <c r="E657">
        <v>7178</v>
      </c>
      <c r="F657">
        <v>10158</v>
      </c>
      <c r="G657">
        <v>594</v>
      </c>
      <c r="H657" s="141">
        <v>0.02</v>
      </c>
      <c r="I657">
        <f t="shared" si="81"/>
        <v>619</v>
      </c>
      <c r="J657" s="137">
        <v>0.02</v>
      </c>
      <c r="K657">
        <f t="shared" si="82"/>
        <v>496</v>
      </c>
      <c r="L657" s="53">
        <f t="shared" si="83"/>
        <v>616</v>
      </c>
      <c r="M657" s="189">
        <v>1.01</v>
      </c>
      <c r="N657" s="186">
        <f>VLOOKUP(2102,季財報!A:M,8,0)</f>
        <v>3</v>
      </c>
    </row>
    <row r="658" spans="1:14">
      <c r="A658" s="133">
        <v>2340</v>
      </c>
      <c r="C658">
        <v>164</v>
      </c>
      <c r="D658">
        <v>4596</v>
      </c>
      <c r="E658">
        <v>3156</v>
      </c>
      <c r="F658">
        <v>7608</v>
      </c>
      <c r="G658">
        <v>1189</v>
      </c>
      <c r="H658" s="141">
        <v>0.02</v>
      </c>
      <c r="I658">
        <f t="shared" si="81"/>
        <v>619</v>
      </c>
      <c r="J658" s="137">
        <v>0.02</v>
      </c>
      <c r="K658">
        <f t="shared" si="82"/>
        <v>496</v>
      </c>
      <c r="L658" s="53">
        <f t="shared" si="83"/>
        <v>616</v>
      </c>
      <c r="M658" s="189">
        <v>1.01</v>
      </c>
      <c r="N658" s="186">
        <f>VLOOKUP(2340,季財報!A:M,8,0)</f>
        <v>3</v>
      </c>
    </row>
    <row r="659" spans="1:14">
      <c r="A659" s="133">
        <v>2344</v>
      </c>
      <c r="C659">
        <v>888</v>
      </c>
      <c r="D659">
        <v>11951</v>
      </c>
      <c r="E659">
        <v>32485</v>
      </c>
      <c r="F659">
        <v>39474</v>
      </c>
      <c r="G659">
        <v>4840</v>
      </c>
      <c r="H659" s="141">
        <v>0.02</v>
      </c>
      <c r="I659">
        <f t="shared" si="81"/>
        <v>619</v>
      </c>
      <c r="J659" s="137">
        <v>0.02</v>
      </c>
      <c r="K659">
        <f t="shared" si="82"/>
        <v>496</v>
      </c>
      <c r="L659" s="53">
        <f t="shared" si="83"/>
        <v>616</v>
      </c>
      <c r="M659" s="189">
        <v>1.01</v>
      </c>
      <c r="N659" s="186">
        <f>VLOOKUP(2344,季財報!A:M,8,0)</f>
        <v>1</v>
      </c>
    </row>
    <row r="660" spans="1:14">
      <c r="A660" s="133">
        <v>2367</v>
      </c>
      <c r="C660">
        <v>210</v>
      </c>
      <c r="D660">
        <v>1186</v>
      </c>
      <c r="E660">
        <v>8733</v>
      </c>
      <c r="F660">
        <v>9720</v>
      </c>
      <c r="G660">
        <v>2677</v>
      </c>
      <c r="H660" s="141">
        <v>0.02</v>
      </c>
      <c r="I660">
        <f t="shared" si="81"/>
        <v>619</v>
      </c>
      <c r="J660" s="137">
        <v>0.02</v>
      </c>
      <c r="K660">
        <f t="shared" si="82"/>
        <v>496</v>
      </c>
      <c r="L660" s="53">
        <f t="shared" si="83"/>
        <v>616</v>
      </c>
      <c r="M660" s="189">
        <v>1.01</v>
      </c>
      <c r="N660" s="186">
        <f>VLOOKUP(2367,季財報!A:M,8,0)</f>
        <v>3</v>
      </c>
    </row>
    <row r="661" spans="1:14">
      <c r="A661" s="133">
        <v>2368</v>
      </c>
      <c r="C661">
        <v>213</v>
      </c>
      <c r="D661">
        <v>735</v>
      </c>
      <c r="E661">
        <v>8448</v>
      </c>
      <c r="F661">
        <v>7330</v>
      </c>
      <c r="G661">
        <v>6411</v>
      </c>
      <c r="H661" s="141">
        <v>0.02</v>
      </c>
      <c r="I661">
        <f t="shared" si="81"/>
        <v>619</v>
      </c>
      <c r="J661" s="137">
        <v>0.02</v>
      </c>
      <c r="K661">
        <f t="shared" si="82"/>
        <v>496</v>
      </c>
      <c r="L661" s="53">
        <f t="shared" si="83"/>
        <v>616</v>
      </c>
      <c r="M661" s="189">
        <v>1.01</v>
      </c>
      <c r="N661" s="186">
        <f>VLOOKUP(2368,季財報!A:M,8,0)</f>
        <v>2</v>
      </c>
    </row>
    <row r="662" spans="1:14">
      <c r="A662" s="133">
        <v>2393</v>
      </c>
      <c r="C662">
        <v>458</v>
      </c>
      <c r="D662">
        <v>13261</v>
      </c>
      <c r="E662">
        <v>10834</v>
      </c>
      <c r="F662">
        <v>17741</v>
      </c>
      <c r="G662">
        <v>1369</v>
      </c>
      <c r="H662" s="141">
        <v>0.02</v>
      </c>
      <c r="I662">
        <f t="shared" si="81"/>
        <v>619</v>
      </c>
      <c r="J662" s="137">
        <v>0.02</v>
      </c>
      <c r="K662">
        <f t="shared" si="82"/>
        <v>496</v>
      </c>
      <c r="L662" s="53">
        <f t="shared" si="83"/>
        <v>616</v>
      </c>
      <c r="M662" s="189">
        <v>1.01</v>
      </c>
      <c r="N662" s="186">
        <f>VLOOKUP(2393,季財報!A:M,8,0)</f>
        <v>2</v>
      </c>
    </row>
    <row r="663" spans="1:14">
      <c r="A663" s="133">
        <v>2459</v>
      </c>
      <c r="C663">
        <v>122</v>
      </c>
      <c r="D663">
        <v>2971</v>
      </c>
      <c r="E663">
        <v>2464</v>
      </c>
      <c r="F663">
        <v>5024</v>
      </c>
      <c r="G663">
        <v>1225</v>
      </c>
      <c r="H663" s="141">
        <v>0.02</v>
      </c>
      <c r="I663">
        <f t="shared" si="81"/>
        <v>619</v>
      </c>
      <c r="J663" s="137">
        <v>0.02</v>
      </c>
      <c r="K663">
        <f t="shared" si="82"/>
        <v>496</v>
      </c>
      <c r="L663" s="53">
        <f t="shared" si="83"/>
        <v>616</v>
      </c>
      <c r="M663" s="189">
        <v>1.01</v>
      </c>
      <c r="N663" s="186">
        <f>VLOOKUP(2459,季財報!A:M,8,0)</f>
        <v>1</v>
      </c>
    </row>
    <row r="664" spans="1:14">
      <c r="A664" s="133">
        <v>2485</v>
      </c>
      <c r="C664">
        <v>167</v>
      </c>
      <c r="D664">
        <v>5160</v>
      </c>
      <c r="E664">
        <v>1857</v>
      </c>
      <c r="F664">
        <v>7247</v>
      </c>
      <c r="G664">
        <v>87</v>
      </c>
      <c r="H664" s="141">
        <v>0.02</v>
      </c>
      <c r="I664">
        <f t="shared" si="81"/>
        <v>619</v>
      </c>
      <c r="J664" s="137">
        <v>0.02</v>
      </c>
      <c r="K664">
        <f t="shared" si="82"/>
        <v>496</v>
      </c>
      <c r="L664" s="53">
        <f t="shared" si="83"/>
        <v>616</v>
      </c>
      <c r="M664" s="189">
        <v>1.01</v>
      </c>
      <c r="N664" s="186">
        <f>VLOOKUP(2485,季財報!A:M,8,0)</f>
        <v>5</v>
      </c>
    </row>
    <row r="665" spans="1:14">
      <c r="A665" s="133">
        <v>2616</v>
      </c>
      <c r="C665">
        <v>46</v>
      </c>
      <c r="D665">
        <v>206</v>
      </c>
      <c r="E665">
        <v>2297</v>
      </c>
      <c r="F665">
        <v>2895</v>
      </c>
      <c r="G665">
        <v>98</v>
      </c>
      <c r="H665" s="141">
        <v>0.02</v>
      </c>
      <c r="I665">
        <f t="shared" si="81"/>
        <v>619</v>
      </c>
      <c r="J665" s="137">
        <v>0.02</v>
      </c>
      <c r="K665">
        <f t="shared" si="82"/>
        <v>496</v>
      </c>
      <c r="L665" s="53">
        <f t="shared" si="83"/>
        <v>616</v>
      </c>
      <c r="M665" s="189">
        <v>1.01</v>
      </c>
      <c r="N665" s="186">
        <f>VLOOKUP(2616,季財報!A:M,8,0)</f>
        <v>3</v>
      </c>
    </row>
    <row r="666" spans="1:14">
      <c r="A666" s="133">
        <v>2702</v>
      </c>
      <c r="C666">
        <v>52</v>
      </c>
      <c r="D666">
        <v>0</v>
      </c>
      <c r="E666">
        <v>3019</v>
      </c>
      <c r="F666">
        <v>1210</v>
      </c>
      <c r="G666">
        <v>1631</v>
      </c>
      <c r="H666" s="141">
        <v>0.02</v>
      </c>
      <c r="I666">
        <f t="shared" si="81"/>
        <v>619</v>
      </c>
      <c r="J666" s="137">
        <v>0.02</v>
      </c>
      <c r="K666">
        <f t="shared" si="82"/>
        <v>496</v>
      </c>
      <c r="L666" s="53">
        <f t="shared" si="83"/>
        <v>616</v>
      </c>
      <c r="M666" s="189">
        <v>1.01</v>
      </c>
      <c r="N666" s="186">
        <f>VLOOKUP(2702,季財報!A:M,8,0)</f>
        <v>5</v>
      </c>
    </row>
    <row r="667" spans="1:14">
      <c r="A667" s="133">
        <v>3013</v>
      </c>
      <c r="C667">
        <v>38</v>
      </c>
      <c r="D667">
        <v>976</v>
      </c>
      <c r="E667">
        <v>1032</v>
      </c>
      <c r="F667">
        <v>2235</v>
      </c>
      <c r="G667">
        <v>140</v>
      </c>
      <c r="H667" s="141">
        <v>0.02</v>
      </c>
      <c r="I667">
        <f t="shared" si="81"/>
        <v>619</v>
      </c>
      <c r="J667" s="137">
        <v>0.02</v>
      </c>
      <c r="K667">
        <f t="shared" si="82"/>
        <v>496</v>
      </c>
      <c r="L667" s="53">
        <f t="shared" si="83"/>
        <v>616</v>
      </c>
      <c r="M667" s="189">
        <v>1.01</v>
      </c>
      <c r="N667" s="186">
        <f>VLOOKUP(3013,季財報!A:M,8,0)</f>
        <v>2</v>
      </c>
    </row>
    <row r="668" spans="1:14">
      <c r="A668" s="133">
        <v>3019</v>
      </c>
      <c r="C668">
        <v>279</v>
      </c>
      <c r="D668">
        <v>9703</v>
      </c>
      <c r="E668">
        <v>6079</v>
      </c>
      <c r="F668">
        <v>16310</v>
      </c>
      <c r="G668">
        <v>1282</v>
      </c>
      <c r="H668" s="141">
        <v>0.02</v>
      </c>
      <c r="I668">
        <f t="shared" si="81"/>
        <v>619</v>
      </c>
      <c r="J668" s="137">
        <v>0.02</v>
      </c>
      <c r="K668">
        <f t="shared" si="82"/>
        <v>496</v>
      </c>
      <c r="L668" s="53">
        <f t="shared" si="83"/>
        <v>616</v>
      </c>
      <c r="M668" s="189">
        <v>1.01</v>
      </c>
      <c r="N668" s="186">
        <f>VLOOKUP(3019,季財報!A:M,8,0)</f>
        <v>4</v>
      </c>
    </row>
    <row r="669" spans="1:14">
      <c r="A669" s="133">
        <v>3026</v>
      </c>
      <c r="C669">
        <v>179</v>
      </c>
      <c r="D669">
        <v>5084</v>
      </c>
      <c r="E669">
        <v>2689</v>
      </c>
      <c r="F669">
        <v>9024</v>
      </c>
      <c r="G669">
        <v>1590</v>
      </c>
      <c r="H669" s="141">
        <v>0.02</v>
      </c>
      <c r="I669">
        <f t="shared" si="81"/>
        <v>619</v>
      </c>
      <c r="J669" s="137">
        <v>0.02</v>
      </c>
      <c r="K669">
        <f t="shared" si="82"/>
        <v>496</v>
      </c>
      <c r="L669" s="53">
        <f t="shared" si="83"/>
        <v>616</v>
      </c>
      <c r="M669" s="189">
        <v>1.01</v>
      </c>
      <c r="N669" s="186">
        <f>VLOOKUP(3026,季財報!A:M,8,0)</f>
        <v>0</v>
      </c>
    </row>
    <row r="670" spans="1:14">
      <c r="A670" s="133">
        <v>3038</v>
      </c>
      <c r="C670">
        <v>41</v>
      </c>
      <c r="D670">
        <v>1696</v>
      </c>
      <c r="E670">
        <v>560</v>
      </c>
      <c r="F670">
        <v>2214</v>
      </c>
      <c r="G670">
        <v>409</v>
      </c>
      <c r="H670" s="141">
        <v>0.02</v>
      </c>
      <c r="I670">
        <f t="shared" si="81"/>
        <v>619</v>
      </c>
      <c r="J670" s="137">
        <v>0.02</v>
      </c>
      <c r="K670">
        <f t="shared" si="82"/>
        <v>496</v>
      </c>
      <c r="L670" s="53">
        <f t="shared" si="83"/>
        <v>616</v>
      </c>
      <c r="M670" s="189">
        <v>1.01</v>
      </c>
      <c r="N670" s="186">
        <f>VLOOKUP(3038,季財報!A:M,8,0)</f>
        <v>3</v>
      </c>
    </row>
    <row r="671" spans="1:14">
      <c r="A671" s="133">
        <v>3049</v>
      </c>
      <c r="C671">
        <v>226</v>
      </c>
      <c r="D671">
        <v>0</v>
      </c>
      <c r="E671">
        <v>11021</v>
      </c>
      <c r="F671">
        <v>7631</v>
      </c>
      <c r="G671">
        <v>6514</v>
      </c>
      <c r="H671" s="141">
        <v>0.02</v>
      </c>
      <c r="I671">
        <f t="shared" si="81"/>
        <v>619</v>
      </c>
      <c r="J671" s="137">
        <v>0.02</v>
      </c>
      <c r="K671">
        <f t="shared" si="82"/>
        <v>496</v>
      </c>
      <c r="L671" s="53">
        <f t="shared" si="83"/>
        <v>616</v>
      </c>
      <c r="M671" s="189">
        <v>1.01</v>
      </c>
      <c r="N671" s="186">
        <f>VLOOKUP(3049,季財報!A:M,8,0)</f>
        <v>5</v>
      </c>
    </row>
    <row r="672" spans="1:14">
      <c r="A672" s="133">
        <v>3059</v>
      </c>
      <c r="C672">
        <v>180</v>
      </c>
      <c r="D672">
        <v>4249</v>
      </c>
      <c r="E672">
        <v>5394</v>
      </c>
      <c r="F672">
        <v>9728</v>
      </c>
      <c r="G672">
        <v>1550</v>
      </c>
      <c r="H672" s="141">
        <v>0.02</v>
      </c>
      <c r="I672">
        <f t="shared" si="81"/>
        <v>619</v>
      </c>
      <c r="J672" s="137">
        <v>0.02</v>
      </c>
      <c r="K672">
        <f t="shared" si="82"/>
        <v>496</v>
      </c>
      <c r="L672" s="53">
        <f t="shared" si="83"/>
        <v>616</v>
      </c>
      <c r="M672" s="189">
        <v>0.97</v>
      </c>
      <c r="N672" s="186">
        <f>VLOOKUP(3059,季財報!A:M,8,0)</f>
        <v>3</v>
      </c>
    </row>
    <row r="673" spans="1:14">
      <c r="A673" s="133">
        <v>3062</v>
      </c>
      <c r="C673">
        <v>90</v>
      </c>
      <c r="D673">
        <v>3186</v>
      </c>
      <c r="E673">
        <v>933</v>
      </c>
      <c r="F673">
        <v>5623</v>
      </c>
      <c r="G673">
        <v>0</v>
      </c>
      <c r="H673" s="141">
        <v>0.02</v>
      </c>
      <c r="I673">
        <f t="shared" si="81"/>
        <v>619</v>
      </c>
      <c r="J673" s="137">
        <v>0.02</v>
      </c>
      <c r="K673">
        <f t="shared" si="82"/>
        <v>496</v>
      </c>
      <c r="L673" s="53">
        <f t="shared" si="83"/>
        <v>616</v>
      </c>
      <c r="M673" s="189">
        <v>0.9</v>
      </c>
      <c r="N673" s="186">
        <f>VLOOKUP(3062,季財報!A:M,8,0)</f>
        <v>2</v>
      </c>
    </row>
    <row r="674" spans="1:14">
      <c r="A674" s="133">
        <v>3221</v>
      </c>
      <c r="C674">
        <v>28</v>
      </c>
      <c r="D674">
        <v>775</v>
      </c>
      <c r="E674">
        <v>707</v>
      </c>
      <c r="F674">
        <v>1560</v>
      </c>
      <c r="G674">
        <v>171</v>
      </c>
      <c r="H674" s="141">
        <v>0.02</v>
      </c>
      <c r="I674">
        <f t="shared" si="81"/>
        <v>619</v>
      </c>
      <c r="J674" s="137">
        <v>0.02</v>
      </c>
      <c r="K674">
        <f t="shared" si="82"/>
        <v>496</v>
      </c>
      <c r="L674" s="53">
        <f t="shared" si="83"/>
        <v>616</v>
      </c>
      <c r="M674" s="189">
        <v>0.9</v>
      </c>
      <c r="N674" s="186">
        <f>VLOOKUP(3221,季財報!A:M,8,0)</f>
        <v>4</v>
      </c>
    </row>
    <row r="675" spans="1:14">
      <c r="A675" s="133">
        <v>3257</v>
      </c>
      <c r="C675">
        <v>33</v>
      </c>
      <c r="D675">
        <v>1029</v>
      </c>
      <c r="E675">
        <v>313</v>
      </c>
      <c r="F675">
        <v>1489</v>
      </c>
      <c r="G675">
        <v>3</v>
      </c>
      <c r="H675" s="141">
        <v>0.02</v>
      </c>
      <c r="I675">
        <f t="shared" si="81"/>
        <v>619</v>
      </c>
      <c r="J675" s="137">
        <v>0.02</v>
      </c>
      <c r="K675">
        <f t="shared" si="82"/>
        <v>496</v>
      </c>
      <c r="L675" s="53">
        <f t="shared" si="83"/>
        <v>616</v>
      </c>
      <c r="M675" s="189">
        <v>0.87</v>
      </c>
      <c r="N675" s="186">
        <f>VLOOKUP(3257,季財報!A:M,8,0)</f>
        <v>2</v>
      </c>
    </row>
    <row r="676" spans="1:14">
      <c r="A676" s="133">
        <v>3323</v>
      </c>
      <c r="C676">
        <v>44</v>
      </c>
      <c r="D676">
        <v>1776</v>
      </c>
      <c r="E676">
        <v>517</v>
      </c>
      <c r="F676">
        <v>2345</v>
      </c>
      <c r="G676">
        <v>295</v>
      </c>
      <c r="H676" s="141">
        <v>0.02</v>
      </c>
      <c r="I676">
        <f t="shared" si="81"/>
        <v>619</v>
      </c>
      <c r="J676" s="137">
        <v>0.02</v>
      </c>
      <c r="K676">
        <f t="shared" si="82"/>
        <v>496</v>
      </c>
      <c r="L676" s="53">
        <f t="shared" si="83"/>
        <v>616</v>
      </c>
      <c r="M676" s="189">
        <v>0.87</v>
      </c>
      <c r="N676" s="186">
        <f>VLOOKUP(3323,季財報!A:M,8,0)</f>
        <v>4</v>
      </c>
    </row>
    <row r="677" spans="1:14">
      <c r="A677" s="133">
        <v>3373</v>
      </c>
      <c r="C677">
        <v>11</v>
      </c>
      <c r="D677">
        <v>477</v>
      </c>
      <c r="E677">
        <v>140</v>
      </c>
      <c r="F677">
        <v>730</v>
      </c>
      <c r="G677">
        <v>0</v>
      </c>
      <c r="H677" s="141">
        <v>0.02</v>
      </c>
      <c r="I677">
        <f t="shared" si="81"/>
        <v>619</v>
      </c>
      <c r="J677" s="137">
        <v>0.02</v>
      </c>
      <c r="K677">
        <f t="shared" si="82"/>
        <v>496</v>
      </c>
      <c r="L677" s="53">
        <f t="shared" si="83"/>
        <v>616</v>
      </c>
      <c r="M677" s="189">
        <v>0.87</v>
      </c>
      <c r="N677" s="186">
        <f>VLOOKUP(3373,季財報!A:M,8,0)</f>
        <v>4</v>
      </c>
    </row>
    <row r="678" spans="1:14">
      <c r="A678" s="133">
        <v>3481</v>
      </c>
      <c r="C678">
        <v>5079</v>
      </c>
      <c r="D678">
        <v>32923</v>
      </c>
      <c r="E678">
        <v>204011</v>
      </c>
      <c r="F678">
        <v>241125</v>
      </c>
      <c r="G678">
        <v>16352</v>
      </c>
      <c r="H678" s="141">
        <v>0.02</v>
      </c>
      <c r="I678">
        <f t="shared" si="81"/>
        <v>619</v>
      </c>
      <c r="J678" s="137">
        <v>0.02</v>
      </c>
      <c r="K678">
        <f t="shared" si="82"/>
        <v>496</v>
      </c>
      <c r="L678" s="53">
        <f t="shared" si="83"/>
        <v>616</v>
      </c>
      <c r="M678" s="189">
        <v>0.87</v>
      </c>
      <c r="N678" s="186">
        <f>VLOOKUP(3481,季財報!A:M,8,0)</f>
        <v>1</v>
      </c>
    </row>
    <row r="679" spans="1:14">
      <c r="A679" s="133">
        <v>3484</v>
      </c>
      <c r="C679">
        <v>40</v>
      </c>
      <c r="D679">
        <v>1254</v>
      </c>
      <c r="E679">
        <v>692</v>
      </c>
      <c r="F679">
        <v>1675</v>
      </c>
      <c r="G679">
        <v>276</v>
      </c>
      <c r="H679" s="141">
        <v>0.02</v>
      </c>
      <c r="I679">
        <f t="shared" si="81"/>
        <v>619</v>
      </c>
      <c r="J679" s="137">
        <v>0.02</v>
      </c>
      <c r="K679">
        <f t="shared" si="82"/>
        <v>496</v>
      </c>
      <c r="L679" s="53">
        <f t="shared" si="83"/>
        <v>616</v>
      </c>
      <c r="M679" s="189">
        <v>0.87</v>
      </c>
      <c r="N679" s="186">
        <f>VLOOKUP(3484,季財報!A:M,8,0)</f>
        <v>1</v>
      </c>
    </row>
    <row r="680" spans="1:14">
      <c r="A680" s="133">
        <v>3489</v>
      </c>
      <c r="C680">
        <v>25</v>
      </c>
      <c r="D680">
        <v>1464</v>
      </c>
      <c r="E680">
        <v>1</v>
      </c>
      <c r="F680">
        <v>1189</v>
      </c>
      <c r="G680">
        <v>389</v>
      </c>
      <c r="H680" s="141">
        <v>0.02</v>
      </c>
      <c r="I680">
        <f t="shared" si="81"/>
        <v>619</v>
      </c>
      <c r="J680" s="137">
        <v>0.02</v>
      </c>
      <c r="K680">
        <f t="shared" si="82"/>
        <v>496</v>
      </c>
      <c r="L680" s="53">
        <f t="shared" si="83"/>
        <v>616</v>
      </c>
      <c r="M680" s="189">
        <v>0.87</v>
      </c>
      <c r="N680" s="186">
        <f>VLOOKUP(3489,季財報!A:M,8,0)</f>
        <v>3</v>
      </c>
    </row>
    <row r="681" spans="1:14">
      <c r="A681" s="133">
        <v>3515</v>
      </c>
      <c r="C681">
        <v>94</v>
      </c>
      <c r="D681">
        <v>5546</v>
      </c>
      <c r="E681">
        <v>232</v>
      </c>
      <c r="F681">
        <v>5810</v>
      </c>
      <c r="G681">
        <v>340</v>
      </c>
      <c r="H681" s="141">
        <v>0.02</v>
      </c>
      <c r="I681">
        <f t="shared" ref="I681:I712" si="84">RANK(0.02,H:H,0)</f>
        <v>619</v>
      </c>
      <c r="J681" s="137">
        <v>0.02</v>
      </c>
      <c r="K681">
        <f t="shared" ref="K681:K712" si="85">RANK(0.02,J:J,0)</f>
        <v>496</v>
      </c>
      <c r="L681" s="53">
        <f t="shared" ref="L681:L712" si="86">RANK(1.36,M:M,0)</f>
        <v>616</v>
      </c>
      <c r="M681" s="189">
        <v>0.87</v>
      </c>
      <c r="N681" s="186">
        <f>VLOOKUP(3515,季財報!A:M,8,0)</f>
        <v>1</v>
      </c>
    </row>
    <row r="682" spans="1:14">
      <c r="A682" s="133">
        <v>3532</v>
      </c>
      <c r="C682">
        <v>438</v>
      </c>
      <c r="D682">
        <v>5037</v>
      </c>
      <c r="E682">
        <v>14770</v>
      </c>
      <c r="F682">
        <v>20027</v>
      </c>
      <c r="G682">
        <v>0</v>
      </c>
      <c r="H682" s="141">
        <v>0.02</v>
      </c>
      <c r="I682">
        <f t="shared" si="84"/>
        <v>619</v>
      </c>
      <c r="J682" s="137">
        <v>0.02</v>
      </c>
      <c r="K682">
        <f t="shared" si="85"/>
        <v>496</v>
      </c>
      <c r="L682" s="53">
        <f t="shared" si="86"/>
        <v>616</v>
      </c>
      <c r="M682" s="189">
        <v>0.87</v>
      </c>
      <c r="N682" s="186">
        <f>VLOOKUP(3532,季財報!A:M,8,0)</f>
        <v>3</v>
      </c>
    </row>
    <row r="683" spans="1:14">
      <c r="A683" s="133">
        <v>3551</v>
      </c>
      <c r="C683">
        <v>63</v>
      </c>
      <c r="D683">
        <v>828</v>
      </c>
      <c r="E683">
        <v>1703</v>
      </c>
      <c r="F683">
        <v>2685</v>
      </c>
      <c r="G683">
        <v>123</v>
      </c>
      <c r="H683" s="141">
        <v>0.02</v>
      </c>
      <c r="I683">
        <f t="shared" si="84"/>
        <v>619</v>
      </c>
      <c r="J683" s="137">
        <v>0.02</v>
      </c>
      <c r="K683">
        <f t="shared" si="85"/>
        <v>496</v>
      </c>
      <c r="L683" s="53">
        <f t="shared" si="86"/>
        <v>616</v>
      </c>
      <c r="M683" s="189">
        <v>0.87</v>
      </c>
      <c r="N683" s="186">
        <f>VLOOKUP(3551,季財報!A:M,8,0)</f>
        <v>1</v>
      </c>
    </row>
    <row r="684" spans="1:14">
      <c r="A684" s="133">
        <v>3596</v>
      </c>
      <c r="C684">
        <v>155</v>
      </c>
      <c r="D684">
        <v>5240</v>
      </c>
      <c r="E684">
        <v>1783</v>
      </c>
      <c r="F684">
        <v>7841</v>
      </c>
      <c r="G684">
        <v>0</v>
      </c>
      <c r="H684" s="141">
        <v>0.02</v>
      </c>
      <c r="I684">
        <f t="shared" si="84"/>
        <v>619</v>
      </c>
      <c r="J684" s="137">
        <v>0.02</v>
      </c>
      <c r="K684">
        <f t="shared" si="85"/>
        <v>496</v>
      </c>
      <c r="L684" s="53">
        <f t="shared" si="86"/>
        <v>616</v>
      </c>
      <c r="M684" s="189">
        <v>0.87</v>
      </c>
      <c r="N684" s="186">
        <f>VLOOKUP(3596,季財報!A:M,8,0)</f>
        <v>3</v>
      </c>
    </row>
    <row r="685" spans="1:14">
      <c r="A685" s="133">
        <v>3598</v>
      </c>
      <c r="C685">
        <v>81</v>
      </c>
      <c r="D685">
        <v>2464</v>
      </c>
      <c r="E685">
        <v>832</v>
      </c>
      <c r="F685">
        <v>3256</v>
      </c>
      <c r="G685">
        <v>522</v>
      </c>
      <c r="H685" s="141">
        <v>0.02</v>
      </c>
      <c r="I685">
        <f t="shared" si="84"/>
        <v>619</v>
      </c>
      <c r="J685" s="137">
        <v>0.02</v>
      </c>
      <c r="K685">
        <f t="shared" si="85"/>
        <v>496</v>
      </c>
      <c r="L685" s="53">
        <f t="shared" si="86"/>
        <v>616</v>
      </c>
      <c r="M685" s="189">
        <v>0.87</v>
      </c>
      <c r="N685" s="186">
        <f>VLOOKUP(3598,季財報!A:M,8,0)</f>
        <v>2</v>
      </c>
    </row>
    <row r="686" spans="1:14">
      <c r="A686" s="133">
        <v>3658</v>
      </c>
      <c r="C686">
        <v>242</v>
      </c>
      <c r="D686">
        <v>10864</v>
      </c>
      <c r="E686">
        <v>958</v>
      </c>
      <c r="F686">
        <v>11944</v>
      </c>
      <c r="G686">
        <v>0</v>
      </c>
      <c r="H686" s="141">
        <v>0.02</v>
      </c>
      <c r="I686">
        <f t="shared" si="84"/>
        <v>619</v>
      </c>
      <c r="J686" s="137">
        <v>0.02</v>
      </c>
      <c r="K686">
        <f t="shared" si="85"/>
        <v>496</v>
      </c>
      <c r="L686" s="53">
        <f t="shared" si="86"/>
        <v>616</v>
      </c>
      <c r="M686" s="189">
        <v>0.87</v>
      </c>
      <c r="N686" s="186">
        <f>VLOOKUP(3658,季財報!A:M,8,0)</f>
        <v>2</v>
      </c>
    </row>
    <row r="687" spans="1:14">
      <c r="A687" s="133">
        <v>4130</v>
      </c>
      <c r="C687">
        <v>21</v>
      </c>
      <c r="D687">
        <v>848</v>
      </c>
      <c r="E687">
        <v>389</v>
      </c>
      <c r="F687">
        <v>1337</v>
      </c>
      <c r="G687">
        <v>0</v>
      </c>
      <c r="H687" s="141">
        <v>0.02</v>
      </c>
      <c r="I687">
        <f t="shared" si="84"/>
        <v>619</v>
      </c>
      <c r="J687" s="137">
        <v>0.02</v>
      </c>
      <c r="K687">
        <f t="shared" si="85"/>
        <v>496</v>
      </c>
      <c r="L687" s="53">
        <f t="shared" si="86"/>
        <v>616</v>
      </c>
      <c r="M687" s="189">
        <v>0.87</v>
      </c>
      <c r="N687" s="186">
        <f>VLOOKUP(4130,季財報!A:M,8,0)</f>
        <v>3</v>
      </c>
    </row>
    <row r="688" spans="1:14">
      <c r="A688" s="133">
        <v>8908</v>
      </c>
      <c r="C688">
        <v>44</v>
      </c>
      <c r="D688">
        <v>0</v>
      </c>
      <c r="E688">
        <v>2319</v>
      </c>
      <c r="F688">
        <v>1654</v>
      </c>
      <c r="G688">
        <v>590</v>
      </c>
      <c r="H688" s="141">
        <v>0.02</v>
      </c>
      <c r="I688">
        <f t="shared" si="84"/>
        <v>619</v>
      </c>
      <c r="J688" s="137">
        <v>0.02</v>
      </c>
      <c r="K688">
        <f t="shared" si="85"/>
        <v>496</v>
      </c>
      <c r="L688" s="53">
        <f t="shared" si="86"/>
        <v>616</v>
      </c>
      <c r="M688" s="189">
        <v>0.87</v>
      </c>
      <c r="N688" s="186">
        <f>VLOOKUP(8908,季財報!A:M,8,0)</f>
        <v>2</v>
      </c>
    </row>
    <row r="689" spans="1:14">
      <c r="A689" s="133">
        <v>8150</v>
      </c>
      <c r="C689">
        <v>528</v>
      </c>
      <c r="D689">
        <v>9544</v>
      </c>
      <c r="E689">
        <v>14039</v>
      </c>
      <c r="F689">
        <v>18631</v>
      </c>
      <c r="G689">
        <v>2888</v>
      </c>
      <c r="H689" s="141">
        <v>0.02</v>
      </c>
      <c r="I689">
        <f t="shared" si="84"/>
        <v>619</v>
      </c>
      <c r="J689" s="137">
        <v>0.02</v>
      </c>
      <c r="K689">
        <f t="shared" si="85"/>
        <v>496</v>
      </c>
      <c r="L689" s="53">
        <f t="shared" si="86"/>
        <v>616</v>
      </c>
      <c r="M689" s="189">
        <v>0.87</v>
      </c>
      <c r="N689" s="186">
        <f>VLOOKUP(8150,季財報!A:M,8,0)</f>
        <v>2</v>
      </c>
    </row>
    <row r="690" spans="1:14">
      <c r="A690" s="133">
        <v>8182</v>
      </c>
      <c r="C690">
        <v>48</v>
      </c>
      <c r="D690">
        <v>1491</v>
      </c>
      <c r="E690">
        <v>1630</v>
      </c>
      <c r="F690">
        <v>2664</v>
      </c>
      <c r="G690">
        <v>336</v>
      </c>
      <c r="H690" s="141">
        <v>0.02</v>
      </c>
      <c r="I690">
        <f t="shared" si="84"/>
        <v>619</v>
      </c>
      <c r="J690" s="137">
        <v>0.02</v>
      </c>
      <c r="K690">
        <f t="shared" si="85"/>
        <v>496</v>
      </c>
      <c r="L690" s="53">
        <f t="shared" si="86"/>
        <v>616</v>
      </c>
      <c r="M690" s="189">
        <v>0.87</v>
      </c>
      <c r="N690" s="186">
        <f>VLOOKUP(8182,季財報!A:M,8,0)</f>
        <v>2</v>
      </c>
    </row>
    <row r="691" spans="1:14">
      <c r="A691" s="133">
        <v>6290</v>
      </c>
      <c r="C691">
        <v>81</v>
      </c>
      <c r="D691">
        <v>2485</v>
      </c>
      <c r="E691">
        <v>987</v>
      </c>
      <c r="F691">
        <v>3604</v>
      </c>
      <c r="G691">
        <v>230</v>
      </c>
      <c r="H691" s="141">
        <v>0.02</v>
      </c>
      <c r="I691">
        <f t="shared" si="84"/>
        <v>619</v>
      </c>
      <c r="J691" s="137">
        <v>0.02</v>
      </c>
      <c r="K691">
        <f t="shared" si="85"/>
        <v>496</v>
      </c>
      <c r="L691" s="53">
        <f t="shared" si="86"/>
        <v>616</v>
      </c>
      <c r="M691" s="189">
        <v>0.87</v>
      </c>
      <c r="N691" s="186">
        <f>VLOOKUP(6290,季財報!A:M,8,0)</f>
        <v>1</v>
      </c>
    </row>
    <row r="692" spans="1:14">
      <c r="A692" s="133">
        <v>6509</v>
      </c>
      <c r="C692">
        <v>58</v>
      </c>
      <c r="D692">
        <v>1092</v>
      </c>
      <c r="E692">
        <v>2393</v>
      </c>
      <c r="F692">
        <v>2683</v>
      </c>
      <c r="G692">
        <v>954</v>
      </c>
      <c r="H692" s="141">
        <v>0.02</v>
      </c>
      <c r="I692">
        <f t="shared" si="84"/>
        <v>619</v>
      </c>
      <c r="J692" s="137">
        <v>0.02</v>
      </c>
      <c r="K692">
        <f t="shared" si="85"/>
        <v>496</v>
      </c>
      <c r="L692" s="53">
        <f t="shared" si="86"/>
        <v>616</v>
      </c>
      <c r="M692" s="189">
        <v>0.87</v>
      </c>
      <c r="N692" s="186">
        <f>VLOOKUP(6509,季財報!A:M,8,0)</f>
        <v>3</v>
      </c>
    </row>
    <row r="693" spans="1:14">
      <c r="A693" s="133">
        <v>6138</v>
      </c>
      <c r="C693">
        <v>33</v>
      </c>
      <c r="D693">
        <v>1306</v>
      </c>
      <c r="E693">
        <v>376</v>
      </c>
      <c r="F693">
        <v>1888</v>
      </c>
      <c r="G693">
        <v>0</v>
      </c>
      <c r="H693" s="141">
        <v>0.02</v>
      </c>
      <c r="I693">
        <f t="shared" si="84"/>
        <v>619</v>
      </c>
      <c r="J693" s="137">
        <v>0.02</v>
      </c>
      <c r="K693">
        <f t="shared" si="85"/>
        <v>496</v>
      </c>
      <c r="L693" s="53">
        <f t="shared" si="86"/>
        <v>616</v>
      </c>
      <c r="M693" s="189">
        <v>0.79</v>
      </c>
      <c r="N693" s="186">
        <f>VLOOKUP(6138,季財報!A:M,8,0)</f>
        <v>3</v>
      </c>
    </row>
    <row r="694" spans="1:14">
      <c r="A694" s="133">
        <v>5016</v>
      </c>
      <c r="C694">
        <v>29</v>
      </c>
      <c r="D694">
        <v>793</v>
      </c>
      <c r="E694">
        <v>1051</v>
      </c>
      <c r="F694">
        <v>1073</v>
      </c>
      <c r="G694">
        <v>306</v>
      </c>
      <c r="H694" s="141">
        <v>0.02</v>
      </c>
      <c r="I694">
        <f t="shared" si="84"/>
        <v>619</v>
      </c>
      <c r="J694" s="137">
        <v>0.02</v>
      </c>
      <c r="K694">
        <f t="shared" si="85"/>
        <v>496</v>
      </c>
      <c r="L694" s="53">
        <f t="shared" si="86"/>
        <v>616</v>
      </c>
      <c r="M694" s="189">
        <v>1.9</v>
      </c>
      <c r="N694" s="186">
        <f>VLOOKUP(5016,季財報!A:M,8,0)</f>
        <v>2</v>
      </c>
    </row>
    <row r="695" spans="1:14">
      <c r="A695" s="133">
        <v>5263</v>
      </c>
      <c r="C695">
        <v>43</v>
      </c>
      <c r="D695">
        <v>1828</v>
      </c>
      <c r="E695">
        <v>484</v>
      </c>
      <c r="F695">
        <v>2477</v>
      </c>
      <c r="G695">
        <v>220</v>
      </c>
      <c r="H695" s="141">
        <v>0.02</v>
      </c>
      <c r="I695">
        <f t="shared" si="84"/>
        <v>619</v>
      </c>
      <c r="J695" s="137">
        <v>0.02</v>
      </c>
      <c r="K695">
        <f t="shared" si="85"/>
        <v>496</v>
      </c>
      <c r="L695" s="53">
        <f t="shared" si="86"/>
        <v>616</v>
      </c>
      <c r="M695" s="189">
        <v>0.79</v>
      </c>
      <c r="N695" s="186">
        <f>VLOOKUP(5263,季財報!A:M,8,0)</f>
        <v>3</v>
      </c>
    </row>
    <row r="696" spans="1:14">
      <c r="A696" s="133">
        <v>5520</v>
      </c>
      <c r="C696">
        <v>35</v>
      </c>
      <c r="D696">
        <v>762</v>
      </c>
      <c r="E696">
        <v>914</v>
      </c>
      <c r="F696">
        <v>1912</v>
      </c>
      <c r="G696">
        <v>9</v>
      </c>
      <c r="H696" s="141">
        <v>0.02</v>
      </c>
      <c r="I696">
        <f t="shared" si="84"/>
        <v>619</v>
      </c>
      <c r="J696" s="137">
        <v>0.02</v>
      </c>
      <c r="K696">
        <f t="shared" si="85"/>
        <v>496</v>
      </c>
      <c r="L696" s="53">
        <f t="shared" si="86"/>
        <v>616</v>
      </c>
      <c r="M696" s="189">
        <v>0.79</v>
      </c>
      <c r="N696" s="186">
        <f>VLOOKUP(5520,季財報!A:M,8,0)</f>
        <v>3</v>
      </c>
    </row>
    <row r="697" spans="1:14">
      <c r="A697" s="133">
        <v>5538</v>
      </c>
      <c r="C697">
        <v>70</v>
      </c>
      <c r="D697">
        <v>2459</v>
      </c>
      <c r="E697">
        <v>1086</v>
      </c>
      <c r="F697">
        <v>3628</v>
      </c>
      <c r="G697">
        <v>980</v>
      </c>
      <c r="H697" s="141">
        <v>0.02</v>
      </c>
      <c r="I697">
        <f t="shared" si="84"/>
        <v>619</v>
      </c>
      <c r="J697" s="137">
        <v>0.02</v>
      </c>
      <c r="K697">
        <f t="shared" si="85"/>
        <v>496</v>
      </c>
      <c r="L697" s="53">
        <f t="shared" si="86"/>
        <v>616</v>
      </c>
      <c r="M697" s="189">
        <v>0.79</v>
      </c>
      <c r="N697" s="186">
        <f>VLOOKUP(5538,季財報!A:M,8,0)</f>
        <v>1</v>
      </c>
    </row>
    <row r="698" spans="1:14">
      <c r="A698" s="133">
        <v>4303</v>
      </c>
      <c r="C698">
        <v>15</v>
      </c>
      <c r="D698">
        <v>254</v>
      </c>
      <c r="E698">
        <v>442</v>
      </c>
      <c r="F698">
        <v>774</v>
      </c>
      <c r="G698">
        <v>73</v>
      </c>
      <c r="H698" s="141">
        <v>0.02</v>
      </c>
      <c r="I698">
        <f t="shared" si="84"/>
        <v>619</v>
      </c>
      <c r="J698" s="137">
        <v>0.02</v>
      </c>
      <c r="K698">
        <f t="shared" si="85"/>
        <v>496</v>
      </c>
      <c r="L698" s="53">
        <f t="shared" si="86"/>
        <v>616</v>
      </c>
      <c r="M698" s="189">
        <v>0.79</v>
      </c>
      <c r="N698" s="186">
        <f>VLOOKUP(4303,季財報!A:M,8,0)</f>
        <v>2</v>
      </c>
    </row>
    <row r="699" spans="1:14">
      <c r="A699" s="133">
        <v>4510</v>
      </c>
      <c r="C699">
        <v>45</v>
      </c>
      <c r="D699">
        <v>1012</v>
      </c>
      <c r="E699">
        <v>1597</v>
      </c>
      <c r="F699">
        <v>2115</v>
      </c>
      <c r="G699">
        <v>849</v>
      </c>
      <c r="H699" s="141">
        <v>0.02</v>
      </c>
      <c r="I699">
        <f t="shared" si="84"/>
        <v>619</v>
      </c>
      <c r="J699" s="137">
        <v>0.02</v>
      </c>
      <c r="K699">
        <f t="shared" si="85"/>
        <v>496</v>
      </c>
      <c r="L699" s="53">
        <f t="shared" si="86"/>
        <v>616</v>
      </c>
      <c r="M699" s="189">
        <v>14.2</v>
      </c>
      <c r="N699" s="186">
        <f>VLOOKUP(4510,季財報!A:M,8,0)</f>
        <v>2</v>
      </c>
    </row>
    <row r="700" spans="1:14">
      <c r="A700" s="133">
        <v>4739</v>
      </c>
      <c r="C700">
        <v>73</v>
      </c>
      <c r="D700">
        <v>666</v>
      </c>
      <c r="E700">
        <v>2749</v>
      </c>
      <c r="F700">
        <v>2317</v>
      </c>
      <c r="G700">
        <v>1337</v>
      </c>
      <c r="H700" s="141">
        <v>0.02</v>
      </c>
      <c r="I700">
        <f t="shared" si="84"/>
        <v>619</v>
      </c>
      <c r="J700" s="137">
        <v>0.02</v>
      </c>
      <c r="K700">
        <f t="shared" si="85"/>
        <v>496</v>
      </c>
      <c r="L700" s="53">
        <f t="shared" si="86"/>
        <v>616</v>
      </c>
      <c r="M700" s="189">
        <v>0.79</v>
      </c>
      <c r="N700" s="186">
        <f>VLOOKUP(4739,季財報!A:M,8,0)</f>
        <v>1</v>
      </c>
    </row>
    <row r="701" spans="1:14">
      <c r="A701" s="133">
        <v>4747</v>
      </c>
      <c r="C701">
        <v>16</v>
      </c>
      <c r="D701">
        <v>587</v>
      </c>
      <c r="E701">
        <v>215</v>
      </c>
      <c r="F701">
        <v>806</v>
      </c>
      <c r="G701">
        <v>0</v>
      </c>
      <c r="H701" s="141">
        <v>0.02</v>
      </c>
      <c r="I701">
        <f t="shared" si="84"/>
        <v>619</v>
      </c>
      <c r="J701" s="137">
        <v>0.02</v>
      </c>
      <c r="K701">
        <f t="shared" si="85"/>
        <v>496</v>
      </c>
      <c r="L701" s="53">
        <f t="shared" si="86"/>
        <v>616</v>
      </c>
      <c r="M701" s="189">
        <v>1.01</v>
      </c>
      <c r="N701" s="186">
        <f>VLOOKUP(4747,季財報!A:M,8,0)</f>
        <v>2</v>
      </c>
    </row>
    <row r="702" spans="1:14">
      <c r="A702" s="133">
        <v>5009</v>
      </c>
      <c r="C702">
        <v>287</v>
      </c>
      <c r="D702">
        <v>3020</v>
      </c>
      <c r="E702">
        <v>11353</v>
      </c>
      <c r="F702">
        <v>10086</v>
      </c>
      <c r="G702">
        <v>3467</v>
      </c>
      <c r="H702" s="141">
        <v>0.02</v>
      </c>
      <c r="I702">
        <f t="shared" si="84"/>
        <v>619</v>
      </c>
      <c r="J702" s="137">
        <v>0.02</v>
      </c>
      <c r="K702">
        <f t="shared" si="85"/>
        <v>496</v>
      </c>
      <c r="L702" s="53">
        <f t="shared" si="86"/>
        <v>616</v>
      </c>
      <c r="M702" s="189">
        <v>0.79</v>
      </c>
      <c r="N702" s="186">
        <f>VLOOKUP(5009,季財報!A:M,8,0)</f>
        <v>3</v>
      </c>
    </row>
    <row r="703" spans="1:14">
      <c r="A703" s="133">
        <v>1727</v>
      </c>
      <c r="C703">
        <v>33</v>
      </c>
      <c r="D703">
        <v>250</v>
      </c>
      <c r="E703">
        <v>1089</v>
      </c>
      <c r="F703">
        <v>1408</v>
      </c>
      <c r="G703">
        <v>507</v>
      </c>
      <c r="H703" s="141">
        <v>0.02</v>
      </c>
      <c r="I703">
        <f t="shared" si="84"/>
        <v>619</v>
      </c>
      <c r="J703" s="137">
        <v>0.02</v>
      </c>
      <c r="K703">
        <f t="shared" si="85"/>
        <v>496</v>
      </c>
      <c r="L703" s="53">
        <f t="shared" si="86"/>
        <v>616</v>
      </c>
      <c r="M703" s="189">
        <v>0.79</v>
      </c>
      <c r="N703" s="186">
        <f>VLOOKUP(1727,季財報!A:M,8,0)</f>
        <v>2</v>
      </c>
    </row>
    <row r="704" spans="1:14">
      <c r="A704" s="133">
        <v>2029</v>
      </c>
      <c r="C704">
        <v>147</v>
      </c>
      <c r="D704">
        <v>5149</v>
      </c>
      <c r="E704">
        <v>2633</v>
      </c>
      <c r="F704">
        <v>7673</v>
      </c>
      <c r="G704">
        <v>179</v>
      </c>
      <c r="H704" s="141">
        <v>0.02</v>
      </c>
      <c r="I704">
        <f t="shared" si="84"/>
        <v>619</v>
      </c>
      <c r="J704" s="137">
        <v>0.02</v>
      </c>
      <c r="K704">
        <f t="shared" si="85"/>
        <v>496</v>
      </c>
      <c r="L704" s="53">
        <f t="shared" si="86"/>
        <v>616</v>
      </c>
      <c r="M704" s="189">
        <v>1.58</v>
      </c>
      <c r="N704" s="186">
        <f>VLOOKUP(2029,季財報!A:M,8,0)</f>
        <v>1</v>
      </c>
    </row>
    <row r="705" spans="1:14">
      <c r="A705" s="133">
        <v>2461</v>
      </c>
      <c r="C705">
        <v>84</v>
      </c>
      <c r="D705">
        <v>2144</v>
      </c>
      <c r="E705">
        <v>1361</v>
      </c>
      <c r="F705">
        <v>3212</v>
      </c>
      <c r="G705">
        <v>827</v>
      </c>
      <c r="H705" s="141">
        <v>0.02</v>
      </c>
      <c r="I705">
        <f t="shared" si="84"/>
        <v>619</v>
      </c>
      <c r="J705" s="137">
        <v>0.02</v>
      </c>
      <c r="K705">
        <f t="shared" si="85"/>
        <v>496</v>
      </c>
      <c r="L705" s="53">
        <f t="shared" si="86"/>
        <v>616</v>
      </c>
      <c r="M705" s="189">
        <v>0.79</v>
      </c>
      <c r="N705" s="186">
        <f>VLOOKUP(2461,季財報!A:M,8,0)</f>
        <v>3</v>
      </c>
    </row>
    <row r="706" spans="1:14">
      <c r="A706" s="133">
        <v>2484</v>
      </c>
      <c r="C706">
        <v>53</v>
      </c>
      <c r="D706">
        <v>1514</v>
      </c>
      <c r="E706">
        <v>1441</v>
      </c>
      <c r="F706">
        <v>2871</v>
      </c>
      <c r="G706">
        <v>107</v>
      </c>
      <c r="H706" s="141">
        <v>0.02</v>
      </c>
      <c r="I706">
        <f t="shared" si="84"/>
        <v>619</v>
      </c>
      <c r="J706" s="137">
        <v>0.02</v>
      </c>
      <c r="K706">
        <f t="shared" si="85"/>
        <v>496</v>
      </c>
      <c r="L706" s="53">
        <f t="shared" si="86"/>
        <v>616</v>
      </c>
      <c r="M706" s="189">
        <v>1.1399999999999999</v>
      </c>
      <c r="N706" s="186">
        <f>VLOOKUP(2484,季財報!A:M,8,0)</f>
        <v>4</v>
      </c>
    </row>
    <row r="707" spans="1:14">
      <c r="A707" s="133">
        <v>2906</v>
      </c>
      <c r="C707">
        <v>60</v>
      </c>
      <c r="D707">
        <v>2433</v>
      </c>
      <c r="E707">
        <v>424</v>
      </c>
      <c r="F707">
        <v>3252</v>
      </c>
      <c r="G707">
        <v>619</v>
      </c>
      <c r="H707" s="141">
        <v>0.02</v>
      </c>
      <c r="I707">
        <f t="shared" si="84"/>
        <v>619</v>
      </c>
      <c r="J707" s="137">
        <v>0.02</v>
      </c>
      <c r="K707">
        <f t="shared" si="85"/>
        <v>496</v>
      </c>
      <c r="L707" s="53">
        <f t="shared" si="86"/>
        <v>616</v>
      </c>
      <c r="M707" s="189">
        <v>1.46</v>
      </c>
      <c r="N707" s="186">
        <f>VLOOKUP(2906,季財報!A:M,8,0)</f>
        <v>2</v>
      </c>
    </row>
    <row r="708" spans="1:14">
      <c r="A708" s="133">
        <v>3021</v>
      </c>
      <c r="C708">
        <v>26</v>
      </c>
      <c r="D708">
        <v>742</v>
      </c>
      <c r="E708">
        <v>331</v>
      </c>
      <c r="F708">
        <v>1199</v>
      </c>
      <c r="G708">
        <v>259</v>
      </c>
      <c r="H708" s="141">
        <v>0.02</v>
      </c>
      <c r="I708">
        <f t="shared" si="84"/>
        <v>619</v>
      </c>
      <c r="J708" s="137">
        <v>0.02</v>
      </c>
      <c r="K708">
        <f t="shared" si="85"/>
        <v>496</v>
      </c>
      <c r="L708" s="53">
        <f t="shared" si="86"/>
        <v>616</v>
      </c>
      <c r="M708" s="189">
        <v>1.01</v>
      </c>
      <c r="N708" s="186">
        <f>VLOOKUP(3021,季財報!A:M,8,0)</f>
        <v>3</v>
      </c>
    </row>
    <row r="709" spans="1:14">
      <c r="A709" s="133">
        <v>3217</v>
      </c>
      <c r="C709">
        <v>26</v>
      </c>
      <c r="D709">
        <v>460</v>
      </c>
      <c r="E709">
        <v>585</v>
      </c>
      <c r="F709">
        <v>1409</v>
      </c>
      <c r="G709">
        <v>66</v>
      </c>
      <c r="H709" s="141">
        <v>0.02</v>
      </c>
      <c r="I709">
        <f t="shared" si="84"/>
        <v>619</v>
      </c>
      <c r="J709" s="137">
        <v>0.02</v>
      </c>
      <c r="K709">
        <f t="shared" si="85"/>
        <v>496</v>
      </c>
      <c r="L709" s="53">
        <f t="shared" si="86"/>
        <v>616</v>
      </c>
      <c r="M709" s="189">
        <v>0.79</v>
      </c>
      <c r="N709" s="186">
        <f>VLOOKUP(3217,季財報!A:M,8,0)</f>
        <v>5</v>
      </c>
    </row>
    <row r="710" spans="1:14">
      <c r="A710" s="133">
        <v>3402</v>
      </c>
      <c r="C710">
        <v>30</v>
      </c>
      <c r="D710">
        <v>950</v>
      </c>
      <c r="E710">
        <v>326</v>
      </c>
      <c r="F710">
        <v>1225</v>
      </c>
      <c r="G710">
        <v>71</v>
      </c>
      <c r="H710" s="141">
        <v>0.02</v>
      </c>
      <c r="I710">
        <f t="shared" si="84"/>
        <v>619</v>
      </c>
      <c r="J710" s="137">
        <v>0.02</v>
      </c>
      <c r="K710">
        <f t="shared" si="85"/>
        <v>496</v>
      </c>
      <c r="L710" s="53">
        <f t="shared" si="86"/>
        <v>616</v>
      </c>
      <c r="M710" s="189">
        <v>0.79</v>
      </c>
      <c r="N710" s="186">
        <f>VLOOKUP(3402,季財報!A:M,8,0)</f>
        <v>1</v>
      </c>
    </row>
    <row r="711" spans="1:14">
      <c r="A711" s="133">
        <v>3455</v>
      </c>
      <c r="C711">
        <v>36</v>
      </c>
      <c r="D711">
        <v>1411</v>
      </c>
      <c r="E711">
        <v>324</v>
      </c>
      <c r="F711">
        <v>1723</v>
      </c>
      <c r="G711">
        <v>170</v>
      </c>
      <c r="H711" s="141">
        <v>0.02</v>
      </c>
      <c r="I711">
        <f t="shared" si="84"/>
        <v>619</v>
      </c>
      <c r="J711" s="137">
        <v>0.02</v>
      </c>
      <c r="K711">
        <f t="shared" si="85"/>
        <v>496</v>
      </c>
      <c r="L711" s="53">
        <f t="shared" si="86"/>
        <v>616</v>
      </c>
      <c r="M711" s="189">
        <v>0.79</v>
      </c>
      <c r="N711" s="186">
        <f>VLOOKUP(3455,季財報!A:M,8,0)</f>
        <v>2</v>
      </c>
    </row>
    <row r="712" spans="1:14">
      <c r="A712" s="133">
        <v>3499</v>
      </c>
      <c r="C712">
        <v>13</v>
      </c>
      <c r="D712">
        <v>203</v>
      </c>
      <c r="E712">
        <v>360</v>
      </c>
      <c r="F712">
        <v>656</v>
      </c>
      <c r="G712">
        <v>91</v>
      </c>
      <c r="H712" s="141">
        <v>0.02</v>
      </c>
      <c r="I712">
        <f t="shared" si="84"/>
        <v>619</v>
      </c>
      <c r="J712" s="137">
        <v>0.02</v>
      </c>
      <c r="K712">
        <f t="shared" si="85"/>
        <v>496</v>
      </c>
      <c r="L712" s="53">
        <f t="shared" si="86"/>
        <v>616</v>
      </c>
      <c r="M712" s="189">
        <v>0.79</v>
      </c>
      <c r="N712" s="186">
        <f>VLOOKUP(3499,季財報!A:M,8,0)</f>
        <v>5</v>
      </c>
    </row>
    <row r="713" spans="1:14">
      <c r="A713" s="133">
        <v>3514</v>
      </c>
      <c r="C713">
        <v>257</v>
      </c>
      <c r="D713">
        <v>3243</v>
      </c>
      <c r="E713">
        <v>8167</v>
      </c>
      <c r="F713">
        <v>12946</v>
      </c>
      <c r="G713">
        <v>2886</v>
      </c>
      <c r="H713" s="141">
        <v>0.02</v>
      </c>
      <c r="I713">
        <f t="shared" ref="I713:I718" si="87">RANK(0.02,H:H,0)</f>
        <v>619</v>
      </c>
      <c r="J713" s="137">
        <v>0.02</v>
      </c>
      <c r="K713">
        <f t="shared" ref="K713:K718" si="88">RANK(0.02,J:J,0)</f>
        <v>496</v>
      </c>
      <c r="L713" s="53">
        <f t="shared" ref="L713:L718" si="89">RANK(1.36,M:M,0)</f>
        <v>616</v>
      </c>
      <c r="M713" s="189">
        <v>0.79</v>
      </c>
      <c r="N713" s="186">
        <f>VLOOKUP(3514,季財報!A:M,8,0)</f>
        <v>3</v>
      </c>
    </row>
    <row r="714" spans="1:14">
      <c r="A714" s="133">
        <v>3526</v>
      </c>
      <c r="C714">
        <v>25</v>
      </c>
      <c r="D714">
        <v>684</v>
      </c>
      <c r="E714">
        <v>541</v>
      </c>
      <c r="F714">
        <v>1267</v>
      </c>
      <c r="G714">
        <v>56</v>
      </c>
      <c r="H714" s="141">
        <v>0.02</v>
      </c>
      <c r="I714">
        <f t="shared" si="87"/>
        <v>619</v>
      </c>
      <c r="J714" s="137">
        <v>0.02</v>
      </c>
      <c r="K714">
        <f t="shared" si="88"/>
        <v>496</v>
      </c>
      <c r="L714" s="53">
        <f t="shared" si="89"/>
        <v>616</v>
      </c>
      <c r="M714" s="189">
        <v>0.79</v>
      </c>
      <c r="N714" s="186">
        <f>VLOOKUP(3526,季財報!A:M,8,0)</f>
        <v>4</v>
      </c>
    </row>
    <row r="715" spans="1:14">
      <c r="A715" s="133">
        <v>3537</v>
      </c>
      <c r="C715">
        <v>19</v>
      </c>
      <c r="D715">
        <v>676</v>
      </c>
      <c r="E715">
        <v>242</v>
      </c>
      <c r="F715">
        <v>829</v>
      </c>
      <c r="G715">
        <v>128</v>
      </c>
      <c r="H715" s="141">
        <v>0.02</v>
      </c>
      <c r="I715">
        <f t="shared" si="87"/>
        <v>619</v>
      </c>
      <c r="J715" s="137">
        <v>0.02</v>
      </c>
      <c r="K715">
        <f t="shared" si="88"/>
        <v>496</v>
      </c>
      <c r="L715" s="53">
        <f t="shared" si="89"/>
        <v>616</v>
      </c>
      <c r="M715" s="189">
        <v>0.79</v>
      </c>
      <c r="N715" s="186">
        <f>VLOOKUP(3537,季財報!A:M,8,0)</f>
        <v>2</v>
      </c>
    </row>
    <row r="716" spans="1:14">
      <c r="A716" s="133">
        <v>3588</v>
      </c>
      <c r="C716">
        <v>21</v>
      </c>
      <c r="D716">
        <v>1149</v>
      </c>
      <c r="E716">
        <v>47</v>
      </c>
      <c r="F716">
        <v>1201</v>
      </c>
      <c r="G716">
        <v>0</v>
      </c>
      <c r="H716" s="141">
        <v>0.02</v>
      </c>
      <c r="I716">
        <f t="shared" si="87"/>
        <v>619</v>
      </c>
      <c r="J716" s="137">
        <v>0.02</v>
      </c>
      <c r="K716">
        <f t="shared" si="88"/>
        <v>496</v>
      </c>
      <c r="L716" s="53">
        <f t="shared" si="89"/>
        <v>616</v>
      </c>
      <c r="M716" s="189">
        <v>1.36</v>
      </c>
      <c r="N716" s="186">
        <f>VLOOKUP(3588,季財報!A:M,8,0)</f>
        <v>3</v>
      </c>
    </row>
    <row r="717" spans="1:14">
      <c r="A717" s="133">
        <v>4111</v>
      </c>
      <c r="C717">
        <v>19</v>
      </c>
      <c r="D717">
        <v>222</v>
      </c>
      <c r="E717">
        <v>792</v>
      </c>
      <c r="F717">
        <v>1009</v>
      </c>
      <c r="G717">
        <v>20</v>
      </c>
      <c r="H717" s="141">
        <v>0.02</v>
      </c>
      <c r="I717">
        <f t="shared" si="87"/>
        <v>619</v>
      </c>
      <c r="J717" s="137">
        <v>0.02</v>
      </c>
      <c r="K717">
        <f t="shared" si="88"/>
        <v>496</v>
      </c>
      <c r="L717" s="53">
        <f t="shared" si="89"/>
        <v>616</v>
      </c>
      <c r="M717" s="189">
        <v>0.79</v>
      </c>
      <c r="N717" s="186">
        <f>VLOOKUP(4111,季財報!A:M,8,0)</f>
        <v>3</v>
      </c>
    </row>
    <row r="718" spans="1:14">
      <c r="A718" s="133">
        <v>4120</v>
      </c>
      <c r="C718">
        <v>65</v>
      </c>
      <c r="D718">
        <v>1668</v>
      </c>
      <c r="E718">
        <v>1700</v>
      </c>
      <c r="F718">
        <v>3393</v>
      </c>
      <c r="G718">
        <v>609</v>
      </c>
      <c r="H718" s="141">
        <v>0.02</v>
      </c>
      <c r="I718">
        <f t="shared" si="87"/>
        <v>619</v>
      </c>
      <c r="J718" s="137">
        <v>0.02</v>
      </c>
      <c r="K718">
        <f t="shared" si="88"/>
        <v>496</v>
      </c>
      <c r="L718" s="53">
        <f t="shared" si="89"/>
        <v>616</v>
      </c>
      <c r="M718" s="189">
        <v>2.11</v>
      </c>
      <c r="N718" s="186">
        <f>VLOOKUP(4120,季財報!A:M,8,0)</f>
        <v>4</v>
      </c>
    </row>
    <row r="719" spans="1:14">
      <c r="A719" s="133">
        <v>2227</v>
      </c>
      <c r="C719">
        <v>234</v>
      </c>
      <c r="D719">
        <v>5898</v>
      </c>
      <c r="E719">
        <v>1859</v>
      </c>
      <c r="F719">
        <v>21443</v>
      </c>
      <c r="G719">
        <v>3630</v>
      </c>
      <c r="H719" s="141">
        <v>0.03</v>
      </c>
      <c r="I719">
        <f t="shared" ref="I719:I728" si="90">RANK(0.03,H:H,0)</f>
        <v>466</v>
      </c>
      <c r="J719" s="137">
        <v>0.01</v>
      </c>
      <c r="K719">
        <f t="shared" ref="K719:K728" si="91">RANK(0.01,J:J,0)</f>
        <v>708</v>
      </c>
      <c r="L719" s="53">
        <f t="shared" ref="L719:L728" si="92">RANK(1.29,M:M,0)</f>
        <v>718</v>
      </c>
      <c r="M719" s="189">
        <v>0.79</v>
      </c>
      <c r="N719" s="186">
        <f>VLOOKUP(2227,季財報!A:M,8,0)</f>
        <v>0</v>
      </c>
    </row>
    <row r="720" spans="1:14">
      <c r="A720" s="133">
        <v>2530</v>
      </c>
      <c r="C720">
        <v>84</v>
      </c>
      <c r="D720">
        <v>2596</v>
      </c>
      <c r="E720">
        <v>66</v>
      </c>
      <c r="F720">
        <v>3019</v>
      </c>
      <c r="G720">
        <v>3253</v>
      </c>
      <c r="H720" s="141">
        <v>0.03</v>
      </c>
      <c r="I720">
        <f t="shared" si="90"/>
        <v>466</v>
      </c>
      <c r="J720" s="137">
        <v>0.01</v>
      </c>
      <c r="K720">
        <f t="shared" si="91"/>
        <v>708</v>
      </c>
      <c r="L720" s="53">
        <f t="shared" si="92"/>
        <v>718</v>
      </c>
      <c r="M720" s="189">
        <v>0.79</v>
      </c>
      <c r="N720" s="186">
        <f>VLOOKUP(2530,季財報!A:M,8,0)</f>
        <v>4</v>
      </c>
    </row>
    <row r="721" spans="1:14">
      <c r="A721" s="133">
        <v>2701</v>
      </c>
      <c r="C721">
        <v>42</v>
      </c>
      <c r="D721">
        <v>963</v>
      </c>
      <c r="E721">
        <v>369</v>
      </c>
      <c r="F721">
        <v>6724</v>
      </c>
      <c r="G721">
        <v>0</v>
      </c>
      <c r="H721" s="141">
        <v>0.03</v>
      </c>
      <c r="I721">
        <f t="shared" si="90"/>
        <v>466</v>
      </c>
      <c r="J721" s="137">
        <v>0.01</v>
      </c>
      <c r="K721">
        <f t="shared" si="91"/>
        <v>708</v>
      </c>
      <c r="L721" s="53">
        <f t="shared" si="92"/>
        <v>718</v>
      </c>
      <c r="M721" s="189">
        <v>0.79</v>
      </c>
      <c r="N721" s="186">
        <f>VLOOKUP(2701,季財報!A:M,8,0)</f>
        <v>6</v>
      </c>
    </row>
    <row r="722" spans="1:14">
      <c r="A722" s="133">
        <v>8932</v>
      </c>
      <c r="C722">
        <v>14</v>
      </c>
      <c r="D722">
        <v>0</v>
      </c>
      <c r="E722">
        <v>467</v>
      </c>
      <c r="F722">
        <v>471</v>
      </c>
      <c r="G722">
        <v>463</v>
      </c>
      <c r="H722" s="141">
        <v>0.03</v>
      </c>
      <c r="I722">
        <f t="shared" si="90"/>
        <v>466</v>
      </c>
      <c r="J722" s="137">
        <v>0.01</v>
      </c>
      <c r="K722">
        <f t="shared" si="91"/>
        <v>708</v>
      </c>
      <c r="L722" s="53">
        <f t="shared" si="92"/>
        <v>718</v>
      </c>
      <c r="M722" s="189">
        <v>1.29</v>
      </c>
      <c r="N722" s="186">
        <f>VLOOKUP(8932,季財報!A:M,8,0)</f>
        <v>2</v>
      </c>
    </row>
    <row r="723" spans="1:14">
      <c r="A723" s="133">
        <v>8069</v>
      </c>
      <c r="C723">
        <v>374</v>
      </c>
      <c r="D723">
        <v>6095</v>
      </c>
      <c r="E723">
        <v>8060</v>
      </c>
      <c r="F723">
        <v>26123</v>
      </c>
      <c r="G723">
        <v>4094</v>
      </c>
      <c r="H723" s="141">
        <v>0.03</v>
      </c>
      <c r="I723">
        <f t="shared" si="90"/>
        <v>466</v>
      </c>
      <c r="J723" s="137">
        <v>0.01</v>
      </c>
      <c r="K723">
        <f t="shared" si="91"/>
        <v>708</v>
      </c>
      <c r="L723" s="53">
        <f t="shared" si="92"/>
        <v>718</v>
      </c>
      <c r="M723" s="189">
        <v>1.84</v>
      </c>
      <c r="N723" s="186">
        <f>VLOOKUP(8069,季財報!A:M,8,0)</f>
        <v>3</v>
      </c>
    </row>
    <row r="724" spans="1:14">
      <c r="A724" s="133">
        <v>8096</v>
      </c>
      <c r="C724">
        <v>56</v>
      </c>
      <c r="D724">
        <v>1918</v>
      </c>
      <c r="E724">
        <v>175</v>
      </c>
      <c r="F724">
        <v>2387</v>
      </c>
      <c r="G724">
        <v>2267</v>
      </c>
      <c r="H724" s="141">
        <v>0.03</v>
      </c>
      <c r="I724">
        <f t="shared" si="90"/>
        <v>466</v>
      </c>
      <c r="J724" s="137">
        <v>0.01</v>
      </c>
      <c r="K724">
        <f t="shared" si="91"/>
        <v>708</v>
      </c>
      <c r="L724" s="53">
        <f t="shared" si="92"/>
        <v>718</v>
      </c>
      <c r="M724" s="189">
        <v>0.79</v>
      </c>
      <c r="N724" s="186">
        <f>VLOOKUP(8096,季財報!A:M,8,0)</f>
        <v>3</v>
      </c>
    </row>
    <row r="725" spans="1:14">
      <c r="A725" s="133">
        <v>5907</v>
      </c>
      <c r="C725">
        <v>166</v>
      </c>
      <c r="D725">
        <v>0</v>
      </c>
      <c r="E725">
        <v>6301</v>
      </c>
      <c r="F725">
        <v>10645</v>
      </c>
      <c r="G725">
        <v>5069</v>
      </c>
      <c r="H725" s="141">
        <v>0.03</v>
      </c>
      <c r="I725">
        <f t="shared" si="90"/>
        <v>466</v>
      </c>
      <c r="J725" s="137">
        <v>0.01</v>
      </c>
      <c r="K725">
        <f t="shared" si="91"/>
        <v>708</v>
      </c>
      <c r="L725" s="53">
        <f t="shared" si="92"/>
        <v>718</v>
      </c>
      <c r="M725" s="189">
        <v>0.79</v>
      </c>
      <c r="N725" s="186">
        <f>VLOOKUP(5907,季財報!A:M,8,0)</f>
        <v>0</v>
      </c>
    </row>
    <row r="726" spans="1:14">
      <c r="A726" s="133">
        <v>5410</v>
      </c>
      <c r="C726">
        <v>16</v>
      </c>
      <c r="D726">
        <v>477</v>
      </c>
      <c r="E726">
        <v>70</v>
      </c>
      <c r="F726">
        <v>1065</v>
      </c>
      <c r="G726">
        <v>20</v>
      </c>
      <c r="H726" s="141">
        <v>0.03</v>
      </c>
      <c r="I726">
        <f t="shared" si="90"/>
        <v>466</v>
      </c>
      <c r="J726" s="137">
        <v>0.01</v>
      </c>
      <c r="K726">
        <f t="shared" si="91"/>
        <v>708</v>
      </c>
      <c r="L726" s="53">
        <f t="shared" si="92"/>
        <v>718</v>
      </c>
      <c r="M726" s="189">
        <v>0.79</v>
      </c>
      <c r="N726" s="186">
        <f>VLOOKUP(5410,季財報!A:M,8,0)</f>
        <v>1</v>
      </c>
    </row>
    <row r="727" spans="1:14">
      <c r="A727" s="133">
        <v>1402</v>
      </c>
      <c r="C727">
        <v>3992</v>
      </c>
      <c r="D727">
        <v>1330</v>
      </c>
      <c r="E727">
        <v>149943</v>
      </c>
      <c r="F727">
        <v>263999</v>
      </c>
      <c r="G727">
        <v>63006</v>
      </c>
      <c r="H727" s="141">
        <v>0.03</v>
      </c>
      <c r="I727">
        <f t="shared" si="90"/>
        <v>466</v>
      </c>
      <c r="J727" s="137">
        <v>0.01</v>
      </c>
      <c r="K727">
        <f t="shared" si="91"/>
        <v>708</v>
      </c>
      <c r="L727" s="53">
        <f t="shared" si="92"/>
        <v>718</v>
      </c>
      <c r="M727" s="189">
        <v>0.79</v>
      </c>
      <c r="N727" s="186">
        <f>VLOOKUP(1402,季財報!A:M,8,0)</f>
        <v>1</v>
      </c>
    </row>
    <row r="728" spans="1:14">
      <c r="A728" s="133">
        <v>3028</v>
      </c>
      <c r="C728">
        <v>159</v>
      </c>
      <c r="D728">
        <v>4482</v>
      </c>
      <c r="E728">
        <v>493</v>
      </c>
      <c r="F728">
        <v>5201</v>
      </c>
      <c r="G728">
        <v>5590</v>
      </c>
      <c r="H728" s="141">
        <v>0.03</v>
      </c>
      <c r="I728">
        <f t="shared" si="90"/>
        <v>466</v>
      </c>
      <c r="J728" s="137">
        <v>0.01</v>
      </c>
      <c r="K728">
        <f t="shared" si="91"/>
        <v>708</v>
      </c>
      <c r="L728" s="53">
        <f t="shared" si="92"/>
        <v>718</v>
      </c>
      <c r="M728" s="189">
        <v>0.87</v>
      </c>
      <c r="N728" s="186">
        <f>VLOOKUP(3028,季財報!A:M,8,0)</f>
        <v>1</v>
      </c>
    </row>
    <row r="729" spans="1:14">
      <c r="A729" s="133">
        <v>5604</v>
      </c>
      <c r="C729">
        <v>34</v>
      </c>
      <c r="D729">
        <v>140</v>
      </c>
      <c r="E729">
        <v>3327</v>
      </c>
      <c r="F729">
        <v>2152</v>
      </c>
      <c r="G729">
        <v>15</v>
      </c>
      <c r="H729" s="141">
        <v>0.01</v>
      </c>
      <c r="I729">
        <f t="shared" ref="I729:I737" si="93">RANK(0.01,H:H,0)</f>
        <v>796</v>
      </c>
      <c r="J729" s="137">
        <v>0.02</v>
      </c>
      <c r="K729">
        <f t="shared" ref="K729:K737" si="94">RANK(0.02,J:J,0)</f>
        <v>496</v>
      </c>
      <c r="L729" s="53">
        <f t="shared" ref="L729:L737" si="95">RANK(1.18,M:M,0)</f>
        <v>728</v>
      </c>
      <c r="M729" s="189">
        <v>0.79</v>
      </c>
      <c r="N729" s="186">
        <f>VLOOKUP(5604,季財報!A:M,8,0)</f>
        <v>1</v>
      </c>
    </row>
    <row r="730" spans="1:14">
      <c r="A730" s="133">
        <v>4541</v>
      </c>
      <c r="C730">
        <v>28</v>
      </c>
      <c r="D730">
        <v>271</v>
      </c>
      <c r="E730">
        <v>2039</v>
      </c>
      <c r="F730">
        <v>1369</v>
      </c>
      <c r="G730">
        <v>245</v>
      </c>
      <c r="H730" s="141">
        <v>0.01</v>
      </c>
      <c r="I730">
        <f t="shared" si="93"/>
        <v>796</v>
      </c>
      <c r="J730" s="137">
        <v>0.02</v>
      </c>
      <c r="K730">
        <f t="shared" si="94"/>
        <v>496</v>
      </c>
      <c r="L730" s="53">
        <f t="shared" si="95"/>
        <v>728</v>
      </c>
      <c r="M730" s="189">
        <v>1.01</v>
      </c>
      <c r="N730" s="186">
        <f>VLOOKUP(4541,季財報!A:M,8,0)</f>
        <v>2</v>
      </c>
    </row>
    <row r="731" spans="1:14">
      <c r="A731" s="133">
        <v>2637</v>
      </c>
      <c r="C731">
        <v>859</v>
      </c>
      <c r="D731">
        <v>0</v>
      </c>
      <c r="E731">
        <v>76644</v>
      </c>
      <c r="F731">
        <v>29055</v>
      </c>
      <c r="G731">
        <v>6894</v>
      </c>
      <c r="H731" s="141">
        <v>0.01</v>
      </c>
      <c r="I731">
        <f t="shared" si="93"/>
        <v>796</v>
      </c>
      <c r="J731" s="137">
        <v>0.02</v>
      </c>
      <c r="K731">
        <f t="shared" si="94"/>
        <v>496</v>
      </c>
      <c r="L731" s="53">
        <f t="shared" si="95"/>
        <v>728</v>
      </c>
      <c r="M731" s="189">
        <v>3.37</v>
      </c>
      <c r="N731" s="186">
        <f>VLOOKUP(2637,季財報!A:M,8,0)</f>
        <v>6</v>
      </c>
    </row>
    <row r="732" spans="1:14">
      <c r="A732" s="133">
        <v>8423</v>
      </c>
      <c r="C732">
        <v>6</v>
      </c>
      <c r="D732">
        <v>92</v>
      </c>
      <c r="E732">
        <v>379</v>
      </c>
      <c r="F732">
        <v>288</v>
      </c>
      <c r="G732">
        <v>26</v>
      </c>
      <c r="H732" s="141">
        <v>0.01</v>
      </c>
      <c r="I732">
        <f t="shared" si="93"/>
        <v>796</v>
      </c>
      <c r="J732" s="137">
        <v>0.02</v>
      </c>
      <c r="K732">
        <f t="shared" si="94"/>
        <v>496</v>
      </c>
      <c r="L732" s="53">
        <f t="shared" si="95"/>
        <v>728</v>
      </c>
      <c r="M732" s="189">
        <v>3.37</v>
      </c>
      <c r="N732" s="186">
        <f>VLOOKUP(8423,季財報!A:M,8,0)</f>
        <v>3</v>
      </c>
    </row>
    <row r="733" spans="1:14">
      <c r="A733" s="133">
        <v>8147</v>
      </c>
      <c r="C733">
        <v>8</v>
      </c>
      <c r="D733">
        <v>277</v>
      </c>
      <c r="E733">
        <v>292</v>
      </c>
      <c r="F733">
        <v>484</v>
      </c>
      <c r="G733">
        <v>0</v>
      </c>
      <c r="H733" s="141">
        <v>0.01</v>
      </c>
      <c r="I733">
        <f t="shared" si="93"/>
        <v>796</v>
      </c>
      <c r="J733" s="137">
        <v>0.02</v>
      </c>
      <c r="K733">
        <f t="shared" si="94"/>
        <v>496</v>
      </c>
      <c r="L733" s="53">
        <f t="shared" si="95"/>
        <v>728</v>
      </c>
      <c r="M733" s="189">
        <v>0.79</v>
      </c>
      <c r="N733" s="186">
        <f>VLOOKUP(8147,季財報!A:M,8,0)</f>
        <v>2</v>
      </c>
    </row>
    <row r="734" spans="1:14">
      <c r="A734" s="133">
        <v>8354</v>
      </c>
      <c r="C734">
        <v>26</v>
      </c>
      <c r="D734">
        <v>625</v>
      </c>
      <c r="E734">
        <v>1232</v>
      </c>
      <c r="F734">
        <v>1419</v>
      </c>
      <c r="G734">
        <v>173</v>
      </c>
      <c r="H734" s="141">
        <v>0.01</v>
      </c>
      <c r="I734">
        <f t="shared" si="93"/>
        <v>796</v>
      </c>
      <c r="J734" s="137">
        <v>0.02</v>
      </c>
      <c r="K734">
        <f t="shared" si="94"/>
        <v>496</v>
      </c>
      <c r="L734" s="53">
        <f t="shared" si="95"/>
        <v>728</v>
      </c>
      <c r="M734" s="189">
        <v>0.79</v>
      </c>
      <c r="N734" s="186">
        <f>VLOOKUP(8354,季財報!A:M,8,0)</f>
        <v>3</v>
      </c>
    </row>
    <row r="735" spans="1:14">
      <c r="A735" s="133">
        <v>5364</v>
      </c>
      <c r="C735">
        <v>6</v>
      </c>
      <c r="D735">
        <v>0</v>
      </c>
      <c r="E735">
        <v>431</v>
      </c>
      <c r="F735">
        <v>284</v>
      </c>
      <c r="G735">
        <v>102</v>
      </c>
      <c r="H735" s="141">
        <v>0.01</v>
      </c>
      <c r="I735">
        <f t="shared" si="93"/>
        <v>796</v>
      </c>
      <c r="J735" s="137">
        <v>0.02</v>
      </c>
      <c r="K735">
        <f t="shared" si="94"/>
        <v>496</v>
      </c>
      <c r="L735" s="53">
        <f t="shared" si="95"/>
        <v>728</v>
      </c>
      <c r="M735" s="189">
        <v>0.87</v>
      </c>
      <c r="N735" s="186">
        <f>VLOOKUP(5364,季財報!A:M,8,0)</f>
        <v>3</v>
      </c>
    </row>
    <row r="736" spans="1:14">
      <c r="A736" s="133">
        <v>5460</v>
      </c>
      <c r="C736">
        <v>15</v>
      </c>
      <c r="D736">
        <v>662</v>
      </c>
      <c r="E736">
        <v>378</v>
      </c>
      <c r="F736">
        <v>992</v>
      </c>
      <c r="G736">
        <v>0</v>
      </c>
      <c r="H736" s="141">
        <v>0.01</v>
      </c>
      <c r="I736">
        <f t="shared" si="93"/>
        <v>796</v>
      </c>
      <c r="J736" s="137">
        <v>0.02</v>
      </c>
      <c r="K736">
        <f t="shared" si="94"/>
        <v>496</v>
      </c>
      <c r="L736" s="53">
        <f t="shared" si="95"/>
        <v>728</v>
      </c>
      <c r="M736" s="189">
        <v>1.01</v>
      </c>
      <c r="N736" s="186">
        <f>VLOOKUP(5460,季財報!A:M,8,0)</f>
        <v>1</v>
      </c>
    </row>
    <row r="737" spans="1:14">
      <c r="A737" s="133">
        <v>1815</v>
      </c>
      <c r="C737">
        <v>136</v>
      </c>
      <c r="D737">
        <v>1162</v>
      </c>
      <c r="E737">
        <v>8849</v>
      </c>
      <c r="F737">
        <v>6604</v>
      </c>
      <c r="G737">
        <v>1512</v>
      </c>
      <c r="H737" s="141">
        <v>0.01</v>
      </c>
      <c r="I737">
        <f t="shared" si="93"/>
        <v>796</v>
      </c>
      <c r="J737" s="137">
        <v>0.02</v>
      </c>
      <c r="K737">
        <f t="shared" si="94"/>
        <v>496</v>
      </c>
      <c r="L737" s="53">
        <f t="shared" si="95"/>
        <v>728</v>
      </c>
      <c r="M737" s="189">
        <v>0.79</v>
      </c>
      <c r="N737" s="186">
        <f>VLOOKUP(1815,季財報!A:M,8,0)</f>
        <v>3</v>
      </c>
    </row>
    <row r="738" spans="1:14">
      <c r="A738" s="133">
        <v>3324</v>
      </c>
      <c r="C738">
        <v>129</v>
      </c>
      <c r="D738">
        <v>5009</v>
      </c>
      <c r="E738">
        <v>637</v>
      </c>
      <c r="F738">
        <v>4614</v>
      </c>
      <c r="G738">
        <v>6073</v>
      </c>
      <c r="H738" s="141">
        <v>0.02</v>
      </c>
      <c r="I738">
        <f t="shared" ref="I738:I769" si="96">RANK(0.02,H:H,0)</f>
        <v>619</v>
      </c>
      <c r="J738" s="137">
        <v>0.01</v>
      </c>
      <c r="K738">
        <f t="shared" ref="K738:K801" si="97">RANK(0.01,J:J,0)</f>
        <v>708</v>
      </c>
      <c r="L738" s="53">
        <f t="shared" ref="L738:L769" si="98">RANK(1.14,M:M,0)</f>
        <v>737</v>
      </c>
      <c r="M738" s="189">
        <v>12.66</v>
      </c>
      <c r="N738" s="186">
        <f>VLOOKUP(3324,季財報!A:M,8,0)</f>
        <v>4</v>
      </c>
    </row>
    <row r="739" spans="1:14">
      <c r="A739" s="133">
        <v>9934</v>
      </c>
      <c r="C739">
        <v>131</v>
      </c>
      <c r="D739">
        <v>4633</v>
      </c>
      <c r="E739">
        <v>2136</v>
      </c>
      <c r="F739">
        <v>7467</v>
      </c>
      <c r="G739">
        <v>1645</v>
      </c>
      <c r="H739" s="141">
        <v>0.02</v>
      </c>
      <c r="I739">
        <f t="shared" si="96"/>
        <v>619</v>
      </c>
      <c r="J739" s="137">
        <v>0.01</v>
      </c>
      <c r="K739">
        <f t="shared" si="97"/>
        <v>708</v>
      </c>
      <c r="L739" s="53">
        <f t="shared" si="98"/>
        <v>737</v>
      </c>
      <c r="M739" s="189">
        <v>1.9</v>
      </c>
      <c r="N739" s="186">
        <f>VLOOKUP(9934,季財報!A:M,8,0)</f>
        <v>3</v>
      </c>
    </row>
    <row r="740" spans="1:14">
      <c r="A740" s="133">
        <v>9937</v>
      </c>
      <c r="C740">
        <v>64</v>
      </c>
      <c r="D740">
        <v>0</v>
      </c>
      <c r="E740">
        <v>3877</v>
      </c>
      <c r="F740">
        <v>4274</v>
      </c>
      <c r="G740">
        <v>1520</v>
      </c>
      <c r="H740" s="141">
        <v>0.02</v>
      </c>
      <c r="I740">
        <f t="shared" si="96"/>
        <v>619</v>
      </c>
      <c r="J740" s="137">
        <v>0.01</v>
      </c>
      <c r="K740">
        <f t="shared" si="97"/>
        <v>708</v>
      </c>
      <c r="L740" s="53">
        <f t="shared" si="98"/>
        <v>737</v>
      </c>
      <c r="M740" s="189">
        <v>0.79</v>
      </c>
      <c r="N740" s="186">
        <f>VLOOKUP(9937,季財報!A:M,8,0)</f>
        <v>3</v>
      </c>
    </row>
    <row r="741" spans="1:14">
      <c r="A741" s="133">
        <v>6443</v>
      </c>
      <c r="C741">
        <v>87</v>
      </c>
      <c r="D741">
        <v>0</v>
      </c>
      <c r="E741">
        <v>4892</v>
      </c>
      <c r="F741">
        <v>3564</v>
      </c>
      <c r="G741">
        <v>2591</v>
      </c>
      <c r="H741" s="141">
        <v>0.02</v>
      </c>
      <c r="I741">
        <f t="shared" si="96"/>
        <v>619</v>
      </c>
      <c r="J741" s="137">
        <v>0.01</v>
      </c>
      <c r="K741">
        <f t="shared" si="97"/>
        <v>708</v>
      </c>
      <c r="L741" s="53">
        <f t="shared" si="98"/>
        <v>737</v>
      </c>
      <c r="M741" s="189">
        <v>1.9</v>
      </c>
      <c r="N741" s="186">
        <f>VLOOKUP(6443,季財報!A:M,8,0)</f>
        <v>1</v>
      </c>
    </row>
    <row r="742" spans="1:14">
      <c r="A742" s="133">
        <v>6108</v>
      </c>
      <c r="C742">
        <v>97</v>
      </c>
      <c r="D742">
        <v>1058</v>
      </c>
      <c r="E742">
        <v>4312</v>
      </c>
      <c r="F742">
        <v>3430</v>
      </c>
      <c r="G742">
        <v>4464</v>
      </c>
      <c r="H742" s="141">
        <v>0.02</v>
      </c>
      <c r="I742">
        <f t="shared" si="96"/>
        <v>619</v>
      </c>
      <c r="J742" s="137">
        <v>0.01</v>
      </c>
      <c r="K742">
        <f t="shared" si="97"/>
        <v>708</v>
      </c>
      <c r="L742" s="53">
        <f t="shared" si="98"/>
        <v>737</v>
      </c>
      <c r="M742" s="189">
        <v>1.18</v>
      </c>
      <c r="N742" s="186">
        <f>VLOOKUP(6108,季財報!A:M,8,0)</f>
        <v>1</v>
      </c>
    </row>
    <row r="743" spans="1:14">
      <c r="A743" s="133">
        <v>5321</v>
      </c>
      <c r="C743">
        <v>3</v>
      </c>
      <c r="D743">
        <v>43</v>
      </c>
      <c r="E743">
        <v>132</v>
      </c>
      <c r="F743">
        <v>320</v>
      </c>
      <c r="G743">
        <v>112</v>
      </c>
      <c r="H743" s="141">
        <v>0.02</v>
      </c>
      <c r="I743">
        <f t="shared" si="96"/>
        <v>619</v>
      </c>
      <c r="J743" s="137">
        <v>0.01</v>
      </c>
      <c r="K743">
        <f t="shared" si="97"/>
        <v>708</v>
      </c>
      <c r="L743" s="53">
        <f t="shared" si="98"/>
        <v>737</v>
      </c>
      <c r="M743" s="189">
        <v>4.05</v>
      </c>
      <c r="N743" s="186">
        <f>VLOOKUP(5321,季財報!A:M,8,0)</f>
        <v>2</v>
      </c>
    </row>
    <row r="744" spans="1:14">
      <c r="A744" s="133">
        <v>5480</v>
      </c>
      <c r="C744">
        <v>77</v>
      </c>
      <c r="D744">
        <v>1048</v>
      </c>
      <c r="E744">
        <v>3675</v>
      </c>
      <c r="F744">
        <v>4223</v>
      </c>
      <c r="G744">
        <v>1835</v>
      </c>
      <c r="H744" s="141">
        <v>0.02</v>
      </c>
      <c r="I744">
        <f t="shared" si="96"/>
        <v>619</v>
      </c>
      <c r="J744" s="137">
        <v>0.01</v>
      </c>
      <c r="K744">
        <f t="shared" si="97"/>
        <v>708</v>
      </c>
      <c r="L744" s="53">
        <f t="shared" si="98"/>
        <v>737</v>
      </c>
      <c r="M744" s="189">
        <v>0.79</v>
      </c>
      <c r="N744" s="186">
        <f>VLOOKUP(5480,季財報!A:M,8,0)</f>
        <v>3</v>
      </c>
    </row>
    <row r="745" spans="1:14">
      <c r="A745" s="133">
        <v>4173</v>
      </c>
      <c r="C745">
        <v>17</v>
      </c>
      <c r="D745">
        <v>816</v>
      </c>
      <c r="E745">
        <v>38</v>
      </c>
      <c r="F745">
        <v>1063</v>
      </c>
      <c r="G745">
        <v>950</v>
      </c>
      <c r="H745" s="141">
        <v>0.02</v>
      </c>
      <c r="I745">
        <f t="shared" si="96"/>
        <v>619</v>
      </c>
      <c r="J745" s="137">
        <v>0.01</v>
      </c>
      <c r="K745">
        <f t="shared" si="97"/>
        <v>708</v>
      </c>
      <c r="L745" s="53">
        <f t="shared" si="98"/>
        <v>737</v>
      </c>
      <c r="M745" s="189">
        <v>0.79</v>
      </c>
      <c r="N745" s="186">
        <f>VLOOKUP(4173,季財報!A:M,8,0)</f>
        <v>1</v>
      </c>
    </row>
    <row r="746" spans="1:14">
      <c r="A746" s="133">
        <v>4916</v>
      </c>
      <c r="C746">
        <v>15</v>
      </c>
      <c r="D746">
        <v>566</v>
      </c>
      <c r="E746">
        <v>341</v>
      </c>
      <c r="F746">
        <v>1086</v>
      </c>
      <c r="G746">
        <v>224</v>
      </c>
      <c r="H746" s="141">
        <v>0.02</v>
      </c>
      <c r="I746">
        <f t="shared" si="96"/>
        <v>619</v>
      </c>
      <c r="J746" s="137">
        <v>0.01</v>
      </c>
      <c r="K746">
        <f t="shared" si="97"/>
        <v>708</v>
      </c>
      <c r="L746" s="53">
        <f t="shared" si="98"/>
        <v>737</v>
      </c>
      <c r="M746" s="189">
        <v>1.1399999999999999</v>
      </c>
      <c r="N746" s="186">
        <f>VLOOKUP(4916,季財報!A:M,8,0)</f>
        <v>4</v>
      </c>
    </row>
    <row r="747" spans="1:14">
      <c r="A747" s="133">
        <v>5395</v>
      </c>
      <c r="C747">
        <v>42</v>
      </c>
      <c r="D747">
        <v>0</v>
      </c>
      <c r="E747">
        <v>2498</v>
      </c>
      <c r="F747">
        <v>2608</v>
      </c>
      <c r="G747">
        <v>2614</v>
      </c>
      <c r="H747" s="141">
        <v>0.02</v>
      </c>
      <c r="I747">
        <f t="shared" si="96"/>
        <v>619</v>
      </c>
      <c r="J747" s="137">
        <v>0.01</v>
      </c>
      <c r="K747">
        <f t="shared" si="97"/>
        <v>708</v>
      </c>
      <c r="L747" s="53">
        <f t="shared" si="98"/>
        <v>737</v>
      </c>
      <c r="M747" s="189">
        <v>25.32</v>
      </c>
      <c r="N747" s="186">
        <f>VLOOKUP(5395,季財報!A:M,8,0)</f>
        <v>2</v>
      </c>
    </row>
    <row r="748" spans="1:14">
      <c r="A748" s="133">
        <v>1101</v>
      </c>
      <c r="C748">
        <v>2480</v>
      </c>
      <c r="D748">
        <v>16104</v>
      </c>
      <c r="E748">
        <v>116584</v>
      </c>
      <c r="F748">
        <v>157639</v>
      </c>
      <c r="G748">
        <v>50824</v>
      </c>
      <c r="H748" s="141">
        <v>0.02</v>
      </c>
      <c r="I748">
        <f t="shared" si="96"/>
        <v>619</v>
      </c>
      <c r="J748" s="137">
        <v>0.01</v>
      </c>
      <c r="K748">
        <f t="shared" si="97"/>
        <v>708</v>
      </c>
      <c r="L748" s="53">
        <f t="shared" si="98"/>
        <v>737</v>
      </c>
      <c r="M748" s="189">
        <v>1.1399999999999999</v>
      </c>
      <c r="N748" s="186">
        <f>VLOOKUP(1101,季財報!A:M,8,0)</f>
        <v>1</v>
      </c>
    </row>
    <row r="749" spans="1:14">
      <c r="A749" s="133">
        <v>1102</v>
      </c>
      <c r="C749">
        <v>1212</v>
      </c>
      <c r="D749">
        <v>0</v>
      </c>
      <c r="E749">
        <v>68587</v>
      </c>
      <c r="F749">
        <v>160453</v>
      </c>
      <c r="G749">
        <v>59340</v>
      </c>
      <c r="H749" s="141">
        <v>0.02</v>
      </c>
      <c r="I749">
        <f t="shared" si="96"/>
        <v>619</v>
      </c>
      <c r="J749" s="137">
        <v>0.01</v>
      </c>
      <c r="K749">
        <f t="shared" si="97"/>
        <v>708</v>
      </c>
      <c r="L749" s="53">
        <f t="shared" si="98"/>
        <v>737</v>
      </c>
      <c r="M749" s="189">
        <v>0.79</v>
      </c>
      <c r="N749" s="186">
        <f>VLOOKUP(1102,季財報!A:M,8,0)</f>
        <v>1</v>
      </c>
    </row>
    <row r="750" spans="1:14">
      <c r="A750" s="133">
        <v>1218</v>
      </c>
      <c r="C750">
        <v>60</v>
      </c>
      <c r="D750">
        <v>596</v>
      </c>
      <c r="E750">
        <v>2056</v>
      </c>
      <c r="F750">
        <v>3415</v>
      </c>
      <c r="G750">
        <v>1185</v>
      </c>
      <c r="H750" s="141">
        <v>0.02</v>
      </c>
      <c r="I750">
        <f t="shared" si="96"/>
        <v>619</v>
      </c>
      <c r="J750" s="137">
        <v>0.01</v>
      </c>
      <c r="K750">
        <f t="shared" si="97"/>
        <v>708</v>
      </c>
      <c r="L750" s="53">
        <f t="shared" si="98"/>
        <v>737</v>
      </c>
      <c r="M750" s="189">
        <v>2.76</v>
      </c>
      <c r="N750" s="186">
        <f>VLOOKUP(1218,季財報!A:M,8,0)</f>
        <v>3</v>
      </c>
    </row>
    <row r="751" spans="1:14">
      <c r="A751" s="133">
        <v>1234</v>
      </c>
      <c r="C751">
        <v>204</v>
      </c>
      <c r="D751">
        <v>5611</v>
      </c>
      <c r="E751">
        <v>5614</v>
      </c>
      <c r="F751">
        <v>17442</v>
      </c>
      <c r="G751">
        <v>345</v>
      </c>
      <c r="H751" s="141">
        <v>0.02</v>
      </c>
      <c r="I751">
        <f t="shared" si="96"/>
        <v>619</v>
      </c>
      <c r="J751" s="137">
        <v>0.01</v>
      </c>
      <c r="K751">
        <f t="shared" si="97"/>
        <v>708</v>
      </c>
      <c r="L751" s="53">
        <f t="shared" si="98"/>
        <v>737</v>
      </c>
      <c r="M751" s="189">
        <v>0.79</v>
      </c>
      <c r="N751" s="186">
        <f>VLOOKUP(1234,季財報!A:M,8,0)</f>
        <v>5</v>
      </c>
    </row>
    <row r="752" spans="1:14">
      <c r="A752" s="133">
        <v>1301</v>
      </c>
      <c r="C752">
        <v>3099</v>
      </c>
      <c r="D752">
        <v>86226</v>
      </c>
      <c r="E752">
        <v>81587</v>
      </c>
      <c r="F752">
        <v>272307</v>
      </c>
      <c r="G752">
        <v>36513</v>
      </c>
      <c r="H752" s="141">
        <v>0.02</v>
      </c>
      <c r="I752">
        <f t="shared" si="96"/>
        <v>619</v>
      </c>
      <c r="J752" s="137">
        <v>0.01</v>
      </c>
      <c r="K752">
        <f t="shared" si="97"/>
        <v>708</v>
      </c>
      <c r="L752" s="53">
        <f t="shared" si="98"/>
        <v>737</v>
      </c>
      <c r="M752" s="189">
        <v>0.79</v>
      </c>
      <c r="N752" s="186">
        <f>VLOOKUP(1301,季財報!A:M,8,0)</f>
        <v>2</v>
      </c>
    </row>
    <row r="753" spans="1:14">
      <c r="A753" s="133">
        <v>1308</v>
      </c>
      <c r="C753">
        <v>84</v>
      </c>
      <c r="D753">
        <v>1306</v>
      </c>
      <c r="E753">
        <v>3344</v>
      </c>
      <c r="F753">
        <v>8663</v>
      </c>
      <c r="G753">
        <v>350</v>
      </c>
      <c r="H753" s="141">
        <v>0.02</v>
      </c>
      <c r="I753">
        <f t="shared" si="96"/>
        <v>619</v>
      </c>
      <c r="J753" s="137">
        <v>0.01</v>
      </c>
      <c r="K753">
        <f t="shared" si="97"/>
        <v>708</v>
      </c>
      <c r="L753" s="53">
        <f t="shared" si="98"/>
        <v>737</v>
      </c>
      <c r="M753" s="189">
        <v>1.58</v>
      </c>
      <c r="N753" s="186">
        <f>VLOOKUP(1308,季財報!A:M,8,0)</f>
        <v>1</v>
      </c>
    </row>
    <row r="754" spans="1:14">
      <c r="A754" s="133">
        <v>1310</v>
      </c>
      <c r="C754">
        <v>119</v>
      </c>
      <c r="D754">
        <v>907</v>
      </c>
      <c r="E754">
        <v>4626</v>
      </c>
      <c r="F754">
        <v>6325</v>
      </c>
      <c r="G754">
        <v>1716</v>
      </c>
      <c r="H754" s="141">
        <v>0.02</v>
      </c>
      <c r="I754">
        <f t="shared" si="96"/>
        <v>619</v>
      </c>
      <c r="J754" s="137">
        <v>0.01</v>
      </c>
      <c r="K754">
        <f t="shared" si="97"/>
        <v>708</v>
      </c>
      <c r="L754" s="53">
        <f t="shared" si="98"/>
        <v>737</v>
      </c>
      <c r="M754" s="189">
        <v>0.79</v>
      </c>
      <c r="N754" s="186">
        <f>VLOOKUP(1310,季財報!A:M,8,0)</f>
        <v>2</v>
      </c>
    </row>
    <row r="755" spans="1:14">
      <c r="A755" s="133">
        <v>1337</v>
      </c>
      <c r="C755">
        <v>143</v>
      </c>
      <c r="D755">
        <v>2520</v>
      </c>
      <c r="E755">
        <v>6381</v>
      </c>
      <c r="F755">
        <v>10497</v>
      </c>
      <c r="G755">
        <v>741</v>
      </c>
      <c r="H755" s="141">
        <v>0.02</v>
      </c>
      <c r="I755">
        <f t="shared" si="96"/>
        <v>619</v>
      </c>
      <c r="J755" s="137">
        <v>0.01</v>
      </c>
      <c r="K755">
        <f t="shared" si="97"/>
        <v>708</v>
      </c>
      <c r="L755" s="53">
        <f t="shared" si="98"/>
        <v>737</v>
      </c>
      <c r="M755" s="189">
        <v>6.36</v>
      </c>
      <c r="N755" s="186">
        <f>VLOOKUP(1337,季財報!A:M,8,0)</f>
        <v>3</v>
      </c>
    </row>
    <row r="756" spans="1:14">
      <c r="A756" s="133">
        <v>1434</v>
      </c>
      <c r="C756">
        <v>641</v>
      </c>
      <c r="D756">
        <v>10817</v>
      </c>
      <c r="E756">
        <v>17233</v>
      </c>
      <c r="F756">
        <v>55155</v>
      </c>
      <c r="G756">
        <v>5290</v>
      </c>
      <c r="H756" s="141">
        <v>0.02</v>
      </c>
      <c r="I756">
        <f t="shared" si="96"/>
        <v>619</v>
      </c>
      <c r="J756" s="137">
        <v>0.01</v>
      </c>
      <c r="K756">
        <f t="shared" si="97"/>
        <v>708</v>
      </c>
      <c r="L756" s="53">
        <f t="shared" si="98"/>
        <v>737</v>
      </c>
      <c r="M756" s="189">
        <v>0.79</v>
      </c>
      <c r="N756" s="186">
        <f>VLOOKUP(1434,季財報!A:M,8,0)</f>
        <v>2</v>
      </c>
    </row>
    <row r="757" spans="1:14">
      <c r="A757" s="133">
        <v>1460</v>
      </c>
      <c r="C757">
        <v>98</v>
      </c>
      <c r="D757">
        <v>2093</v>
      </c>
      <c r="E757">
        <v>3347</v>
      </c>
      <c r="F757">
        <v>4693</v>
      </c>
      <c r="G757">
        <v>1922</v>
      </c>
      <c r="H757" s="141">
        <v>0.02</v>
      </c>
      <c r="I757">
        <f t="shared" si="96"/>
        <v>619</v>
      </c>
      <c r="J757" s="137">
        <v>0.01</v>
      </c>
      <c r="K757">
        <f t="shared" si="97"/>
        <v>708</v>
      </c>
      <c r="L757" s="53">
        <f t="shared" si="98"/>
        <v>737</v>
      </c>
      <c r="M757" s="189">
        <v>3.37</v>
      </c>
      <c r="N757" s="186">
        <f>VLOOKUP(1460,季財報!A:M,8,0)</f>
        <v>3</v>
      </c>
    </row>
    <row r="758" spans="1:14">
      <c r="A758" s="133">
        <v>1464</v>
      </c>
      <c r="C758">
        <v>74</v>
      </c>
      <c r="D758">
        <v>738</v>
      </c>
      <c r="E758">
        <v>2743</v>
      </c>
      <c r="F758">
        <v>4079</v>
      </c>
      <c r="G758">
        <v>2282</v>
      </c>
      <c r="H758" s="141">
        <v>0.02</v>
      </c>
      <c r="I758">
        <f t="shared" si="96"/>
        <v>619</v>
      </c>
      <c r="J758" s="137">
        <v>0.01</v>
      </c>
      <c r="K758">
        <f t="shared" si="97"/>
        <v>708</v>
      </c>
      <c r="L758" s="53">
        <f t="shared" si="98"/>
        <v>737</v>
      </c>
      <c r="M758" s="189">
        <v>12.98</v>
      </c>
      <c r="N758" s="186">
        <f>VLOOKUP(1464,季財報!A:M,8,0)</f>
        <v>1</v>
      </c>
    </row>
    <row r="759" spans="1:14">
      <c r="A759" s="133">
        <v>1503</v>
      </c>
      <c r="C759">
        <v>191</v>
      </c>
      <c r="D759">
        <v>3549</v>
      </c>
      <c r="E759">
        <v>5885</v>
      </c>
      <c r="F759">
        <v>21695</v>
      </c>
      <c r="G759">
        <v>3220</v>
      </c>
      <c r="H759" s="141">
        <v>0.02</v>
      </c>
      <c r="I759">
        <f t="shared" si="96"/>
        <v>619</v>
      </c>
      <c r="J759" s="137">
        <v>0.01</v>
      </c>
      <c r="K759">
        <f t="shared" si="97"/>
        <v>708</v>
      </c>
      <c r="L759" s="53">
        <f t="shared" si="98"/>
        <v>737</v>
      </c>
      <c r="M759" s="189">
        <v>0.79</v>
      </c>
      <c r="N759" s="186">
        <f>VLOOKUP(1503,季財報!A:M,8,0)</f>
        <v>2</v>
      </c>
    </row>
    <row r="760" spans="1:14">
      <c r="A760" s="133">
        <v>1535</v>
      </c>
      <c r="C760">
        <v>58</v>
      </c>
      <c r="D760">
        <v>2171</v>
      </c>
      <c r="E760">
        <v>173</v>
      </c>
      <c r="F760">
        <v>3434</v>
      </c>
      <c r="G760">
        <v>550</v>
      </c>
      <c r="H760" s="141">
        <v>0.02</v>
      </c>
      <c r="I760">
        <f t="shared" si="96"/>
        <v>619</v>
      </c>
      <c r="J760" s="137">
        <v>0.01</v>
      </c>
      <c r="K760">
        <f t="shared" si="97"/>
        <v>708</v>
      </c>
      <c r="L760" s="53">
        <f t="shared" si="98"/>
        <v>737</v>
      </c>
      <c r="M760" s="189">
        <v>0.79</v>
      </c>
      <c r="N760" s="186">
        <f>VLOOKUP(1535,季財報!A:M,8,0)</f>
        <v>1</v>
      </c>
    </row>
    <row r="761" spans="1:14">
      <c r="A761" s="133">
        <v>1721</v>
      </c>
      <c r="C761">
        <v>15</v>
      </c>
      <c r="D761">
        <v>345</v>
      </c>
      <c r="E761">
        <v>500</v>
      </c>
      <c r="F761">
        <v>803</v>
      </c>
      <c r="G761">
        <v>201</v>
      </c>
      <c r="H761" s="141">
        <v>0.02</v>
      </c>
      <c r="I761">
        <f t="shared" si="96"/>
        <v>619</v>
      </c>
      <c r="J761" s="137">
        <v>0.01</v>
      </c>
      <c r="K761">
        <f t="shared" si="97"/>
        <v>708</v>
      </c>
      <c r="L761" s="53">
        <f t="shared" si="98"/>
        <v>737</v>
      </c>
      <c r="M761" s="189">
        <v>0.79</v>
      </c>
      <c r="N761" s="186">
        <f>VLOOKUP(1721,季財報!A:M,8,0)</f>
        <v>3</v>
      </c>
    </row>
    <row r="762" spans="1:14">
      <c r="A762" s="133">
        <v>1725</v>
      </c>
      <c r="C762">
        <v>42</v>
      </c>
      <c r="D762">
        <v>1735</v>
      </c>
      <c r="E762">
        <v>575</v>
      </c>
      <c r="F762">
        <v>2420</v>
      </c>
      <c r="G762">
        <v>1159</v>
      </c>
      <c r="H762" s="141">
        <v>0.02</v>
      </c>
      <c r="I762">
        <f t="shared" si="96"/>
        <v>619</v>
      </c>
      <c r="J762" s="137">
        <v>0.01</v>
      </c>
      <c r="K762">
        <f t="shared" si="97"/>
        <v>708</v>
      </c>
      <c r="L762" s="53">
        <f t="shared" si="98"/>
        <v>737</v>
      </c>
      <c r="M762" s="189">
        <v>0.79</v>
      </c>
      <c r="N762" s="186">
        <f>VLOOKUP(1725,季財報!A:M,8,0)</f>
        <v>3</v>
      </c>
    </row>
    <row r="763" spans="1:14">
      <c r="A763" s="133">
        <v>1731</v>
      </c>
      <c r="C763">
        <v>22</v>
      </c>
      <c r="D763">
        <v>642</v>
      </c>
      <c r="E763">
        <v>560</v>
      </c>
      <c r="F763">
        <v>1719</v>
      </c>
      <c r="G763">
        <v>0</v>
      </c>
      <c r="H763" s="141">
        <v>0.02</v>
      </c>
      <c r="I763">
        <f t="shared" si="96"/>
        <v>619</v>
      </c>
      <c r="J763" s="137">
        <v>0.01</v>
      </c>
      <c r="K763">
        <f t="shared" si="97"/>
        <v>708</v>
      </c>
      <c r="L763" s="53">
        <f t="shared" si="98"/>
        <v>737</v>
      </c>
      <c r="M763" s="189">
        <v>19.73</v>
      </c>
      <c r="N763" s="186">
        <f>VLOOKUP(1731,季財報!A:M,8,0)</f>
        <v>2</v>
      </c>
    </row>
    <row r="764" spans="1:14">
      <c r="A764" s="133">
        <v>1735</v>
      </c>
      <c r="C764">
        <v>33</v>
      </c>
      <c r="D764">
        <v>668</v>
      </c>
      <c r="E764">
        <v>809</v>
      </c>
      <c r="F764">
        <v>1439</v>
      </c>
      <c r="G764">
        <v>914</v>
      </c>
      <c r="H764" s="141">
        <v>0.02</v>
      </c>
      <c r="I764">
        <f t="shared" si="96"/>
        <v>619</v>
      </c>
      <c r="J764" s="137">
        <v>0.01</v>
      </c>
      <c r="K764">
        <f t="shared" si="97"/>
        <v>708</v>
      </c>
      <c r="L764" s="53">
        <f t="shared" si="98"/>
        <v>737</v>
      </c>
      <c r="M764" s="189">
        <v>0.79</v>
      </c>
      <c r="N764" s="186">
        <f>VLOOKUP(1735,季財報!A:M,8,0)</f>
        <v>2</v>
      </c>
    </row>
    <row r="765" spans="1:14">
      <c r="A765" s="133">
        <v>1736</v>
      </c>
      <c r="C765">
        <v>156</v>
      </c>
      <c r="D765">
        <v>4980</v>
      </c>
      <c r="E765">
        <v>2074</v>
      </c>
      <c r="F765">
        <v>8640</v>
      </c>
      <c r="G765">
        <v>5335</v>
      </c>
      <c r="H765" s="141">
        <v>0.02</v>
      </c>
      <c r="I765">
        <f t="shared" si="96"/>
        <v>619</v>
      </c>
      <c r="J765" s="137">
        <v>0.01</v>
      </c>
      <c r="K765">
        <f t="shared" si="97"/>
        <v>708</v>
      </c>
      <c r="L765" s="53">
        <f t="shared" si="98"/>
        <v>737</v>
      </c>
      <c r="M765" s="189">
        <v>0.79</v>
      </c>
      <c r="N765" s="186">
        <f>VLOOKUP(1736,季財報!A:M,8,0)</f>
        <v>1</v>
      </c>
    </row>
    <row r="766" spans="1:14">
      <c r="A766" s="133">
        <v>1785</v>
      </c>
      <c r="C766">
        <v>199</v>
      </c>
      <c r="D766">
        <v>0</v>
      </c>
      <c r="E766">
        <v>8849</v>
      </c>
      <c r="F766">
        <v>9430</v>
      </c>
      <c r="G766">
        <v>8276</v>
      </c>
      <c r="H766" s="141">
        <v>0.02</v>
      </c>
      <c r="I766">
        <f t="shared" si="96"/>
        <v>619</v>
      </c>
      <c r="J766" s="137">
        <v>0.01</v>
      </c>
      <c r="K766">
        <f t="shared" si="97"/>
        <v>708</v>
      </c>
      <c r="L766" s="53">
        <f t="shared" si="98"/>
        <v>737</v>
      </c>
      <c r="M766" s="189">
        <v>1.29</v>
      </c>
      <c r="N766" s="186">
        <f>VLOOKUP(1785,季財報!A:M,8,0)</f>
        <v>1</v>
      </c>
    </row>
    <row r="767" spans="1:14">
      <c r="A767" s="133">
        <v>1813</v>
      </c>
      <c r="C767">
        <v>13</v>
      </c>
      <c r="D767">
        <v>376</v>
      </c>
      <c r="E767">
        <v>404</v>
      </c>
      <c r="F767">
        <v>1005</v>
      </c>
      <c r="G767">
        <v>0</v>
      </c>
      <c r="H767" s="141">
        <v>0.02</v>
      </c>
      <c r="I767">
        <f t="shared" si="96"/>
        <v>619</v>
      </c>
      <c r="J767" s="137">
        <v>0.01</v>
      </c>
      <c r="K767">
        <f t="shared" si="97"/>
        <v>708</v>
      </c>
      <c r="L767" s="53">
        <f t="shared" si="98"/>
        <v>737</v>
      </c>
      <c r="M767" s="189">
        <v>0.79</v>
      </c>
      <c r="N767" s="186">
        <f>VLOOKUP(1813,季財報!A:M,8,0)</f>
        <v>3</v>
      </c>
    </row>
    <row r="768" spans="1:14">
      <c r="A768" s="133">
        <v>2012</v>
      </c>
      <c r="C768">
        <v>69</v>
      </c>
      <c r="D768">
        <v>1097</v>
      </c>
      <c r="E768">
        <v>3431</v>
      </c>
      <c r="F768">
        <v>4071</v>
      </c>
      <c r="G768">
        <v>4126</v>
      </c>
      <c r="H768" s="141">
        <v>0.02</v>
      </c>
      <c r="I768">
        <f t="shared" si="96"/>
        <v>619</v>
      </c>
      <c r="J768" s="137">
        <v>0.01</v>
      </c>
      <c r="K768">
        <f t="shared" si="97"/>
        <v>708</v>
      </c>
      <c r="L768" s="53">
        <f t="shared" si="98"/>
        <v>737</v>
      </c>
      <c r="M768" s="189">
        <v>0.79</v>
      </c>
      <c r="N768" s="186">
        <f>VLOOKUP(2012,季財報!A:M,8,0)</f>
        <v>3</v>
      </c>
    </row>
    <row r="769" spans="1:14">
      <c r="A769" s="133">
        <v>2204</v>
      </c>
      <c r="C769">
        <v>381</v>
      </c>
      <c r="D769">
        <v>14535</v>
      </c>
      <c r="E769">
        <v>6600</v>
      </c>
      <c r="F769">
        <v>52475</v>
      </c>
      <c r="G769">
        <v>817</v>
      </c>
      <c r="H769" s="141">
        <v>0.02</v>
      </c>
      <c r="I769">
        <f t="shared" si="96"/>
        <v>619</v>
      </c>
      <c r="J769" s="137">
        <v>0.01</v>
      </c>
      <c r="K769">
        <f t="shared" si="97"/>
        <v>708</v>
      </c>
      <c r="L769" s="53">
        <f t="shared" si="98"/>
        <v>737</v>
      </c>
      <c r="M769" s="189">
        <v>0.79</v>
      </c>
      <c r="N769" s="186">
        <f>VLOOKUP(2204,季財報!A:M,8,0)</f>
        <v>3</v>
      </c>
    </row>
    <row r="770" spans="1:14">
      <c r="A770" s="133">
        <v>2302</v>
      </c>
      <c r="C770">
        <v>12</v>
      </c>
      <c r="D770">
        <v>315</v>
      </c>
      <c r="E770">
        <v>476</v>
      </c>
      <c r="F770">
        <v>1727</v>
      </c>
      <c r="G770">
        <v>111</v>
      </c>
      <c r="H770" s="141">
        <v>0.02</v>
      </c>
      <c r="I770">
        <f t="shared" ref="I770:I801" si="99">RANK(0.02,H:H,0)</f>
        <v>619</v>
      </c>
      <c r="J770" s="137">
        <v>0.01</v>
      </c>
      <c r="K770">
        <f t="shared" si="97"/>
        <v>708</v>
      </c>
      <c r="L770" s="53">
        <f t="shared" ref="L770:L801" si="100">RANK(1.14,M:M,0)</f>
        <v>737</v>
      </c>
      <c r="M770" s="189">
        <v>0.79</v>
      </c>
      <c r="N770" s="186">
        <f>VLOOKUP(2302,季財報!A:M,8,0)</f>
        <v>2</v>
      </c>
    </row>
    <row r="771" spans="1:14">
      <c r="A771" s="133">
        <v>2409</v>
      </c>
      <c r="C771">
        <v>3867</v>
      </c>
      <c r="D771">
        <v>23750</v>
      </c>
      <c r="E771">
        <v>216670</v>
      </c>
      <c r="F771">
        <v>214107</v>
      </c>
      <c r="G771">
        <v>51093</v>
      </c>
      <c r="H771" s="141">
        <v>0.02</v>
      </c>
      <c r="I771">
        <f t="shared" si="99"/>
        <v>619</v>
      </c>
      <c r="J771" s="137">
        <v>0.01</v>
      </c>
      <c r="K771">
        <f t="shared" si="97"/>
        <v>708</v>
      </c>
      <c r="L771" s="53">
        <f t="shared" si="100"/>
        <v>737</v>
      </c>
      <c r="M771" s="189">
        <v>0.79</v>
      </c>
      <c r="N771" s="186">
        <f>VLOOKUP(2409,季財報!A:M,8,0)</f>
        <v>1</v>
      </c>
    </row>
    <row r="772" spans="1:14">
      <c r="A772" s="133">
        <v>2462</v>
      </c>
      <c r="C772">
        <v>30</v>
      </c>
      <c r="D772">
        <v>1271</v>
      </c>
      <c r="E772">
        <v>365</v>
      </c>
      <c r="F772">
        <v>2148</v>
      </c>
      <c r="G772">
        <v>658</v>
      </c>
      <c r="H772" s="141">
        <v>0.02</v>
      </c>
      <c r="I772">
        <f t="shared" si="99"/>
        <v>619</v>
      </c>
      <c r="J772" s="137">
        <v>0.01</v>
      </c>
      <c r="K772">
        <f t="shared" si="97"/>
        <v>708</v>
      </c>
      <c r="L772" s="53">
        <f t="shared" si="100"/>
        <v>737</v>
      </c>
      <c r="M772" s="189">
        <v>0.79</v>
      </c>
      <c r="N772" s="186">
        <f>VLOOKUP(2462,季財報!A:M,8,0)</f>
        <v>2</v>
      </c>
    </row>
    <row r="773" spans="1:14">
      <c r="A773" s="133">
        <v>2542</v>
      </c>
      <c r="C773">
        <v>646</v>
      </c>
      <c r="D773">
        <v>29905</v>
      </c>
      <c r="E773">
        <v>927</v>
      </c>
      <c r="F773">
        <v>33540</v>
      </c>
      <c r="G773">
        <v>53491</v>
      </c>
      <c r="H773" s="141">
        <v>0.02</v>
      </c>
      <c r="I773">
        <f t="shared" si="99"/>
        <v>619</v>
      </c>
      <c r="J773" s="137">
        <v>0.01</v>
      </c>
      <c r="K773">
        <f t="shared" si="97"/>
        <v>708</v>
      </c>
      <c r="L773" s="53">
        <f t="shared" si="100"/>
        <v>737</v>
      </c>
      <c r="M773" s="189">
        <v>0.79</v>
      </c>
      <c r="N773" s="186">
        <f>VLOOKUP(2542,季財報!A:M,8,0)</f>
        <v>1</v>
      </c>
    </row>
    <row r="774" spans="1:14">
      <c r="A774" s="133">
        <v>2548</v>
      </c>
      <c r="C774">
        <v>343</v>
      </c>
      <c r="D774">
        <v>14822</v>
      </c>
      <c r="E774">
        <v>23</v>
      </c>
      <c r="F774">
        <v>14096</v>
      </c>
      <c r="G774">
        <v>14295</v>
      </c>
      <c r="H774" s="141">
        <v>0.02</v>
      </c>
      <c r="I774">
        <f t="shared" si="99"/>
        <v>619</v>
      </c>
      <c r="J774" s="137">
        <v>0.01</v>
      </c>
      <c r="K774">
        <f t="shared" si="97"/>
        <v>708</v>
      </c>
      <c r="L774" s="53">
        <f t="shared" si="100"/>
        <v>737</v>
      </c>
      <c r="M774" s="189">
        <v>0.79</v>
      </c>
      <c r="N774" s="186">
        <f>VLOOKUP(2548,季財報!A:M,8,0)</f>
        <v>1</v>
      </c>
    </row>
    <row r="775" spans="1:14">
      <c r="A775" s="133">
        <v>2910</v>
      </c>
      <c r="C775">
        <v>27</v>
      </c>
      <c r="D775">
        <v>0</v>
      </c>
      <c r="E775">
        <v>1392</v>
      </c>
      <c r="F775">
        <v>2188</v>
      </c>
      <c r="G775">
        <v>1731</v>
      </c>
      <c r="H775" s="141">
        <v>0.02</v>
      </c>
      <c r="I775">
        <f t="shared" si="99"/>
        <v>619</v>
      </c>
      <c r="J775" s="137">
        <v>0.01</v>
      </c>
      <c r="K775">
        <f t="shared" si="97"/>
        <v>708</v>
      </c>
      <c r="L775" s="53">
        <f t="shared" si="100"/>
        <v>737</v>
      </c>
      <c r="M775" s="189">
        <v>4.6500000000000004</v>
      </c>
      <c r="N775" s="186">
        <f>VLOOKUP(2910,季財報!A:M,8,0)</f>
        <v>1</v>
      </c>
    </row>
    <row r="776" spans="1:14">
      <c r="A776" s="133">
        <v>3052</v>
      </c>
      <c r="C776">
        <v>46</v>
      </c>
      <c r="D776">
        <v>2080</v>
      </c>
      <c r="E776">
        <v>201</v>
      </c>
      <c r="F776">
        <v>3035</v>
      </c>
      <c r="G776">
        <v>3516</v>
      </c>
      <c r="H776" s="141">
        <v>0.02</v>
      </c>
      <c r="I776">
        <f t="shared" si="99"/>
        <v>619</v>
      </c>
      <c r="J776" s="137">
        <v>0.01</v>
      </c>
      <c r="K776">
        <f t="shared" si="97"/>
        <v>708</v>
      </c>
      <c r="L776" s="53">
        <f t="shared" si="100"/>
        <v>737</v>
      </c>
      <c r="M776" s="189">
        <v>0.79</v>
      </c>
      <c r="N776" s="186">
        <f>VLOOKUP(3052,季財報!A:M,8,0)</f>
        <v>2</v>
      </c>
    </row>
    <row r="777" spans="1:14">
      <c r="A777" s="133">
        <v>3231</v>
      </c>
      <c r="C777">
        <v>1319</v>
      </c>
      <c r="D777">
        <v>30599</v>
      </c>
      <c r="E777">
        <v>38752</v>
      </c>
      <c r="F777">
        <v>68951</v>
      </c>
      <c r="G777">
        <v>62265</v>
      </c>
      <c r="H777" s="141">
        <v>0.02</v>
      </c>
      <c r="I777">
        <f t="shared" si="99"/>
        <v>619</v>
      </c>
      <c r="J777" s="137">
        <v>0.01</v>
      </c>
      <c r="K777">
        <f t="shared" si="97"/>
        <v>708</v>
      </c>
      <c r="L777" s="53">
        <f t="shared" si="100"/>
        <v>737</v>
      </c>
      <c r="M777" s="189">
        <v>0.79</v>
      </c>
      <c r="N777" s="186">
        <f>VLOOKUP(3231,季財報!A:M,8,0)</f>
        <v>3</v>
      </c>
    </row>
    <row r="778" spans="1:14">
      <c r="A778" s="133">
        <v>3315</v>
      </c>
      <c r="C778">
        <v>28</v>
      </c>
      <c r="D778">
        <v>1494</v>
      </c>
      <c r="E778">
        <v>15</v>
      </c>
      <c r="F778">
        <v>1610</v>
      </c>
      <c r="G778">
        <v>2199</v>
      </c>
      <c r="H778" s="141">
        <v>0.02</v>
      </c>
      <c r="I778">
        <f t="shared" si="99"/>
        <v>619</v>
      </c>
      <c r="J778" s="137">
        <v>0.01</v>
      </c>
      <c r="K778">
        <f t="shared" si="97"/>
        <v>708</v>
      </c>
      <c r="L778" s="53">
        <f t="shared" si="100"/>
        <v>737</v>
      </c>
      <c r="M778" s="189">
        <v>1.84</v>
      </c>
      <c r="N778" s="186">
        <f>VLOOKUP(3315,季財報!A:M,8,0)</f>
        <v>3</v>
      </c>
    </row>
    <row r="779" spans="1:14">
      <c r="A779" s="133">
        <v>4104</v>
      </c>
      <c r="C779">
        <v>81</v>
      </c>
      <c r="D779">
        <v>4169</v>
      </c>
      <c r="E779">
        <v>358</v>
      </c>
      <c r="F779">
        <v>7972</v>
      </c>
      <c r="G779">
        <v>966</v>
      </c>
      <c r="H779" s="141">
        <v>0.02</v>
      </c>
      <c r="I779">
        <f t="shared" si="99"/>
        <v>619</v>
      </c>
      <c r="J779" s="137">
        <v>0.01</v>
      </c>
      <c r="K779">
        <f t="shared" si="97"/>
        <v>708</v>
      </c>
      <c r="L779" s="53">
        <f t="shared" si="100"/>
        <v>737</v>
      </c>
      <c r="M779" s="189">
        <v>0.79</v>
      </c>
      <c r="N779" s="186">
        <f>VLOOKUP(4104,季財報!A:M,8,0)</f>
        <v>3</v>
      </c>
    </row>
    <row r="780" spans="1:14">
      <c r="A780" s="133">
        <v>4127</v>
      </c>
      <c r="C780">
        <v>13</v>
      </c>
      <c r="D780">
        <v>72</v>
      </c>
      <c r="E780">
        <v>759</v>
      </c>
      <c r="F780">
        <v>835</v>
      </c>
      <c r="G780">
        <v>191</v>
      </c>
      <c r="H780" s="141">
        <v>0.02</v>
      </c>
      <c r="I780">
        <f t="shared" si="99"/>
        <v>619</v>
      </c>
      <c r="J780" s="137">
        <v>0.01</v>
      </c>
      <c r="K780">
        <f t="shared" si="97"/>
        <v>708</v>
      </c>
      <c r="L780" s="53">
        <f t="shared" si="100"/>
        <v>737</v>
      </c>
      <c r="M780" s="189">
        <v>1.18</v>
      </c>
      <c r="N780" s="186">
        <f>VLOOKUP(4127,季財報!A:M,8,0)</f>
        <v>0</v>
      </c>
    </row>
    <row r="781" spans="1:14">
      <c r="A781" s="133">
        <v>9908</v>
      </c>
      <c r="C781">
        <v>131</v>
      </c>
      <c r="D781">
        <v>2947</v>
      </c>
      <c r="E781">
        <v>3963</v>
      </c>
      <c r="F781">
        <v>10597</v>
      </c>
      <c r="G781">
        <v>0</v>
      </c>
      <c r="H781" s="141">
        <v>0.02</v>
      </c>
      <c r="I781">
        <f t="shared" si="99"/>
        <v>619</v>
      </c>
      <c r="J781" s="137">
        <v>0.01</v>
      </c>
      <c r="K781">
        <f t="shared" si="97"/>
        <v>708</v>
      </c>
      <c r="L781" s="53">
        <f t="shared" si="100"/>
        <v>737</v>
      </c>
      <c r="M781" s="189">
        <v>1.36</v>
      </c>
      <c r="N781" s="186">
        <f>VLOOKUP(9908,季財報!A:M,8,0)</f>
        <v>4</v>
      </c>
    </row>
    <row r="782" spans="1:14">
      <c r="A782" s="133">
        <v>8432</v>
      </c>
      <c r="C782">
        <v>15</v>
      </c>
      <c r="D782">
        <v>777</v>
      </c>
      <c r="E782">
        <v>24</v>
      </c>
      <c r="F782">
        <v>1131</v>
      </c>
      <c r="G782">
        <v>0</v>
      </c>
      <c r="H782" s="141">
        <v>0.02</v>
      </c>
      <c r="I782">
        <f t="shared" si="99"/>
        <v>619</v>
      </c>
      <c r="J782" s="137">
        <v>0.01</v>
      </c>
      <c r="K782">
        <f t="shared" si="97"/>
        <v>708</v>
      </c>
      <c r="L782" s="53">
        <f t="shared" si="100"/>
        <v>737</v>
      </c>
      <c r="M782" s="189">
        <v>1.01</v>
      </c>
      <c r="N782" s="186">
        <f>VLOOKUP(8432,季財報!A:M,8,0)</f>
        <v>1</v>
      </c>
    </row>
    <row r="783" spans="1:14">
      <c r="A783" s="133">
        <v>8921</v>
      </c>
      <c r="C783">
        <v>10</v>
      </c>
      <c r="D783">
        <v>257</v>
      </c>
      <c r="E783">
        <v>367</v>
      </c>
      <c r="F783">
        <v>817</v>
      </c>
      <c r="G783">
        <v>0</v>
      </c>
      <c r="H783" s="141">
        <v>0.02</v>
      </c>
      <c r="I783">
        <f t="shared" si="99"/>
        <v>619</v>
      </c>
      <c r="J783" s="137">
        <v>0.01</v>
      </c>
      <c r="K783">
        <f t="shared" si="97"/>
        <v>708</v>
      </c>
      <c r="L783" s="53">
        <f t="shared" si="100"/>
        <v>737</v>
      </c>
      <c r="M783" s="189">
        <v>3.37</v>
      </c>
      <c r="N783" s="186">
        <f>VLOOKUP(8921,季財報!A:M,8,0)</f>
        <v>3</v>
      </c>
    </row>
    <row r="784" spans="1:14">
      <c r="A784" s="133">
        <v>6155</v>
      </c>
      <c r="C784">
        <v>18</v>
      </c>
      <c r="D784">
        <v>743</v>
      </c>
      <c r="E784">
        <v>401</v>
      </c>
      <c r="F784">
        <v>1410</v>
      </c>
      <c r="G784">
        <v>546</v>
      </c>
      <c r="H784" s="141">
        <v>0.02</v>
      </c>
      <c r="I784">
        <f t="shared" si="99"/>
        <v>619</v>
      </c>
      <c r="J784" s="137">
        <v>0.01</v>
      </c>
      <c r="K784">
        <f t="shared" si="97"/>
        <v>708</v>
      </c>
      <c r="L784" s="53">
        <f t="shared" si="100"/>
        <v>737</v>
      </c>
      <c r="M784" s="189">
        <v>0.79</v>
      </c>
      <c r="N784" s="186">
        <f>VLOOKUP(6155,季財報!A:M,8,0)</f>
        <v>4</v>
      </c>
    </row>
    <row r="785" spans="1:14">
      <c r="A785" s="133">
        <v>6190</v>
      </c>
      <c r="C785">
        <v>25</v>
      </c>
      <c r="D785">
        <v>521</v>
      </c>
      <c r="E785">
        <v>771</v>
      </c>
      <c r="F785">
        <v>1611</v>
      </c>
      <c r="G785">
        <v>1379</v>
      </c>
      <c r="H785" s="141">
        <v>0.02</v>
      </c>
      <c r="I785">
        <f t="shared" si="99"/>
        <v>619</v>
      </c>
      <c r="J785" s="137">
        <v>0.01</v>
      </c>
      <c r="K785">
        <f t="shared" si="97"/>
        <v>708</v>
      </c>
      <c r="L785" s="53">
        <f t="shared" si="100"/>
        <v>737</v>
      </c>
      <c r="M785" s="189">
        <v>0.79</v>
      </c>
      <c r="N785" s="186">
        <f>VLOOKUP(6190,季財報!A:M,8,0)</f>
        <v>2</v>
      </c>
    </row>
    <row r="786" spans="1:14">
      <c r="A786" s="133">
        <v>6208</v>
      </c>
      <c r="C786">
        <v>22</v>
      </c>
      <c r="D786">
        <v>767</v>
      </c>
      <c r="E786">
        <v>647</v>
      </c>
      <c r="F786">
        <v>1738</v>
      </c>
      <c r="G786">
        <v>161</v>
      </c>
      <c r="H786" s="141">
        <v>0.02</v>
      </c>
      <c r="I786">
        <f t="shared" si="99"/>
        <v>619</v>
      </c>
      <c r="J786" s="137">
        <v>0.01</v>
      </c>
      <c r="K786">
        <f t="shared" si="97"/>
        <v>708</v>
      </c>
      <c r="L786" s="53">
        <f t="shared" si="100"/>
        <v>737</v>
      </c>
      <c r="M786" s="189">
        <v>1.36</v>
      </c>
      <c r="N786" s="186">
        <f>VLOOKUP(6208,季財報!A:M,8,0)</f>
        <v>3</v>
      </c>
    </row>
    <row r="787" spans="1:14">
      <c r="A787" s="133">
        <v>6229</v>
      </c>
      <c r="C787">
        <v>7</v>
      </c>
      <c r="D787">
        <v>363</v>
      </c>
      <c r="E787">
        <v>35</v>
      </c>
      <c r="F787">
        <v>467</v>
      </c>
      <c r="G787">
        <v>0</v>
      </c>
      <c r="H787" s="141">
        <v>0.02</v>
      </c>
      <c r="I787">
        <f t="shared" si="99"/>
        <v>619</v>
      </c>
      <c r="J787" s="137">
        <v>0.01</v>
      </c>
      <c r="K787">
        <f t="shared" si="97"/>
        <v>708</v>
      </c>
      <c r="L787" s="53">
        <f t="shared" si="100"/>
        <v>737</v>
      </c>
      <c r="M787" s="189">
        <v>0.79</v>
      </c>
      <c r="N787" s="186">
        <f>VLOOKUP(6229,季財報!A:M,8,0)</f>
        <v>5</v>
      </c>
    </row>
    <row r="788" spans="1:14">
      <c r="A788" s="133">
        <v>5305</v>
      </c>
      <c r="C788">
        <v>134</v>
      </c>
      <c r="D788">
        <v>2536</v>
      </c>
      <c r="E788">
        <v>4108</v>
      </c>
      <c r="F788">
        <v>10224</v>
      </c>
      <c r="G788">
        <v>3298</v>
      </c>
      <c r="H788" s="141">
        <v>0.02</v>
      </c>
      <c r="I788">
        <f t="shared" si="99"/>
        <v>619</v>
      </c>
      <c r="J788" s="137">
        <v>0.01</v>
      </c>
      <c r="K788">
        <f t="shared" si="97"/>
        <v>708</v>
      </c>
      <c r="L788" s="53">
        <f t="shared" si="100"/>
        <v>737</v>
      </c>
      <c r="M788" s="189">
        <v>0.79</v>
      </c>
      <c r="N788" s="186">
        <f>VLOOKUP(5305,季財報!A:M,8,0)</f>
        <v>1</v>
      </c>
    </row>
    <row r="789" spans="1:14">
      <c r="A789" s="133">
        <v>5452</v>
      </c>
      <c r="C789">
        <v>36</v>
      </c>
      <c r="D789">
        <v>1666</v>
      </c>
      <c r="E789">
        <v>455</v>
      </c>
      <c r="F789">
        <v>2206</v>
      </c>
      <c r="G789">
        <v>1241</v>
      </c>
      <c r="H789" s="141">
        <v>0.02</v>
      </c>
      <c r="I789">
        <f t="shared" si="99"/>
        <v>619</v>
      </c>
      <c r="J789" s="137">
        <v>0.01</v>
      </c>
      <c r="K789">
        <f t="shared" si="97"/>
        <v>708</v>
      </c>
      <c r="L789" s="53">
        <f t="shared" si="100"/>
        <v>737</v>
      </c>
      <c r="M789" s="189">
        <v>3.27</v>
      </c>
      <c r="N789" s="186">
        <f>VLOOKUP(5452,季財報!A:M,8,0)</f>
        <v>1</v>
      </c>
    </row>
    <row r="790" spans="1:14">
      <c r="A790" s="133">
        <v>5601</v>
      </c>
      <c r="C790">
        <v>7</v>
      </c>
      <c r="D790">
        <v>74</v>
      </c>
      <c r="E790">
        <v>232</v>
      </c>
      <c r="F790">
        <v>1377</v>
      </c>
      <c r="G790">
        <v>0</v>
      </c>
      <c r="H790" s="141">
        <v>0.02</v>
      </c>
      <c r="I790">
        <f t="shared" si="99"/>
        <v>619</v>
      </c>
      <c r="J790" s="137">
        <v>0.01</v>
      </c>
      <c r="K790">
        <f t="shared" si="97"/>
        <v>708</v>
      </c>
      <c r="L790" s="53">
        <f t="shared" si="100"/>
        <v>737</v>
      </c>
      <c r="M790" s="189">
        <v>1.18</v>
      </c>
      <c r="N790" s="186">
        <f>VLOOKUP(5601,季財報!A:M,8,0)</f>
        <v>4</v>
      </c>
    </row>
    <row r="791" spans="1:14">
      <c r="A791" s="133">
        <v>4420</v>
      </c>
      <c r="C791">
        <v>7</v>
      </c>
      <c r="D791">
        <v>0</v>
      </c>
      <c r="E791">
        <v>323</v>
      </c>
      <c r="F791">
        <v>536</v>
      </c>
      <c r="G791">
        <v>130</v>
      </c>
      <c r="H791" s="141">
        <v>0.02</v>
      </c>
      <c r="I791">
        <f t="shared" si="99"/>
        <v>619</v>
      </c>
      <c r="J791" s="137">
        <v>0.01</v>
      </c>
      <c r="K791">
        <f t="shared" si="97"/>
        <v>708</v>
      </c>
      <c r="L791" s="53">
        <f t="shared" si="100"/>
        <v>737</v>
      </c>
      <c r="M791" s="189">
        <v>0.79</v>
      </c>
      <c r="N791" s="186">
        <f>VLOOKUP(4420,季財報!A:M,8,0)</f>
        <v>1</v>
      </c>
    </row>
    <row r="792" spans="1:14">
      <c r="A792" s="133">
        <v>4550</v>
      </c>
      <c r="C792">
        <v>9</v>
      </c>
      <c r="D792">
        <v>360</v>
      </c>
      <c r="E792">
        <v>117</v>
      </c>
      <c r="F792">
        <v>652</v>
      </c>
      <c r="G792">
        <v>0</v>
      </c>
      <c r="H792" s="141">
        <v>0.02</v>
      </c>
      <c r="I792">
        <f t="shared" si="99"/>
        <v>619</v>
      </c>
      <c r="J792" s="137">
        <v>0.01</v>
      </c>
      <c r="K792">
        <f t="shared" si="97"/>
        <v>708</v>
      </c>
      <c r="L792" s="53">
        <f t="shared" si="100"/>
        <v>737</v>
      </c>
      <c r="M792" s="189">
        <v>0.79</v>
      </c>
      <c r="N792" s="186">
        <f>VLOOKUP(4550,季財報!A:M,8,0)</f>
        <v>1</v>
      </c>
    </row>
    <row r="793" spans="1:14">
      <c r="A793" s="133">
        <v>4711</v>
      </c>
      <c r="C793">
        <v>17</v>
      </c>
      <c r="D793">
        <v>702</v>
      </c>
      <c r="E793">
        <v>414</v>
      </c>
      <c r="F793">
        <v>1083</v>
      </c>
      <c r="G793">
        <v>193</v>
      </c>
      <c r="H793" s="141">
        <v>0.02</v>
      </c>
      <c r="I793">
        <f t="shared" si="99"/>
        <v>619</v>
      </c>
      <c r="J793" s="137">
        <v>0.01</v>
      </c>
      <c r="K793">
        <f t="shared" si="97"/>
        <v>708</v>
      </c>
      <c r="L793" s="53">
        <f t="shared" si="100"/>
        <v>737</v>
      </c>
      <c r="M793" s="189">
        <v>6.28</v>
      </c>
      <c r="N793" s="186">
        <f>VLOOKUP(4711,季財報!A:M,8,0)</f>
        <v>3</v>
      </c>
    </row>
    <row r="794" spans="1:14">
      <c r="A794" s="133">
        <v>4934</v>
      </c>
      <c r="C794">
        <v>84</v>
      </c>
      <c r="D794">
        <v>831</v>
      </c>
      <c r="E794">
        <v>2989</v>
      </c>
      <c r="F794">
        <v>5160</v>
      </c>
      <c r="G794">
        <v>817</v>
      </c>
      <c r="H794" s="141">
        <v>0.02</v>
      </c>
      <c r="I794">
        <f t="shared" si="99"/>
        <v>619</v>
      </c>
      <c r="J794" s="137">
        <v>0.01</v>
      </c>
      <c r="K794">
        <f t="shared" si="97"/>
        <v>708</v>
      </c>
      <c r="L794" s="53">
        <f t="shared" si="100"/>
        <v>737</v>
      </c>
      <c r="M794" s="189">
        <v>0.79</v>
      </c>
      <c r="N794" s="186">
        <f>VLOOKUP(4934,季財報!A:M,8,0)</f>
        <v>4</v>
      </c>
    </row>
    <row r="795" spans="1:14">
      <c r="A795" s="133">
        <v>6175</v>
      </c>
      <c r="C795">
        <v>39</v>
      </c>
      <c r="D795">
        <v>572</v>
      </c>
      <c r="E795">
        <v>1506</v>
      </c>
      <c r="F795">
        <v>2264</v>
      </c>
      <c r="G795">
        <v>944</v>
      </c>
      <c r="H795" s="141">
        <v>0.02</v>
      </c>
      <c r="I795">
        <f t="shared" si="99"/>
        <v>619</v>
      </c>
      <c r="J795" s="137">
        <v>0.01</v>
      </c>
      <c r="K795">
        <f t="shared" si="97"/>
        <v>708</v>
      </c>
      <c r="L795" s="53">
        <f t="shared" si="100"/>
        <v>737</v>
      </c>
      <c r="M795" s="189">
        <v>2.76</v>
      </c>
      <c r="N795" s="186">
        <f>VLOOKUP(6175,季財報!A:M,8,0)</f>
        <v>1</v>
      </c>
    </row>
    <row r="796" spans="1:14">
      <c r="A796" s="133">
        <v>1467</v>
      </c>
      <c r="C796">
        <v>60</v>
      </c>
      <c r="D796">
        <v>1546</v>
      </c>
      <c r="E796">
        <v>2157</v>
      </c>
      <c r="F796">
        <v>2914</v>
      </c>
      <c r="G796">
        <v>1407</v>
      </c>
      <c r="H796" s="141">
        <v>0.02</v>
      </c>
      <c r="I796">
        <f t="shared" si="99"/>
        <v>619</v>
      </c>
      <c r="J796" s="137">
        <v>0.01</v>
      </c>
      <c r="K796">
        <f t="shared" si="97"/>
        <v>708</v>
      </c>
      <c r="L796" s="53">
        <f t="shared" si="100"/>
        <v>737</v>
      </c>
      <c r="M796" s="189">
        <v>14.75</v>
      </c>
      <c r="N796" s="186">
        <f>VLOOKUP(1467,季財報!A:M,8,0)</f>
        <v>1</v>
      </c>
    </row>
    <row r="797" spans="1:14">
      <c r="A797" s="133">
        <v>1474</v>
      </c>
      <c r="C797">
        <v>32</v>
      </c>
      <c r="D797">
        <v>484</v>
      </c>
      <c r="E797">
        <v>1050</v>
      </c>
      <c r="F797">
        <v>1835</v>
      </c>
      <c r="G797">
        <v>894</v>
      </c>
      <c r="H797" s="141">
        <v>0.02</v>
      </c>
      <c r="I797">
        <f t="shared" si="99"/>
        <v>619</v>
      </c>
      <c r="J797" s="137">
        <v>0.01</v>
      </c>
      <c r="K797">
        <f t="shared" si="97"/>
        <v>708</v>
      </c>
      <c r="L797" s="53">
        <f t="shared" si="100"/>
        <v>737</v>
      </c>
      <c r="M797" s="189">
        <v>1.9</v>
      </c>
      <c r="N797" s="186">
        <f>VLOOKUP(1474,季財報!A:M,8,0)</f>
        <v>3</v>
      </c>
    </row>
    <row r="798" spans="1:14">
      <c r="A798" s="133">
        <v>1615</v>
      </c>
      <c r="C798">
        <v>21</v>
      </c>
      <c r="D798">
        <v>253</v>
      </c>
      <c r="E798">
        <v>868</v>
      </c>
      <c r="F798">
        <v>1464</v>
      </c>
      <c r="G798">
        <v>498</v>
      </c>
      <c r="H798" s="141">
        <v>0.02</v>
      </c>
      <c r="I798">
        <f t="shared" si="99"/>
        <v>619</v>
      </c>
      <c r="J798" s="137">
        <v>0.01</v>
      </c>
      <c r="K798">
        <f t="shared" si="97"/>
        <v>708</v>
      </c>
      <c r="L798" s="53">
        <f t="shared" si="100"/>
        <v>737</v>
      </c>
      <c r="M798" s="189">
        <v>1.59</v>
      </c>
      <c r="N798" s="186">
        <f>VLOOKUP(1615,季財報!A:M,8,0)</f>
        <v>2</v>
      </c>
    </row>
    <row r="799" spans="1:14">
      <c r="A799" s="133">
        <v>1722</v>
      </c>
      <c r="C799">
        <v>709</v>
      </c>
      <c r="D799">
        <v>15805</v>
      </c>
      <c r="E799">
        <v>27283</v>
      </c>
      <c r="F799">
        <v>51899</v>
      </c>
      <c r="G799">
        <v>801</v>
      </c>
      <c r="H799" s="141">
        <v>0.02</v>
      </c>
      <c r="I799">
        <f t="shared" si="99"/>
        <v>619</v>
      </c>
      <c r="J799" s="137">
        <v>0.01</v>
      </c>
      <c r="K799">
        <f t="shared" si="97"/>
        <v>708</v>
      </c>
      <c r="L799" s="53">
        <f t="shared" si="100"/>
        <v>737</v>
      </c>
      <c r="M799" s="189">
        <v>1.58</v>
      </c>
      <c r="N799" s="186">
        <f>VLOOKUP(1722,季財報!A:M,8,0)</f>
        <v>3</v>
      </c>
    </row>
    <row r="800" spans="1:14">
      <c r="A800" s="133">
        <v>2423</v>
      </c>
      <c r="C800">
        <v>32</v>
      </c>
      <c r="D800">
        <v>1057</v>
      </c>
      <c r="E800">
        <v>881</v>
      </c>
      <c r="F800">
        <v>2018</v>
      </c>
      <c r="G800">
        <v>204</v>
      </c>
      <c r="H800" s="141">
        <v>0.02</v>
      </c>
      <c r="I800">
        <f t="shared" si="99"/>
        <v>619</v>
      </c>
      <c r="J800" s="137">
        <v>0.01</v>
      </c>
      <c r="K800">
        <f t="shared" si="97"/>
        <v>708</v>
      </c>
      <c r="L800" s="53">
        <f t="shared" si="100"/>
        <v>737</v>
      </c>
      <c r="M800" s="189">
        <v>1.9</v>
      </c>
      <c r="N800" s="186">
        <f>VLOOKUP(2423,季財報!A:M,8,0)</f>
        <v>2</v>
      </c>
    </row>
    <row r="801" spans="1:14">
      <c r="A801" s="133">
        <v>2466</v>
      </c>
      <c r="C801">
        <v>29</v>
      </c>
      <c r="D801">
        <v>831</v>
      </c>
      <c r="E801">
        <v>890</v>
      </c>
      <c r="F801">
        <v>1602</v>
      </c>
      <c r="G801">
        <v>836</v>
      </c>
      <c r="H801" s="141">
        <v>0.02</v>
      </c>
      <c r="I801">
        <f t="shared" si="99"/>
        <v>619</v>
      </c>
      <c r="J801" s="137">
        <v>0.01</v>
      </c>
      <c r="K801">
        <f t="shared" si="97"/>
        <v>708</v>
      </c>
      <c r="L801" s="53">
        <f t="shared" si="100"/>
        <v>737</v>
      </c>
      <c r="M801" s="189">
        <v>0.79</v>
      </c>
      <c r="N801" s="186">
        <f>VLOOKUP(2466,季財報!A:M,8,0)</f>
        <v>3</v>
      </c>
    </row>
    <row r="802" spans="1:14">
      <c r="A802" s="133">
        <v>2482</v>
      </c>
      <c r="C802">
        <v>12</v>
      </c>
      <c r="D802">
        <v>496</v>
      </c>
      <c r="E802">
        <v>302</v>
      </c>
      <c r="F802">
        <v>859</v>
      </c>
      <c r="G802">
        <v>60</v>
      </c>
      <c r="H802" s="141">
        <v>0.02</v>
      </c>
      <c r="I802">
        <f>RANK(0.02,H:H,0)</f>
        <v>619</v>
      </c>
      <c r="J802" s="137">
        <v>0.01</v>
      </c>
      <c r="K802">
        <f t="shared" ref="K802:K865" si="101">RANK(0.01,J:J,0)</f>
        <v>708</v>
      </c>
      <c r="L802" s="53">
        <f>RANK(1.14,M:M,0)</f>
        <v>737</v>
      </c>
      <c r="M802" s="189">
        <v>0.79</v>
      </c>
      <c r="N802" s="186">
        <f>VLOOKUP(2482,季財報!A:M,8,0)</f>
        <v>6</v>
      </c>
    </row>
    <row r="803" spans="1:14">
      <c r="A803" s="133">
        <v>2706</v>
      </c>
      <c r="C803">
        <v>57</v>
      </c>
      <c r="D803">
        <v>2076</v>
      </c>
      <c r="E803">
        <v>386</v>
      </c>
      <c r="F803">
        <v>7670</v>
      </c>
      <c r="G803">
        <v>0</v>
      </c>
      <c r="H803" s="141">
        <v>0.02</v>
      </c>
      <c r="I803">
        <f>RANK(0.02,H:H,0)</f>
        <v>619</v>
      </c>
      <c r="J803" s="137">
        <v>0.01</v>
      </c>
      <c r="K803">
        <f t="shared" si="101"/>
        <v>708</v>
      </c>
      <c r="L803" s="53">
        <f>RANK(1.14,M:M,0)</f>
        <v>737</v>
      </c>
      <c r="M803" s="189">
        <v>0.79</v>
      </c>
      <c r="N803" s="186">
        <f>VLOOKUP(2706,季財報!A:M,8,0)</f>
        <v>4</v>
      </c>
    </row>
    <row r="804" spans="1:14">
      <c r="A804" s="133">
        <v>9944</v>
      </c>
      <c r="C804">
        <v>28</v>
      </c>
      <c r="D804">
        <v>833</v>
      </c>
      <c r="E804">
        <v>2335</v>
      </c>
      <c r="F804">
        <v>3183</v>
      </c>
      <c r="G804">
        <v>1016</v>
      </c>
      <c r="H804" s="141">
        <v>0.01</v>
      </c>
      <c r="I804">
        <f t="shared" ref="I804:I835" si="102">RANK(0.01,H:H,0)</f>
        <v>796</v>
      </c>
      <c r="J804" s="137">
        <v>0.01</v>
      </c>
      <c r="K804">
        <f t="shared" si="101"/>
        <v>708</v>
      </c>
      <c r="L804" s="53">
        <f t="shared" ref="L804:L835" si="103">RANK(1.01,M:M,0)</f>
        <v>803</v>
      </c>
      <c r="M804" s="189">
        <v>0.79</v>
      </c>
      <c r="N804" s="186">
        <f>VLOOKUP(9944,季財報!A:M,8,0)</f>
        <v>2</v>
      </c>
    </row>
    <row r="805" spans="1:14">
      <c r="A805" s="133">
        <v>8937</v>
      </c>
      <c r="C805">
        <v>6</v>
      </c>
      <c r="D805">
        <v>552</v>
      </c>
      <c r="E805">
        <v>165</v>
      </c>
      <c r="F805">
        <v>800</v>
      </c>
      <c r="G805">
        <v>0</v>
      </c>
      <c r="H805" s="141">
        <v>0.01</v>
      </c>
      <c r="I805">
        <f t="shared" si="102"/>
        <v>796</v>
      </c>
      <c r="J805" s="137">
        <v>0.01</v>
      </c>
      <c r="K805">
        <f t="shared" si="101"/>
        <v>708</v>
      </c>
      <c r="L805" s="53">
        <f t="shared" si="103"/>
        <v>803</v>
      </c>
      <c r="M805" s="189">
        <v>0.79</v>
      </c>
      <c r="N805" s="186">
        <f>VLOOKUP(8937,季財報!A:M,8,0)</f>
        <v>5</v>
      </c>
    </row>
    <row r="806" spans="1:14">
      <c r="A806" s="133">
        <v>9802</v>
      </c>
      <c r="C806">
        <v>52</v>
      </c>
      <c r="D806">
        <v>926</v>
      </c>
      <c r="E806">
        <v>4456</v>
      </c>
      <c r="F806">
        <v>5594</v>
      </c>
      <c r="G806">
        <v>1343</v>
      </c>
      <c r="H806" s="141">
        <v>0.01</v>
      </c>
      <c r="I806">
        <f t="shared" si="102"/>
        <v>796</v>
      </c>
      <c r="J806" s="137">
        <v>0.01</v>
      </c>
      <c r="K806">
        <f t="shared" si="101"/>
        <v>708</v>
      </c>
      <c r="L806" s="53">
        <f t="shared" si="103"/>
        <v>803</v>
      </c>
      <c r="M806" s="189">
        <v>6.36</v>
      </c>
      <c r="N806" s="186">
        <f>VLOOKUP(9802,季財報!A:M,8,0)</f>
        <v>2</v>
      </c>
    </row>
    <row r="807" spans="1:14">
      <c r="A807" s="133">
        <v>8463</v>
      </c>
      <c r="C807">
        <v>38</v>
      </c>
      <c r="D807">
        <v>506</v>
      </c>
      <c r="E807">
        <v>2905</v>
      </c>
      <c r="F807">
        <v>2373</v>
      </c>
      <c r="G807">
        <v>360</v>
      </c>
      <c r="H807" s="141">
        <v>0.01</v>
      </c>
      <c r="I807">
        <f t="shared" si="102"/>
        <v>796</v>
      </c>
      <c r="J807" s="137">
        <v>0.01</v>
      </c>
      <c r="K807">
        <f t="shared" si="101"/>
        <v>708</v>
      </c>
      <c r="L807" s="53">
        <f t="shared" si="103"/>
        <v>803</v>
      </c>
      <c r="M807" s="189">
        <v>0.79</v>
      </c>
      <c r="N807" s="186">
        <f>VLOOKUP(8463,季財報!A:M,8,0)</f>
        <v>1</v>
      </c>
    </row>
    <row r="808" spans="1:14">
      <c r="A808" s="133">
        <v>8905</v>
      </c>
      <c r="C808">
        <v>32</v>
      </c>
      <c r="D808">
        <v>1618</v>
      </c>
      <c r="E808">
        <v>1018</v>
      </c>
      <c r="F808">
        <v>2343</v>
      </c>
      <c r="G808">
        <v>1124</v>
      </c>
      <c r="H808" s="141">
        <v>0.01</v>
      </c>
      <c r="I808">
        <f t="shared" si="102"/>
        <v>796</v>
      </c>
      <c r="J808" s="137">
        <v>0.01</v>
      </c>
      <c r="K808">
        <f t="shared" si="101"/>
        <v>708</v>
      </c>
      <c r="L808" s="53">
        <f t="shared" si="103"/>
        <v>803</v>
      </c>
      <c r="M808" s="189">
        <v>0.79</v>
      </c>
      <c r="N808" s="186">
        <f>VLOOKUP(8905,季財報!A:M,8,0)</f>
        <v>1</v>
      </c>
    </row>
    <row r="809" spans="1:14">
      <c r="A809" s="133">
        <v>9931</v>
      </c>
      <c r="C809">
        <v>13</v>
      </c>
      <c r="D809">
        <v>0</v>
      </c>
      <c r="E809">
        <v>2254</v>
      </c>
      <c r="F809">
        <v>1658</v>
      </c>
      <c r="G809">
        <v>130</v>
      </c>
      <c r="H809" s="141">
        <v>0.01</v>
      </c>
      <c r="I809">
        <f t="shared" si="102"/>
        <v>796</v>
      </c>
      <c r="J809" s="137">
        <v>0.01</v>
      </c>
      <c r="K809">
        <f t="shared" si="101"/>
        <v>708</v>
      </c>
      <c r="L809" s="53">
        <f t="shared" si="103"/>
        <v>803</v>
      </c>
      <c r="M809" s="189">
        <v>0.79</v>
      </c>
      <c r="N809" s="186">
        <f>VLOOKUP(9931,季財報!A:M,8,0)</f>
        <v>2</v>
      </c>
    </row>
    <row r="810" spans="1:14">
      <c r="A810" s="133">
        <v>8421</v>
      </c>
      <c r="C810">
        <v>8</v>
      </c>
      <c r="D810">
        <v>23</v>
      </c>
      <c r="E810">
        <v>895</v>
      </c>
      <c r="F810">
        <v>494</v>
      </c>
      <c r="G810">
        <v>506</v>
      </c>
      <c r="H810" s="141">
        <v>0.01</v>
      </c>
      <c r="I810">
        <f t="shared" si="102"/>
        <v>796</v>
      </c>
      <c r="J810" s="137">
        <v>0.01</v>
      </c>
      <c r="K810">
        <f t="shared" si="101"/>
        <v>708</v>
      </c>
      <c r="L810" s="53">
        <f t="shared" si="103"/>
        <v>803</v>
      </c>
      <c r="M810" s="189">
        <v>0.79</v>
      </c>
      <c r="N810" s="186">
        <f>VLOOKUP(8421,季財報!A:M,8,0)</f>
        <v>5</v>
      </c>
    </row>
    <row r="811" spans="1:14">
      <c r="A811" s="133">
        <v>8087</v>
      </c>
      <c r="C811">
        <v>2</v>
      </c>
      <c r="D811">
        <v>130</v>
      </c>
      <c r="E811">
        <v>229</v>
      </c>
      <c r="F811">
        <v>303</v>
      </c>
      <c r="G811">
        <v>22</v>
      </c>
      <c r="H811" s="141">
        <v>0.01</v>
      </c>
      <c r="I811">
        <f t="shared" si="102"/>
        <v>796</v>
      </c>
      <c r="J811" s="137">
        <v>0.01</v>
      </c>
      <c r="K811">
        <f t="shared" si="101"/>
        <v>708</v>
      </c>
      <c r="L811" s="53">
        <f t="shared" si="103"/>
        <v>803</v>
      </c>
      <c r="M811" s="189">
        <v>0.79</v>
      </c>
      <c r="N811" s="186">
        <f>VLOOKUP(8087,季財報!A:M,8,0)</f>
        <v>2</v>
      </c>
    </row>
    <row r="812" spans="1:14">
      <c r="A812" s="133">
        <v>8401</v>
      </c>
      <c r="C812">
        <v>7</v>
      </c>
      <c r="D812">
        <v>308</v>
      </c>
      <c r="E812">
        <v>839</v>
      </c>
      <c r="F812">
        <v>866</v>
      </c>
      <c r="G812">
        <v>160</v>
      </c>
      <c r="H812" s="141">
        <v>0.01</v>
      </c>
      <c r="I812">
        <f t="shared" si="102"/>
        <v>796</v>
      </c>
      <c r="J812" s="137">
        <v>0.01</v>
      </c>
      <c r="K812">
        <f t="shared" si="101"/>
        <v>708</v>
      </c>
      <c r="L812" s="53">
        <f t="shared" si="103"/>
        <v>803</v>
      </c>
      <c r="M812" s="189">
        <v>0.79</v>
      </c>
      <c r="N812" s="186">
        <f>VLOOKUP(8401,季財報!A:M,8,0)</f>
        <v>1</v>
      </c>
    </row>
    <row r="813" spans="1:14">
      <c r="A813" s="133">
        <v>8443</v>
      </c>
      <c r="C813">
        <v>11</v>
      </c>
      <c r="D813">
        <v>1287</v>
      </c>
      <c r="E813">
        <v>312</v>
      </c>
      <c r="F813">
        <v>1660</v>
      </c>
      <c r="G813">
        <v>1</v>
      </c>
      <c r="H813" s="141">
        <v>0.01</v>
      </c>
      <c r="I813">
        <f t="shared" si="102"/>
        <v>796</v>
      </c>
      <c r="J813" s="137">
        <v>0.01</v>
      </c>
      <c r="K813">
        <f t="shared" si="101"/>
        <v>708</v>
      </c>
      <c r="L813" s="53">
        <f t="shared" si="103"/>
        <v>803</v>
      </c>
      <c r="M813" s="189">
        <v>0.79</v>
      </c>
      <c r="N813" s="186">
        <f>VLOOKUP(8443,季財報!A:M,8,0)</f>
        <v>1</v>
      </c>
    </row>
    <row r="814" spans="1:14">
      <c r="A814" s="133">
        <v>6173</v>
      </c>
      <c r="C814">
        <v>34</v>
      </c>
      <c r="D814">
        <v>1459</v>
      </c>
      <c r="E814">
        <v>822</v>
      </c>
      <c r="F814">
        <v>2764</v>
      </c>
      <c r="G814">
        <v>240</v>
      </c>
      <c r="H814" s="141">
        <v>0.01</v>
      </c>
      <c r="I814">
        <f t="shared" si="102"/>
        <v>796</v>
      </c>
      <c r="J814" s="137">
        <v>0.01</v>
      </c>
      <c r="K814">
        <f t="shared" si="101"/>
        <v>708</v>
      </c>
      <c r="L814" s="53">
        <f t="shared" si="103"/>
        <v>803</v>
      </c>
      <c r="M814" s="189">
        <v>0.79</v>
      </c>
      <c r="N814" s="186">
        <f>VLOOKUP(6173,季財報!A:M,8,0)</f>
        <v>1</v>
      </c>
    </row>
    <row r="815" spans="1:14">
      <c r="A815" s="133">
        <v>6244</v>
      </c>
      <c r="C815">
        <v>203</v>
      </c>
      <c r="D815">
        <v>5091</v>
      </c>
      <c r="E815">
        <v>11608</v>
      </c>
      <c r="F815">
        <v>13864</v>
      </c>
      <c r="G815">
        <v>5041</v>
      </c>
      <c r="H815" s="141">
        <v>0.01</v>
      </c>
      <c r="I815">
        <f t="shared" si="102"/>
        <v>796</v>
      </c>
      <c r="J815" s="137">
        <v>0.01</v>
      </c>
      <c r="K815">
        <f t="shared" si="101"/>
        <v>708</v>
      </c>
      <c r="L815" s="53">
        <f t="shared" si="103"/>
        <v>803</v>
      </c>
      <c r="M815" s="189">
        <v>0.79</v>
      </c>
      <c r="N815" s="186">
        <f>VLOOKUP(6244,季財報!A:M,8,0)</f>
        <v>3</v>
      </c>
    </row>
    <row r="816" spans="1:14">
      <c r="A816" s="133">
        <v>6405</v>
      </c>
      <c r="C816">
        <v>28</v>
      </c>
      <c r="D816">
        <v>654</v>
      </c>
      <c r="E816">
        <v>2055</v>
      </c>
      <c r="F816">
        <v>1964</v>
      </c>
      <c r="G816">
        <v>77</v>
      </c>
      <c r="H816" s="141">
        <v>0.01</v>
      </c>
      <c r="I816">
        <f t="shared" si="102"/>
        <v>796</v>
      </c>
      <c r="J816" s="137">
        <v>0.01</v>
      </c>
      <c r="K816">
        <f t="shared" si="101"/>
        <v>708</v>
      </c>
      <c r="L816" s="53">
        <f t="shared" si="103"/>
        <v>803</v>
      </c>
      <c r="M816" s="189">
        <v>7.95</v>
      </c>
      <c r="N816" s="186">
        <f>VLOOKUP(6405,季財報!A:M,8,0)</f>
        <v>2</v>
      </c>
    </row>
    <row r="817" spans="1:14">
      <c r="A817" s="133">
        <v>8043</v>
      </c>
      <c r="C817">
        <v>29</v>
      </c>
      <c r="D817">
        <v>2041</v>
      </c>
      <c r="E817">
        <v>132</v>
      </c>
      <c r="F817">
        <v>2249</v>
      </c>
      <c r="G817">
        <v>0</v>
      </c>
      <c r="H817" s="141">
        <v>0.01</v>
      </c>
      <c r="I817">
        <f t="shared" si="102"/>
        <v>796</v>
      </c>
      <c r="J817" s="137">
        <v>0.01</v>
      </c>
      <c r="K817">
        <f t="shared" si="101"/>
        <v>708</v>
      </c>
      <c r="L817" s="53">
        <f t="shared" si="103"/>
        <v>803</v>
      </c>
      <c r="M817" s="189">
        <v>2.29</v>
      </c>
      <c r="N817" s="186">
        <f>VLOOKUP(8043,季財報!A:M,8,0)</f>
        <v>3</v>
      </c>
    </row>
    <row r="818" spans="1:14">
      <c r="A818" s="133">
        <v>8093</v>
      </c>
      <c r="C818">
        <v>3</v>
      </c>
      <c r="D818">
        <v>186</v>
      </c>
      <c r="E818">
        <v>252</v>
      </c>
      <c r="F818">
        <v>499</v>
      </c>
      <c r="G818">
        <v>99</v>
      </c>
      <c r="H818" s="141">
        <v>0.01</v>
      </c>
      <c r="I818">
        <f t="shared" si="102"/>
        <v>796</v>
      </c>
      <c r="J818" s="137">
        <v>0.01</v>
      </c>
      <c r="K818">
        <f t="shared" si="101"/>
        <v>708</v>
      </c>
      <c r="L818" s="53">
        <f t="shared" si="103"/>
        <v>803</v>
      </c>
      <c r="M818" s="189">
        <v>0.79</v>
      </c>
      <c r="N818" s="186">
        <f>VLOOKUP(8093,季財報!A:M,8,0)</f>
        <v>5</v>
      </c>
    </row>
    <row r="819" spans="1:14">
      <c r="A819" s="133">
        <v>8105</v>
      </c>
      <c r="C819">
        <v>110</v>
      </c>
      <c r="D819">
        <v>3484</v>
      </c>
      <c r="E819">
        <v>3962</v>
      </c>
      <c r="F819">
        <v>7647</v>
      </c>
      <c r="G819">
        <v>887</v>
      </c>
      <c r="H819" s="141">
        <v>0.01</v>
      </c>
      <c r="I819">
        <f t="shared" si="102"/>
        <v>796</v>
      </c>
      <c r="J819" s="137">
        <v>0.01</v>
      </c>
      <c r="K819">
        <f t="shared" si="101"/>
        <v>708</v>
      </c>
      <c r="L819" s="53">
        <f t="shared" si="103"/>
        <v>803</v>
      </c>
      <c r="M819" s="189">
        <v>0.79</v>
      </c>
      <c r="N819" s="186">
        <f>VLOOKUP(8105,季財報!A:M,8,0)</f>
        <v>3</v>
      </c>
    </row>
    <row r="820" spans="1:14">
      <c r="A820" s="133">
        <v>6182</v>
      </c>
      <c r="C820">
        <v>103</v>
      </c>
      <c r="D820">
        <v>359</v>
      </c>
      <c r="E820">
        <v>7213</v>
      </c>
      <c r="F820">
        <v>6736</v>
      </c>
      <c r="G820">
        <v>3470</v>
      </c>
      <c r="H820" s="141">
        <v>0.01</v>
      </c>
      <c r="I820">
        <f t="shared" si="102"/>
        <v>796</v>
      </c>
      <c r="J820" s="137">
        <v>0.01</v>
      </c>
      <c r="K820">
        <f t="shared" si="101"/>
        <v>708</v>
      </c>
      <c r="L820" s="53">
        <f t="shared" si="103"/>
        <v>803</v>
      </c>
      <c r="M820" s="189">
        <v>0.79</v>
      </c>
      <c r="N820" s="186">
        <f>VLOOKUP(6182,季財報!A:M,8,0)</f>
        <v>3</v>
      </c>
    </row>
    <row r="821" spans="1:14">
      <c r="A821" s="133">
        <v>6197</v>
      </c>
      <c r="C821">
        <v>33</v>
      </c>
      <c r="D821">
        <v>2708</v>
      </c>
      <c r="E821">
        <v>587</v>
      </c>
      <c r="F821">
        <v>3679</v>
      </c>
      <c r="G821">
        <v>0</v>
      </c>
      <c r="H821" s="141">
        <v>0.01</v>
      </c>
      <c r="I821">
        <f t="shared" si="102"/>
        <v>796</v>
      </c>
      <c r="J821" s="137">
        <v>0.01</v>
      </c>
      <c r="K821">
        <f t="shared" si="101"/>
        <v>708</v>
      </c>
      <c r="L821" s="53">
        <f t="shared" si="103"/>
        <v>803</v>
      </c>
      <c r="M821" s="189">
        <v>0.79</v>
      </c>
      <c r="N821" s="186">
        <f>VLOOKUP(6197,季財報!A:M,8,0)</f>
        <v>5</v>
      </c>
    </row>
    <row r="822" spans="1:14">
      <c r="A822" s="133">
        <v>6204</v>
      </c>
      <c r="C822">
        <v>6</v>
      </c>
      <c r="D822">
        <v>682</v>
      </c>
      <c r="E822">
        <v>210</v>
      </c>
      <c r="F822">
        <v>884</v>
      </c>
      <c r="G822">
        <v>0</v>
      </c>
      <c r="H822" s="141">
        <v>0.01</v>
      </c>
      <c r="I822">
        <f t="shared" si="102"/>
        <v>796</v>
      </c>
      <c r="J822" s="137">
        <v>0.01</v>
      </c>
      <c r="K822">
        <f t="shared" si="101"/>
        <v>708</v>
      </c>
      <c r="L822" s="53">
        <f t="shared" si="103"/>
        <v>803</v>
      </c>
      <c r="M822" s="189">
        <v>1.36</v>
      </c>
      <c r="N822" s="186">
        <f>VLOOKUP(6204,季財報!A:M,8,0)</f>
        <v>2</v>
      </c>
    </row>
    <row r="823" spans="1:14">
      <c r="A823" s="133">
        <v>6214</v>
      </c>
      <c r="C823">
        <v>75</v>
      </c>
      <c r="D823">
        <v>7098</v>
      </c>
      <c r="E823">
        <v>2269</v>
      </c>
      <c r="F823">
        <v>13082</v>
      </c>
      <c r="G823">
        <v>904</v>
      </c>
      <c r="H823" s="141">
        <v>0.01</v>
      </c>
      <c r="I823">
        <f t="shared" si="102"/>
        <v>796</v>
      </c>
      <c r="J823" s="137">
        <v>0.01</v>
      </c>
      <c r="K823">
        <f t="shared" si="101"/>
        <v>708</v>
      </c>
      <c r="L823" s="53">
        <f t="shared" si="103"/>
        <v>803</v>
      </c>
      <c r="M823" s="189">
        <v>0.79</v>
      </c>
      <c r="N823" s="186">
        <f>VLOOKUP(6214,季財報!A:M,8,0)</f>
        <v>1</v>
      </c>
    </row>
    <row r="824" spans="1:14">
      <c r="A824" s="133">
        <v>6226</v>
      </c>
      <c r="C824">
        <v>11</v>
      </c>
      <c r="D824">
        <v>535</v>
      </c>
      <c r="E824">
        <v>685</v>
      </c>
      <c r="F824">
        <v>1139</v>
      </c>
      <c r="G824">
        <v>624</v>
      </c>
      <c r="H824" s="141">
        <v>0.01</v>
      </c>
      <c r="I824">
        <f t="shared" si="102"/>
        <v>796</v>
      </c>
      <c r="J824" s="137">
        <v>0.01</v>
      </c>
      <c r="K824">
        <f t="shared" si="101"/>
        <v>708</v>
      </c>
      <c r="L824" s="53">
        <f t="shared" si="103"/>
        <v>803</v>
      </c>
      <c r="M824" s="189">
        <v>4.05</v>
      </c>
      <c r="N824" s="186">
        <f>VLOOKUP(6226,季財報!A:M,8,0)</f>
        <v>2</v>
      </c>
    </row>
    <row r="825" spans="1:14">
      <c r="A825" s="133">
        <v>5011</v>
      </c>
      <c r="C825">
        <v>6</v>
      </c>
      <c r="D825">
        <v>27</v>
      </c>
      <c r="E825">
        <v>404</v>
      </c>
      <c r="F825">
        <v>421</v>
      </c>
      <c r="G825">
        <v>225</v>
      </c>
      <c r="H825" s="141">
        <v>0.01</v>
      </c>
      <c r="I825">
        <f t="shared" si="102"/>
        <v>796</v>
      </c>
      <c r="J825" s="137">
        <v>0.01</v>
      </c>
      <c r="K825">
        <f t="shared" si="101"/>
        <v>708</v>
      </c>
      <c r="L825" s="53">
        <f t="shared" si="103"/>
        <v>803</v>
      </c>
      <c r="M825" s="189">
        <v>2.52</v>
      </c>
      <c r="N825" s="186">
        <f>VLOOKUP(5011,季財報!A:M,8,0)</f>
        <v>3</v>
      </c>
    </row>
    <row r="826" spans="1:14">
      <c r="A826" s="133">
        <v>5211</v>
      </c>
      <c r="C826">
        <v>3</v>
      </c>
      <c r="D826">
        <v>324</v>
      </c>
      <c r="E826">
        <v>183</v>
      </c>
      <c r="F826">
        <v>530</v>
      </c>
      <c r="G826">
        <v>0</v>
      </c>
      <c r="H826" s="141">
        <v>0.01</v>
      </c>
      <c r="I826">
        <f t="shared" si="102"/>
        <v>796</v>
      </c>
      <c r="J826" s="137">
        <v>0.01</v>
      </c>
      <c r="K826">
        <f t="shared" si="101"/>
        <v>708</v>
      </c>
      <c r="L826" s="53">
        <f t="shared" si="103"/>
        <v>803</v>
      </c>
      <c r="M826" s="189">
        <v>0.79</v>
      </c>
      <c r="N826" s="186">
        <f>VLOOKUP(5211,季財報!A:M,8,0)</f>
        <v>3</v>
      </c>
    </row>
    <row r="827" spans="1:14">
      <c r="A827" s="133">
        <v>5317</v>
      </c>
      <c r="C827">
        <v>24</v>
      </c>
      <c r="D827">
        <v>1197</v>
      </c>
      <c r="E827">
        <v>573</v>
      </c>
      <c r="F827">
        <v>1752</v>
      </c>
      <c r="G827">
        <v>52</v>
      </c>
      <c r="H827" s="141">
        <v>0.01</v>
      </c>
      <c r="I827">
        <f t="shared" si="102"/>
        <v>796</v>
      </c>
      <c r="J827" s="137">
        <v>0.01</v>
      </c>
      <c r="K827">
        <f t="shared" si="101"/>
        <v>708</v>
      </c>
      <c r="L827" s="53">
        <f t="shared" si="103"/>
        <v>803</v>
      </c>
      <c r="M827" s="189">
        <v>3.37</v>
      </c>
      <c r="N827" s="186">
        <f>VLOOKUP(5317,季財報!A:M,8,0)</f>
        <v>2</v>
      </c>
    </row>
    <row r="828" spans="1:14">
      <c r="A828" s="133">
        <v>5469</v>
      </c>
      <c r="C828">
        <v>244</v>
      </c>
      <c r="D828">
        <v>11596</v>
      </c>
      <c r="E828">
        <v>13989</v>
      </c>
      <c r="F828">
        <v>20322</v>
      </c>
      <c r="G828">
        <v>13711</v>
      </c>
      <c r="H828" s="141">
        <v>0.01</v>
      </c>
      <c r="I828">
        <f t="shared" si="102"/>
        <v>796</v>
      </c>
      <c r="J828" s="137">
        <v>0.01</v>
      </c>
      <c r="K828">
        <f t="shared" si="101"/>
        <v>708</v>
      </c>
      <c r="L828" s="53">
        <f t="shared" si="103"/>
        <v>803</v>
      </c>
      <c r="M828" s="189">
        <v>1.01</v>
      </c>
      <c r="N828" s="186">
        <f>VLOOKUP(5469,季財報!A:M,8,0)</f>
        <v>1</v>
      </c>
    </row>
    <row r="829" spans="1:14">
      <c r="A829" s="133">
        <v>5487</v>
      </c>
      <c r="C829">
        <v>6</v>
      </c>
      <c r="D829">
        <v>349</v>
      </c>
      <c r="E829">
        <v>105</v>
      </c>
      <c r="F829">
        <v>480</v>
      </c>
      <c r="G829">
        <v>0</v>
      </c>
      <c r="H829" s="141">
        <v>0.01</v>
      </c>
      <c r="I829">
        <f t="shared" si="102"/>
        <v>796</v>
      </c>
      <c r="J829" s="137">
        <v>0.01</v>
      </c>
      <c r="K829">
        <f t="shared" si="101"/>
        <v>708</v>
      </c>
      <c r="L829" s="53">
        <f t="shared" si="103"/>
        <v>803</v>
      </c>
      <c r="M829" s="189">
        <v>1.36</v>
      </c>
      <c r="N829" s="186">
        <f>VLOOKUP(5487,季財報!A:M,8,0)</f>
        <v>2</v>
      </c>
    </row>
    <row r="830" spans="1:14">
      <c r="A830" s="133">
        <v>5609</v>
      </c>
      <c r="C830">
        <v>28</v>
      </c>
      <c r="D830">
        <v>1372</v>
      </c>
      <c r="E830">
        <v>726</v>
      </c>
      <c r="F830">
        <v>2122</v>
      </c>
      <c r="G830">
        <v>534</v>
      </c>
      <c r="H830" s="141">
        <v>0.01</v>
      </c>
      <c r="I830">
        <f t="shared" si="102"/>
        <v>796</v>
      </c>
      <c r="J830" s="137">
        <v>0.01</v>
      </c>
      <c r="K830">
        <f t="shared" si="101"/>
        <v>708</v>
      </c>
      <c r="L830" s="53">
        <f t="shared" si="103"/>
        <v>803</v>
      </c>
      <c r="M830" s="189">
        <v>1.01</v>
      </c>
      <c r="N830" s="186">
        <f>VLOOKUP(5609,季財報!A:M,8,0)</f>
        <v>1</v>
      </c>
    </row>
    <row r="831" spans="1:14">
      <c r="A831" s="133">
        <v>6156</v>
      </c>
      <c r="C831">
        <v>24</v>
      </c>
      <c r="D831">
        <v>931</v>
      </c>
      <c r="E831">
        <v>702</v>
      </c>
      <c r="F831">
        <v>1757</v>
      </c>
      <c r="G831">
        <v>317</v>
      </c>
      <c r="H831" s="141">
        <v>0.01</v>
      </c>
      <c r="I831">
        <f t="shared" si="102"/>
        <v>796</v>
      </c>
      <c r="J831" s="137">
        <v>0.01</v>
      </c>
      <c r="K831">
        <f t="shared" si="101"/>
        <v>708</v>
      </c>
      <c r="L831" s="53">
        <f t="shared" si="103"/>
        <v>803</v>
      </c>
      <c r="M831" s="189">
        <v>1.01</v>
      </c>
      <c r="N831" s="186">
        <f>VLOOKUP(6156,季財報!A:M,8,0)</f>
        <v>2</v>
      </c>
    </row>
    <row r="832" spans="1:14">
      <c r="A832" s="133">
        <v>6161</v>
      </c>
      <c r="C832">
        <v>18</v>
      </c>
      <c r="D832">
        <v>778</v>
      </c>
      <c r="E832">
        <v>572</v>
      </c>
      <c r="F832">
        <v>1529</v>
      </c>
      <c r="G832">
        <v>500</v>
      </c>
      <c r="H832" s="141">
        <v>0.01</v>
      </c>
      <c r="I832">
        <f t="shared" si="102"/>
        <v>796</v>
      </c>
      <c r="J832" s="137">
        <v>0.01</v>
      </c>
      <c r="K832">
        <f t="shared" si="101"/>
        <v>708</v>
      </c>
      <c r="L832" s="53">
        <f t="shared" si="103"/>
        <v>803</v>
      </c>
      <c r="M832" s="189">
        <v>0.79</v>
      </c>
      <c r="N832" s="186">
        <f>VLOOKUP(6161,季財報!A:M,8,0)</f>
        <v>2</v>
      </c>
    </row>
    <row r="833" spans="1:14">
      <c r="A833" s="133">
        <v>4526</v>
      </c>
      <c r="C833">
        <v>64</v>
      </c>
      <c r="D833">
        <v>3901</v>
      </c>
      <c r="E833">
        <v>2772</v>
      </c>
      <c r="F833">
        <v>6380</v>
      </c>
      <c r="G833">
        <v>3057</v>
      </c>
      <c r="H833" s="141">
        <v>0.01</v>
      </c>
      <c r="I833">
        <f t="shared" si="102"/>
        <v>796</v>
      </c>
      <c r="J833" s="137">
        <v>0.01</v>
      </c>
      <c r="K833">
        <f t="shared" si="101"/>
        <v>708</v>
      </c>
      <c r="L833" s="53">
        <f t="shared" si="103"/>
        <v>803</v>
      </c>
      <c r="M833" s="189">
        <v>0.79</v>
      </c>
      <c r="N833" s="186">
        <f>VLOOKUP(4526,季財報!A:M,8,0)</f>
        <v>2</v>
      </c>
    </row>
    <row r="834" spans="1:14">
      <c r="A834" s="133">
        <v>4533</v>
      </c>
      <c r="C834">
        <v>19</v>
      </c>
      <c r="D834">
        <v>1105</v>
      </c>
      <c r="E834">
        <v>1589</v>
      </c>
      <c r="F834">
        <v>2699</v>
      </c>
      <c r="G834">
        <v>511</v>
      </c>
      <c r="H834" s="141">
        <v>0.01</v>
      </c>
      <c r="I834">
        <f t="shared" si="102"/>
        <v>796</v>
      </c>
      <c r="J834" s="137">
        <v>0.01</v>
      </c>
      <c r="K834">
        <f t="shared" si="101"/>
        <v>708</v>
      </c>
      <c r="L834" s="53">
        <f t="shared" si="103"/>
        <v>803</v>
      </c>
      <c r="M834" s="189">
        <v>0.79</v>
      </c>
      <c r="N834" s="186">
        <f>VLOOKUP(4533,季財報!A:M,8,0)</f>
        <v>1</v>
      </c>
    </row>
    <row r="835" spans="1:14">
      <c r="A835" s="133">
        <v>4534</v>
      </c>
      <c r="C835">
        <v>12</v>
      </c>
      <c r="D835">
        <v>258</v>
      </c>
      <c r="E835">
        <v>675</v>
      </c>
      <c r="F835">
        <v>951</v>
      </c>
      <c r="G835">
        <v>374</v>
      </c>
      <c r="H835" s="141">
        <v>0.01</v>
      </c>
      <c r="I835">
        <f t="shared" si="102"/>
        <v>796</v>
      </c>
      <c r="J835" s="137">
        <v>0.01</v>
      </c>
      <c r="K835">
        <f t="shared" si="101"/>
        <v>708</v>
      </c>
      <c r="L835" s="53">
        <f t="shared" si="103"/>
        <v>803</v>
      </c>
      <c r="M835" s="189">
        <v>0.79</v>
      </c>
      <c r="N835" s="186">
        <f>VLOOKUP(4534,季財報!A:M,8,0)</f>
        <v>4</v>
      </c>
    </row>
    <row r="836" spans="1:14">
      <c r="A836" s="133">
        <v>4965</v>
      </c>
      <c r="C836">
        <v>8</v>
      </c>
      <c r="D836">
        <v>996</v>
      </c>
      <c r="E836">
        <v>6</v>
      </c>
      <c r="F836">
        <v>1000</v>
      </c>
      <c r="G836">
        <v>0</v>
      </c>
      <c r="H836" s="141">
        <v>0.01</v>
      </c>
      <c r="I836">
        <f t="shared" ref="I836:I867" si="104">RANK(0.01,H:H,0)</f>
        <v>796</v>
      </c>
      <c r="J836" s="137">
        <v>0.01</v>
      </c>
      <c r="K836">
        <f t="shared" si="101"/>
        <v>708</v>
      </c>
      <c r="L836" s="53">
        <f t="shared" ref="L836:L867" si="105">RANK(1.01,M:M,0)</f>
        <v>803</v>
      </c>
      <c r="M836" s="189">
        <v>0.79</v>
      </c>
      <c r="N836" s="186">
        <f>VLOOKUP(4965,季財報!A:M,8,0)</f>
        <v>3</v>
      </c>
    </row>
    <row r="837" spans="1:14">
      <c r="A837" s="133">
        <v>5533</v>
      </c>
      <c r="C837">
        <v>129</v>
      </c>
      <c r="D837">
        <v>4523</v>
      </c>
      <c r="E837">
        <v>4094</v>
      </c>
      <c r="F837">
        <v>7086</v>
      </c>
      <c r="G837">
        <v>3934</v>
      </c>
      <c r="H837" s="141">
        <v>0.01</v>
      </c>
      <c r="I837">
        <f t="shared" si="104"/>
        <v>796</v>
      </c>
      <c r="J837" s="137">
        <v>0.01</v>
      </c>
      <c r="K837">
        <f t="shared" si="101"/>
        <v>708</v>
      </c>
      <c r="L837" s="53">
        <f t="shared" si="105"/>
        <v>803</v>
      </c>
      <c r="M837" s="189">
        <v>0.79</v>
      </c>
      <c r="N837" s="186">
        <f>VLOOKUP(5533,季財報!A:M,8,0)</f>
        <v>1</v>
      </c>
    </row>
    <row r="838" spans="1:14">
      <c r="A838" s="133">
        <v>1219</v>
      </c>
      <c r="C838">
        <v>31</v>
      </c>
      <c r="D838">
        <v>1843</v>
      </c>
      <c r="E838">
        <v>2943</v>
      </c>
      <c r="F838">
        <v>3911</v>
      </c>
      <c r="G838">
        <v>1158</v>
      </c>
      <c r="H838" s="141">
        <v>0.01</v>
      </c>
      <c r="I838">
        <f t="shared" si="104"/>
        <v>796</v>
      </c>
      <c r="J838" s="137">
        <v>0.01</v>
      </c>
      <c r="K838">
        <f t="shared" si="101"/>
        <v>708</v>
      </c>
      <c r="L838" s="53">
        <f t="shared" si="105"/>
        <v>803</v>
      </c>
      <c r="M838" s="189">
        <v>1.9</v>
      </c>
      <c r="N838" s="186">
        <f>VLOOKUP(1219,季財報!A:M,8,0)</f>
        <v>2</v>
      </c>
    </row>
    <row r="839" spans="1:14">
      <c r="A839" s="133">
        <v>1303</v>
      </c>
      <c r="C839">
        <v>3107</v>
      </c>
      <c r="D839">
        <v>132750</v>
      </c>
      <c r="E839">
        <v>139266</v>
      </c>
      <c r="F839">
        <v>327865</v>
      </c>
      <c r="G839">
        <v>48941</v>
      </c>
      <c r="H839" s="141">
        <v>0.01</v>
      </c>
      <c r="I839">
        <f t="shared" si="104"/>
        <v>796</v>
      </c>
      <c r="J839" s="137">
        <v>0.01</v>
      </c>
      <c r="K839">
        <f t="shared" si="101"/>
        <v>708</v>
      </c>
      <c r="L839" s="53">
        <f t="shared" si="105"/>
        <v>803</v>
      </c>
      <c r="M839" s="189">
        <v>0.79</v>
      </c>
      <c r="N839" s="186">
        <f>VLOOKUP(1303,季財報!A:M,8,0)</f>
        <v>2</v>
      </c>
    </row>
    <row r="840" spans="1:14">
      <c r="A840" s="133">
        <v>1305</v>
      </c>
      <c r="C840">
        <v>64</v>
      </c>
      <c r="D840">
        <v>3175</v>
      </c>
      <c r="E840">
        <v>5042</v>
      </c>
      <c r="F840">
        <v>6507</v>
      </c>
      <c r="G840">
        <v>1338</v>
      </c>
      <c r="H840" s="141">
        <v>0.01</v>
      </c>
      <c r="I840">
        <f t="shared" si="104"/>
        <v>796</v>
      </c>
      <c r="J840" s="137">
        <v>0.01</v>
      </c>
      <c r="K840">
        <f t="shared" si="101"/>
        <v>708</v>
      </c>
      <c r="L840" s="53">
        <f t="shared" si="105"/>
        <v>803</v>
      </c>
      <c r="M840" s="189">
        <v>0.79</v>
      </c>
      <c r="N840" s="186">
        <f>VLOOKUP(1305,季財報!A:M,8,0)</f>
        <v>2</v>
      </c>
    </row>
    <row r="841" spans="1:14">
      <c r="A841" s="133">
        <v>1326</v>
      </c>
      <c r="C841">
        <v>3240</v>
      </c>
      <c r="D841">
        <v>116779</v>
      </c>
      <c r="E841">
        <v>145890</v>
      </c>
      <c r="F841">
        <v>315945</v>
      </c>
      <c r="G841">
        <v>60397</v>
      </c>
      <c r="H841" s="141">
        <v>0.01</v>
      </c>
      <c r="I841">
        <f t="shared" si="104"/>
        <v>796</v>
      </c>
      <c r="J841" s="137">
        <v>0.01</v>
      </c>
      <c r="K841">
        <f t="shared" si="101"/>
        <v>708</v>
      </c>
      <c r="L841" s="53">
        <f t="shared" si="105"/>
        <v>803</v>
      </c>
      <c r="M841" s="189">
        <v>1.29</v>
      </c>
      <c r="N841" s="186">
        <f>VLOOKUP(1326,季財報!A:M,8,0)</f>
        <v>2</v>
      </c>
    </row>
    <row r="842" spans="1:14">
      <c r="A842" s="133">
        <v>1440</v>
      </c>
      <c r="C842">
        <v>205</v>
      </c>
      <c r="D842">
        <v>440</v>
      </c>
      <c r="E842">
        <v>18036</v>
      </c>
      <c r="F842">
        <v>25879</v>
      </c>
      <c r="G842">
        <v>4226</v>
      </c>
      <c r="H842" s="141">
        <v>0.01</v>
      </c>
      <c r="I842">
        <f t="shared" si="104"/>
        <v>796</v>
      </c>
      <c r="J842" s="137">
        <v>0.01</v>
      </c>
      <c r="K842">
        <f t="shared" si="101"/>
        <v>708</v>
      </c>
      <c r="L842" s="53">
        <f t="shared" si="105"/>
        <v>803</v>
      </c>
      <c r="M842" s="189">
        <v>0.79</v>
      </c>
      <c r="N842" s="186">
        <f>VLOOKUP(1440,季財報!A:M,8,0)</f>
        <v>1</v>
      </c>
    </row>
    <row r="843" spans="1:14">
      <c r="A843" s="133">
        <v>1442</v>
      </c>
      <c r="C843">
        <v>97</v>
      </c>
      <c r="D843">
        <v>8908</v>
      </c>
      <c r="E843">
        <v>27</v>
      </c>
      <c r="F843">
        <v>4805</v>
      </c>
      <c r="G843">
        <v>2932</v>
      </c>
      <c r="H843" s="141">
        <v>0.01</v>
      </c>
      <c r="I843">
        <f t="shared" si="104"/>
        <v>796</v>
      </c>
      <c r="J843" s="137">
        <v>0.01</v>
      </c>
      <c r="K843">
        <f t="shared" si="101"/>
        <v>708</v>
      </c>
      <c r="L843" s="53">
        <f t="shared" si="105"/>
        <v>803</v>
      </c>
      <c r="M843" s="189">
        <v>0.79</v>
      </c>
      <c r="N843" s="186">
        <f>VLOOKUP(1442,季財報!A:M,8,0)</f>
        <v>0</v>
      </c>
    </row>
    <row r="844" spans="1:14">
      <c r="A844" s="133">
        <v>1454</v>
      </c>
      <c r="C844">
        <v>13</v>
      </c>
      <c r="D844">
        <v>846</v>
      </c>
      <c r="E844">
        <v>870</v>
      </c>
      <c r="F844">
        <v>1699</v>
      </c>
      <c r="G844">
        <v>125</v>
      </c>
      <c r="H844" s="141">
        <v>0.01</v>
      </c>
      <c r="I844">
        <f t="shared" si="104"/>
        <v>796</v>
      </c>
      <c r="J844" s="137">
        <v>0.01</v>
      </c>
      <c r="K844">
        <f t="shared" si="101"/>
        <v>708</v>
      </c>
      <c r="L844" s="53">
        <f t="shared" si="105"/>
        <v>803</v>
      </c>
      <c r="M844" s="189">
        <v>0.79</v>
      </c>
      <c r="N844" s="186">
        <f>VLOOKUP(1454,季財報!A:M,8,0)</f>
        <v>1</v>
      </c>
    </row>
    <row r="845" spans="1:14">
      <c r="A845" s="133">
        <v>1459</v>
      </c>
      <c r="C845">
        <v>34</v>
      </c>
      <c r="D845">
        <v>456</v>
      </c>
      <c r="E845">
        <v>3089</v>
      </c>
      <c r="F845">
        <v>3500</v>
      </c>
      <c r="G845">
        <v>2058</v>
      </c>
      <c r="H845" s="141">
        <v>0.01</v>
      </c>
      <c r="I845">
        <f t="shared" si="104"/>
        <v>796</v>
      </c>
      <c r="J845" s="137">
        <v>0.01</v>
      </c>
      <c r="K845">
        <f t="shared" si="101"/>
        <v>708</v>
      </c>
      <c r="L845" s="53">
        <f t="shared" si="105"/>
        <v>803</v>
      </c>
      <c r="M845" s="189">
        <v>0.79</v>
      </c>
      <c r="N845" s="186">
        <f>VLOOKUP(1459,季財報!A:M,8,0)</f>
        <v>1</v>
      </c>
    </row>
    <row r="846" spans="1:14">
      <c r="A846" s="133">
        <v>1465</v>
      </c>
      <c r="C846">
        <v>29</v>
      </c>
      <c r="D846">
        <v>1644</v>
      </c>
      <c r="E846">
        <v>674</v>
      </c>
      <c r="F846">
        <v>2407</v>
      </c>
      <c r="G846">
        <v>66</v>
      </c>
      <c r="H846" s="141">
        <v>0.01</v>
      </c>
      <c r="I846">
        <f t="shared" si="104"/>
        <v>796</v>
      </c>
      <c r="J846" s="137">
        <v>0.01</v>
      </c>
      <c r="K846">
        <f t="shared" si="101"/>
        <v>708</v>
      </c>
      <c r="L846" s="53">
        <f t="shared" si="105"/>
        <v>803</v>
      </c>
      <c r="M846" s="189">
        <v>0.79</v>
      </c>
      <c r="N846" s="186">
        <f>VLOOKUP(1465,季財報!A:M,8,0)</f>
        <v>3</v>
      </c>
    </row>
    <row r="847" spans="1:14">
      <c r="A847" s="133">
        <v>1519</v>
      </c>
      <c r="C847">
        <v>39</v>
      </c>
      <c r="D847">
        <v>1927</v>
      </c>
      <c r="E847">
        <v>1455</v>
      </c>
      <c r="F847">
        <v>3125</v>
      </c>
      <c r="G847">
        <v>639</v>
      </c>
      <c r="H847" s="141">
        <v>0.01</v>
      </c>
      <c r="I847">
        <f t="shared" si="104"/>
        <v>796</v>
      </c>
      <c r="J847" s="137">
        <v>0.01</v>
      </c>
      <c r="K847">
        <f t="shared" si="101"/>
        <v>708</v>
      </c>
      <c r="L847" s="53">
        <f t="shared" si="105"/>
        <v>803</v>
      </c>
      <c r="M847" s="189">
        <v>1.29</v>
      </c>
      <c r="N847" s="186">
        <f>VLOOKUP(1519,季財報!A:M,8,0)</f>
        <v>0</v>
      </c>
    </row>
    <row r="848" spans="1:14">
      <c r="A848" s="133">
        <v>1566</v>
      </c>
      <c r="C848">
        <v>24</v>
      </c>
      <c r="D848">
        <v>0</v>
      </c>
      <c r="E848">
        <v>1875</v>
      </c>
      <c r="F848">
        <v>1504</v>
      </c>
      <c r="G848">
        <v>1069</v>
      </c>
      <c r="H848" s="141">
        <v>0.01</v>
      </c>
      <c r="I848">
        <f t="shared" si="104"/>
        <v>796</v>
      </c>
      <c r="J848" s="137">
        <v>0.01</v>
      </c>
      <c r="K848">
        <f t="shared" si="101"/>
        <v>708</v>
      </c>
      <c r="L848" s="53">
        <f t="shared" si="105"/>
        <v>803</v>
      </c>
      <c r="M848" s="189">
        <v>0.79</v>
      </c>
      <c r="N848" s="186">
        <f>VLOOKUP(1566,季財報!A:M,8,0)</f>
        <v>3</v>
      </c>
    </row>
    <row r="849" spans="1:14">
      <c r="A849" s="133">
        <v>1604</v>
      </c>
      <c r="C849">
        <v>41</v>
      </c>
      <c r="D849">
        <v>1469</v>
      </c>
      <c r="E849">
        <v>4249</v>
      </c>
      <c r="F849">
        <v>7746</v>
      </c>
      <c r="G849">
        <v>260</v>
      </c>
      <c r="H849" s="141">
        <v>0.01</v>
      </c>
      <c r="I849">
        <f t="shared" si="104"/>
        <v>796</v>
      </c>
      <c r="J849" s="137">
        <v>0.01</v>
      </c>
      <c r="K849">
        <f t="shared" si="101"/>
        <v>708</v>
      </c>
      <c r="L849" s="53">
        <f t="shared" si="105"/>
        <v>803</v>
      </c>
      <c r="M849" s="189">
        <v>0.79</v>
      </c>
      <c r="N849" s="186">
        <f>VLOOKUP(1604,季財報!A:M,8,0)</f>
        <v>1</v>
      </c>
    </row>
    <row r="850" spans="1:14">
      <c r="A850" s="133">
        <v>1605</v>
      </c>
      <c r="C850">
        <v>544</v>
      </c>
      <c r="D850">
        <v>34258</v>
      </c>
      <c r="E850">
        <v>18003</v>
      </c>
      <c r="F850">
        <v>63861</v>
      </c>
      <c r="G850">
        <v>7290</v>
      </c>
      <c r="H850" s="141">
        <v>0.01</v>
      </c>
      <c r="I850">
        <f t="shared" si="104"/>
        <v>796</v>
      </c>
      <c r="J850" s="137">
        <v>0.01</v>
      </c>
      <c r="K850">
        <f t="shared" si="101"/>
        <v>708</v>
      </c>
      <c r="L850" s="53">
        <f t="shared" si="105"/>
        <v>803</v>
      </c>
      <c r="M850" s="189">
        <v>3.44</v>
      </c>
      <c r="N850" s="186">
        <f>VLOOKUP(1605,季財報!A:M,8,0)</f>
        <v>1</v>
      </c>
    </row>
    <row r="851" spans="1:14">
      <c r="A851" s="133">
        <v>1701</v>
      </c>
      <c r="C851">
        <v>43</v>
      </c>
      <c r="D851">
        <v>1814</v>
      </c>
      <c r="E851">
        <v>4283</v>
      </c>
      <c r="F851">
        <v>5481</v>
      </c>
      <c r="G851">
        <v>1278</v>
      </c>
      <c r="H851" s="141">
        <v>0.01</v>
      </c>
      <c r="I851">
        <f t="shared" si="104"/>
        <v>796</v>
      </c>
      <c r="J851" s="137">
        <v>0.01</v>
      </c>
      <c r="K851">
        <f t="shared" si="101"/>
        <v>708</v>
      </c>
      <c r="L851" s="53">
        <f t="shared" si="105"/>
        <v>803</v>
      </c>
      <c r="M851" s="189">
        <v>3.37</v>
      </c>
      <c r="N851" s="186">
        <f>VLOOKUP(1701,季財報!A:M,8,0)</f>
        <v>3</v>
      </c>
    </row>
    <row r="852" spans="1:14">
      <c r="A852" s="133">
        <v>1714</v>
      </c>
      <c r="C852">
        <v>131</v>
      </c>
      <c r="D852">
        <v>4476</v>
      </c>
      <c r="E852">
        <v>9462</v>
      </c>
      <c r="F852">
        <v>15496</v>
      </c>
      <c r="G852">
        <v>8651</v>
      </c>
      <c r="H852" s="141">
        <v>0.01</v>
      </c>
      <c r="I852">
        <f t="shared" si="104"/>
        <v>796</v>
      </c>
      <c r="J852" s="137">
        <v>0.01</v>
      </c>
      <c r="K852">
        <f t="shared" si="101"/>
        <v>708</v>
      </c>
      <c r="L852" s="53">
        <f t="shared" si="105"/>
        <v>803</v>
      </c>
      <c r="M852" s="189">
        <v>0.79</v>
      </c>
      <c r="N852" s="186">
        <f>VLOOKUP(1714,季財報!A:M,8,0)</f>
        <v>1</v>
      </c>
    </row>
    <row r="853" spans="1:14">
      <c r="A853" s="133">
        <v>1762</v>
      </c>
      <c r="C853">
        <v>24</v>
      </c>
      <c r="D853">
        <v>196</v>
      </c>
      <c r="E853">
        <v>1808</v>
      </c>
      <c r="F853">
        <v>1791</v>
      </c>
      <c r="G853">
        <v>405</v>
      </c>
      <c r="H853" s="141">
        <v>0.01</v>
      </c>
      <c r="I853">
        <f t="shared" si="104"/>
        <v>796</v>
      </c>
      <c r="J853" s="137">
        <v>0.01</v>
      </c>
      <c r="K853">
        <f t="shared" si="101"/>
        <v>708</v>
      </c>
      <c r="L853" s="53">
        <f t="shared" si="105"/>
        <v>803</v>
      </c>
      <c r="M853" s="189">
        <v>12.98</v>
      </c>
      <c r="N853" s="186">
        <f>VLOOKUP(1762,季財報!A:M,8,0)</f>
        <v>2</v>
      </c>
    </row>
    <row r="854" spans="1:14">
      <c r="A854" s="133">
        <v>2006</v>
      </c>
      <c r="C854">
        <v>217</v>
      </c>
      <c r="D854">
        <v>4250</v>
      </c>
      <c r="E854">
        <v>15587</v>
      </c>
      <c r="F854">
        <v>22804</v>
      </c>
      <c r="G854">
        <v>6911</v>
      </c>
      <c r="H854" s="141">
        <v>0.01</v>
      </c>
      <c r="I854">
        <f t="shared" si="104"/>
        <v>796</v>
      </c>
      <c r="J854" s="137">
        <v>0.01</v>
      </c>
      <c r="K854">
        <f t="shared" si="101"/>
        <v>708</v>
      </c>
      <c r="L854" s="53">
        <f t="shared" si="105"/>
        <v>803</v>
      </c>
      <c r="M854" s="189">
        <v>1.58</v>
      </c>
      <c r="N854" s="186">
        <f>VLOOKUP(2006,季財報!A:M,8,0)</f>
        <v>1</v>
      </c>
    </row>
    <row r="855" spans="1:14">
      <c r="A855" s="133">
        <v>2023</v>
      </c>
      <c r="C855">
        <v>304</v>
      </c>
      <c r="D855">
        <v>0</v>
      </c>
      <c r="E855">
        <v>35530</v>
      </c>
      <c r="F855">
        <v>30056</v>
      </c>
      <c r="G855">
        <v>16536</v>
      </c>
      <c r="H855" s="141">
        <v>0.01</v>
      </c>
      <c r="I855">
        <f t="shared" si="104"/>
        <v>796</v>
      </c>
      <c r="J855" s="137">
        <v>0.01</v>
      </c>
      <c r="K855">
        <f t="shared" si="101"/>
        <v>708</v>
      </c>
      <c r="L855" s="53">
        <f t="shared" si="105"/>
        <v>803</v>
      </c>
      <c r="M855" s="189">
        <v>0.79</v>
      </c>
      <c r="N855" s="186">
        <f>VLOOKUP(2023,季財報!A:M,8,0)</f>
        <v>0</v>
      </c>
    </row>
    <row r="856" spans="1:14">
      <c r="A856" s="133">
        <v>2024</v>
      </c>
      <c r="C856">
        <v>11</v>
      </c>
      <c r="D856">
        <v>236</v>
      </c>
      <c r="E856">
        <v>1215</v>
      </c>
      <c r="F856">
        <v>1070</v>
      </c>
      <c r="G856">
        <v>439</v>
      </c>
      <c r="H856" s="141">
        <v>0.01</v>
      </c>
      <c r="I856">
        <f t="shared" si="104"/>
        <v>796</v>
      </c>
      <c r="J856" s="137">
        <v>0.01</v>
      </c>
      <c r="K856">
        <f t="shared" si="101"/>
        <v>708</v>
      </c>
      <c r="L856" s="53">
        <f t="shared" si="105"/>
        <v>803</v>
      </c>
      <c r="M856" s="189">
        <v>0.79</v>
      </c>
      <c r="N856" s="186">
        <f>VLOOKUP(2024,季財報!A:M,8,0)</f>
        <v>2</v>
      </c>
    </row>
    <row r="857" spans="1:14">
      <c r="A857" s="133">
        <v>2359</v>
      </c>
      <c r="C857">
        <v>30</v>
      </c>
      <c r="D857">
        <v>2886</v>
      </c>
      <c r="E857">
        <v>474</v>
      </c>
      <c r="F857">
        <v>4847</v>
      </c>
      <c r="G857">
        <v>55</v>
      </c>
      <c r="H857" s="141">
        <v>0.01</v>
      </c>
      <c r="I857">
        <f t="shared" si="104"/>
        <v>796</v>
      </c>
      <c r="J857" s="137">
        <v>0.01</v>
      </c>
      <c r="K857">
        <f t="shared" si="101"/>
        <v>708</v>
      </c>
      <c r="L857" s="53">
        <f t="shared" si="105"/>
        <v>803</v>
      </c>
      <c r="M857" s="189">
        <v>0.79</v>
      </c>
      <c r="N857" s="186">
        <f>VLOOKUP(2359,季財報!A:M,8,0)</f>
        <v>2</v>
      </c>
    </row>
    <row r="858" spans="1:14">
      <c r="A858" s="133">
        <v>2375</v>
      </c>
      <c r="C858">
        <v>17</v>
      </c>
      <c r="D858">
        <v>1389</v>
      </c>
      <c r="E858">
        <v>210</v>
      </c>
      <c r="F858">
        <v>1663</v>
      </c>
      <c r="G858">
        <v>349</v>
      </c>
      <c r="H858" s="141">
        <v>0.01</v>
      </c>
      <c r="I858">
        <f t="shared" si="104"/>
        <v>796</v>
      </c>
      <c r="J858" s="137">
        <v>0.01</v>
      </c>
      <c r="K858">
        <f t="shared" si="101"/>
        <v>708</v>
      </c>
      <c r="L858" s="53">
        <f t="shared" si="105"/>
        <v>803</v>
      </c>
      <c r="M858" s="189">
        <v>0.79</v>
      </c>
      <c r="N858" s="186">
        <f>VLOOKUP(2375,季財報!A:M,8,0)</f>
        <v>1</v>
      </c>
    </row>
    <row r="859" spans="1:14">
      <c r="A859" s="133">
        <v>2379</v>
      </c>
      <c r="C859">
        <v>262</v>
      </c>
      <c r="D859">
        <v>14183</v>
      </c>
      <c r="E859">
        <v>3382</v>
      </c>
      <c r="F859">
        <v>21587</v>
      </c>
      <c r="G859">
        <v>11071</v>
      </c>
      <c r="H859" s="141">
        <v>0.01</v>
      </c>
      <c r="I859">
        <f t="shared" si="104"/>
        <v>796</v>
      </c>
      <c r="J859" s="137">
        <v>0.01</v>
      </c>
      <c r="K859">
        <f t="shared" si="101"/>
        <v>708</v>
      </c>
      <c r="L859" s="53">
        <f t="shared" si="105"/>
        <v>803</v>
      </c>
      <c r="M859" s="189">
        <v>0.79</v>
      </c>
      <c r="N859" s="186">
        <f>VLOOKUP(2379,季財報!A:M,8,0)</f>
        <v>2</v>
      </c>
    </row>
    <row r="860" spans="1:14">
      <c r="A860" s="133">
        <v>2453</v>
      </c>
      <c r="C860">
        <v>19</v>
      </c>
      <c r="D860">
        <v>976</v>
      </c>
      <c r="E860">
        <v>494</v>
      </c>
      <c r="F860">
        <v>1744</v>
      </c>
      <c r="G860">
        <v>143</v>
      </c>
      <c r="H860" s="141">
        <v>0.01</v>
      </c>
      <c r="I860">
        <f t="shared" si="104"/>
        <v>796</v>
      </c>
      <c r="J860" s="137">
        <v>0.01</v>
      </c>
      <c r="K860">
        <f t="shared" si="101"/>
        <v>708</v>
      </c>
      <c r="L860" s="53">
        <f t="shared" si="105"/>
        <v>803</v>
      </c>
      <c r="M860" s="189">
        <v>2.69</v>
      </c>
      <c r="N860" s="186">
        <f>VLOOKUP(2453,季財報!A:M,8,0)</f>
        <v>3</v>
      </c>
    </row>
    <row r="861" spans="1:14">
      <c r="A861" s="133">
        <v>2468</v>
      </c>
      <c r="C861">
        <v>7</v>
      </c>
      <c r="D861">
        <v>501</v>
      </c>
      <c r="E861">
        <v>268</v>
      </c>
      <c r="F861">
        <v>1092</v>
      </c>
      <c r="G861">
        <v>0</v>
      </c>
      <c r="H861" s="141">
        <v>0.01</v>
      </c>
      <c r="I861">
        <f t="shared" si="104"/>
        <v>796</v>
      </c>
      <c r="J861" s="137">
        <v>0.01</v>
      </c>
      <c r="K861">
        <f t="shared" si="101"/>
        <v>708</v>
      </c>
      <c r="L861" s="53">
        <f t="shared" si="105"/>
        <v>803</v>
      </c>
      <c r="M861" s="189">
        <v>0.79</v>
      </c>
      <c r="N861" s="186">
        <f>VLOOKUP(2468,季財報!A:M,8,0)</f>
        <v>2</v>
      </c>
    </row>
    <row r="862" spans="1:14">
      <c r="A862" s="133">
        <v>2478</v>
      </c>
      <c r="C862">
        <v>66</v>
      </c>
      <c r="D862">
        <v>2856</v>
      </c>
      <c r="E862">
        <v>2975</v>
      </c>
      <c r="F862">
        <v>5309</v>
      </c>
      <c r="G862">
        <v>0</v>
      </c>
      <c r="H862" s="141">
        <v>0.01</v>
      </c>
      <c r="I862">
        <f t="shared" si="104"/>
        <v>796</v>
      </c>
      <c r="J862" s="137">
        <v>0.01</v>
      </c>
      <c r="K862">
        <f t="shared" si="101"/>
        <v>708</v>
      </c>
      <c r="L862" s="53">
        <f t="shared" si="105"/>
        <v>803</v>
      </c>
      <c r="M862" s="189">
        <v>0.79</v>
      </c>
      <c r="N862" s="186">
        <f>VLOOKUP(2478,季財報!A:M,8,0)</f>
        <v>2</v>
      </c>
    </row>
    <row r="863" spans="1:14">
      <c r="A863" s="133">
        <v>2483</v>
      </c>
      <c r="C863">
        <v>28</v>
      </c>
      <c r="D863">
        <v>1324</v>
      </c>
      <c r="E863">
        <v>699</v>
      </c>
      <c r="F863">
        <v>2391</v>
      </c>
      <c r="G863">
        <v>0</v>
      </c>
      <c r="H863" s="141">
        <v>0.01</v>
      </c>
      <c r="I863">
        <f t="shared" si="104"/>
        <v>796</v>
      </c>
      <c r="J863" s="137">
        <v>0.01</v>
      </c>
      <c r="K863">
        <f t="shared" si="101"/>
        <v>708</v>
      </c>
      <c r="L863" s="53">
        <f t="shared" si="105"/>
        <v>803</v>
      </c>
      <c r="M863" s="189">
        <v>0.79</v>
      </c>
      <c r="N863" s="186">
        <f>VLOOKUP(2483,季財報!A:M,8,0)</f>
        <v>2</v>
      </c>
    </row>
    <row r="864" spans="1:14">
      <c r="A864" s="133">
        <v>2495</v>
      </c>
      <c r="C864">
        <v>38</v>
      </c>
      <c r="D864">
        <v>2998</v>
      </c>
      <c r="E864">
        <v>690</v>
      </c>
      <c r="F864">
        <v>4127</v>
      </c>
      <c r="G864">
        <v>0</v>
      </c>
      <c r="H864" s="141">
        <v>0.01</v>
      </c>
      <c r="I864">
        <f t="shared" si="104"/>
        <v>796</v>
      </c>
      <c r="J864" s="137">
        <v>0.01</v>
      </c>
      <c r="K864">
        <f t="shared" si="101"/>
        <v>708</v>
      </c>
      <c r="L864" s="53">
        <f t="shared" si="105"/>
        <v>803</v>
      </c>
      <c r="M864" s="189">
        <v>2.69</v>
      </c>
      <c r="N864" s="186">
        <f>VLOOKUP(2495,季財報!A:M,8,0)</f>
        <v>3</v>
      </c>
    </row>
    <row r="865" spans="1:14">
      <c r="A865" s="133">
        <v>2511</v>
      </c>
      <c r="C865">
        <v>318</v>
      </c>
      <c r="D865">
        <v>18009</v>
      </c>
      <c r="E865">
        <v>6791</v>
      </c>
      <c r="F865">
        <v>23587</v>
      </c>
      <c r="G865">
        <v>5551</v>
      </c>
      <c r="H865" s="141">
        <v>0.01</v>
      </c>
      <c r="I865">
        <f t="shared" si="104"/>
        <v>796</v>
      </c>
      <c r="J865" s="137">
        <v>0.01</v>
      </c>
      <c r="K865">
        <f t="shared" si="101"/>
        <v>708</v>
      </c>
      <c r="L865" s="53">
        <f t="shared" si="105"/>
        <v>803</v>
      </c>
      <c r="M865" s="189">
        <v>0.79</v>
      </c>
      <c r="N865" s="186">
        <f>VLOOKUP(2511,季財報!A:M,8,0)</f>
        <v>0</v>
      </c>
    </row>
    <row r="866" spans="1:14">
      <c r="A866" s="133">
        <v>2516</v>
      </c>
      <c r="C866">
        <v>22</v>
      </c>
      <c r="D866">
        <v>1571</v>
      </c>
      <c r="E866">
        <v>1107</v>
      </c>
      <c r="F866">
        <v>3039</v>
      </c>
      <c r="G866">
        <v>1145</v>
      </c>
      <c r="H866" s="141">
        <v>0.01</v>
      </c>
      <c r="I866">
        <f t="shared" si="104"/>
        <v>796</v>
      </c>
      <c r="J866" s="137">
        <v>0.01</v>
      </c>
      <c r="K866">
        <f t="shared" ref="K866:K929" si="106">RANK(0.01,J:J,0)</f>
        <v>708</v>
      </c>
      <c r="L866" s="53">
        <f t="shared" si="105"/>
        <v>803</v>
      </c>
      <c r="M866" s="189">
        <v>0.79</v>
      </c>
      <c r="N866" s="186">
        <f>VLOOKUP(2516,季財報!A:M,8,0)</f>
        <v>1</v>
      </c>
    </row>
    <row r="867" spans="1:14">
      <c r="A867" s="133">
        <v>2520</v>
      </c>
      <c r="C867">
        <v>162</v>
      </c>
      <c r="D867">
        <v>11050</v>
      </c>
      <c r="E867">
        <v>7669</v>
      </c>
      <c r="F867">
        <v>12300</v>
      </c>
      <c r="G867">
        <v>16954</v>
      </c>
      <c r="H867" s="141">
        <v>0.01</v>
      </c>
      <c r="I867">
        <f t="shared" si="104"/>
        <v>796</v>
      </c>
      <c r="J867" s="137">
        <v>0.01</v>
      </c>
      <c r="K867">
        <f t="shared" si="106"/>
        <v>708</v>
      </c>
      <c r="L867" s="53">
        <f t="shared" si="105"/>
        <v>803</v>
      </c>
      <c r="M867" s="189">
        <v>0.79</v>
      </c>
      <c r="N867" s="186">
        <f>VLOOKUP(2520,季財報!A:M,8,0)</f>
        <v>3</v>
      </c>
    </row>
    <row r="868" spans="1:14">
      <c r="A868" s="133">
        <v>2597</v>
      </c>
      <c r="C868">
        <v>57</v>
      </c>
      <c r="D868">
        <v>1108</v>
      </c>
      <c r="E868">
        <v>3217</v>
      </c>
      <c r="F868">
        <v>5392</v>
      </c>
      <c r="G868">
        <v>360</v>
      </c>
      <c r="H868" s="141">
        <v>0.01</v>
      </c>
      <c r="I868">
        <f t="shared" ref="I868:I899" si="107">RANK(0.01,H:H,0)</f>
        <v>796</v>
      </c>
      <c r="J868" s="137">
        <v>0.01</v>
      </c>
      <c r="K868">
        <f t="shared" si="106"/>
        <v>708</v>
      </c>
      <c r="L868" s="53">
        <f t="shared" ref="L868:L899" si="108">RANK(1.01,M:M,0)</f>
        <v>803</v>
      </c>
      <c r="M868" s="189">
        <v>0.79</v>
      </c>
      <c r="N868" s="186">
        <f>VLOOKUP(2597,季財報!A:M,8,0)</f>
        <v>2</v>
      </c>
    </row>
    <row r="869" spans="1:14">
      <c r="A869" s="133">
        <v>2607</v>
      </c>
      <c r="C869">
        <v>256</v>
      </c>
      <c r="D869">
        <v>2751</v>
      </c>
      <c r="E869">
        <v>26187</v>
      </c>
      <c r="F869">
        <v>21444</v>
      </c>
      <c r="G869">
        <v>1117</v>
      </c>
      <c r="H869" s="141">
        <v>0.01</v>
      </c>
      <c r="I869">
        <f t="shared" si="107"/>
        <v>796</v>
      </c>
      <c r="J869" s="137">
        <v>0.01</v>
      </c>
      <c r="K869">
        <f t="shared" si="106"/>
        <v>708</v>
      </c>
      <c r="L869" s="53">
        <f t="shared" si="108"/>
        <v>803</v>
      </c>
      <c r="M869" s="189">
        <v>0.79</v>
      </c>
      <c r="N869" s="186">
        <f>VLOOKUP(2607,季財報!A:M,8,0)</f>
        <v>2</v>
      </c>
    </row>
    <row r="870" spans="1:14">
      <c r="A870" s="133">
        <v>2612</v>
      </c>
      <c r="C870">
        <v>194</v>
      </c>
      <c r="D870">
        <v>2698</v>
      </c>
      <c r="E870">
        <v>13820</v>
      </c>
      <c r="F870">
        <v>11052</v>
      </c>
      <c r="G870">
        <v>2125</v>
      </c>
      <c r="H870" s="141">
        <v>0.01</v>
      </c>
      <c r="I870">
        <f t="shared" si="107"/>
        <v>796</v>
      </c>
      <c r="J870" s="137">
        <v>0.01</v>
      </c>
      <c r="K870">
        <f t="shared" si="106"/>
        <v>708</v>
      </c>
      <c r="L870" s="53">
        <f t="shared" si="108"/>
        <v>803</v>
      </c>
      <c r="M870" s="189">
        <v>0.79</v>
      </c>
      <c r="N870" s="186">
        <f>VLOOKUP(2612,季財報!A:M,8,0)</f>
        <v>4</v>
      </c>
    </row>
    <row r="871" spans="1:14">
      <c r="A871" s="133">
        <v>2641</v>
      </c>
      <c r="C871">
        <v>22</v>
      </c>
      <c r="D871">
        <v>0</v>
      </c>
      <c r="E871">
        <v>3485</v>
      </c>
      <c r="F871">
        <v>1533</v>
      </c>
      <c r="G871">
        <v>512</v>
      </c>
      <c r="H871" s="141">
        <v>0.01</v>
      </c>
      <c r="I871">
        <f t="shared" si="107"/>
        <v>796</v>
      </c>
      <c r="J871" s="137">
        <v>0.01</v>
      </c>
      <c r="K871">
        <f t="shared" si="106"/>
        <v>708</v>
      </c>
      <c r="L871" s="53">
        <f t="shared" si="108"/>
        <v>803</v>
      </c>
      <c r="M871" s="189">
        <v>1.36</v>
      </c>
      <c r="N871" s="186">
        <f>VLOOKUP(2641,季財報!A:M,8,0)</f>
        <v>2</v>
      </c>
    </row>
    <row r="872" spans="1:14">
      <c r="A872" s="133">
        <v>2704</v>
      </c>
      <c r="C872">
        <v>52</v>
      </c>
      <c r="D872">
        <v>2071</v>
      </c>
      <c r="E872">
        <v>6455</v>
      </c>
      <c r="F872">
        <v>9183</v>
      </c>
      <c r="G872">
        <v>335</v>
      </c>
      <c r="H872" s="141">
        <v>0.01</v>
      </c>
      <c r="I872">
        <f t="shared" si="107"/>
        <v>796</v>
      </c>
      <c r="J872" s="137">
        <v>0.01</v>
      </c>
      <c r="K872">
        <f t="shared" si="106"/>
        <v>708</v>
      </c>
      <c r="L872" s="53">
        <f t="shared" si="108"/>
        <v>803</v>
      </c>
      <c r="M872" s="189">
        <v>0.79</v>
      </c>
      <c r="N872" s="186">
        <f>VLOOKUP(2704,季財報!A:M,8,0)</f>
        <v>2</v>
      </c>
    </row>
    <row r="873" spans="1:14">
      <c r="A873" s="133">
        <v>2718</v>
      </c>
      <c r="C873">
        <v>6</v>
      </c>
      <c r="D873">
        <v>180</v>
      </c>
      <c r="E873">
        <v>542</v>
      </c>
      <c r="F873">
        <v>583</v>
      </c>
      <c r="G873">
        <v>25</v>
      </c>
      <c r="H873" s="141">
        <v>0.01</v>
      </c>
      <c r="I873">
        <f t="shared" si="107"/>
        <v>796</v>
      </c>
      <c r="J873" s="137">
        <v>0.01</v>
      </c>
      <c r="K873">
        <f t="shared" si="106"/>
        <v>708</v>
      </c>
      <c r="L873" s="53">
        <f t="shared" si="108"/>
        <v>803</v>
      </c>
      <c r="M873" s="189">
        <v>0.79</v>
      </c>
      <c r="N873" s="186">
        <f>VLOOKUP(2718,季財報!A:M,8,0)</f>
        <v>3</v>
      </c>
    </row>
    <row r="874" spans="1:14">
      <c r="A874" s="133">
        <v>2924</v>
      </c>
      <c r="C874">
        <v>6</v>
      </c>
      <c r="D874">
        <v>630</v>
      </c>
      <c r="E874">
        <v>185</v>
      </c>
      <c r="F874">
        <v>894</v>
      </c>
      <c r="G874">
        <v>35</v>
      </c>
      <c r="H874" s="141">
        <v>0.01</v>
      </c>
      <c r="I874">
        <f t="shared" si="107"/>
        <v>796</v>
      </c>
      <c r="J874" s="137">
        <v>0.01</v>
      </c>
      <c r="K874">
        <f t="shared" si="106"/>
        <v>708</v>
      </c>
      <c r="L874" s="53">
        <f t="shared" si="108"/>
        <v>803</v>
      </c>
      <c r="M874" s="189">
        <v>0.79</v>
      </c>
      <c r="N874" s="186">
        <f>VLOOKUP(2924,季財報!A:M,8,0)</f>
        <v>1</v>
      </c>
    </row>
    <row r="875" spans="1:14">
      <c r="A875" s="133">
        <v>3002</v>
      </c>
      <c r="C875">
        <v>9</v>
      </c>
      <c r="D875">
        <v>1224</v>
      </c>
      <c r="E875">
        <v>215</v>
      </c>
      <c r="F875">
        <v>1334</v>
      </c>
      <c r="G875">
        <v>0</v>
      </c>
      <c r="H875" s="141">
        <v>0.01</v>
      </c>
      <c r="I875">
        <f t="shared" si="107"/>
        <v>796</v>
      </c>
      <c r="J875" s="137">
        <v>0.01</v>
      </c>
      <c r="K875">
        <f t="shared" si="106"/>
        <v>708</v>
      </c>
      <c r="L875" s="53">
        <f t="shared" si="108"/>
        <v>803</v>
      </c>
      <c r="M875" s="189">
        <v>0.79</v>
      </c>
      <c r="N875" s="186">
        <f>VLOOKUP(3002,季財報!A:M,8,0)</f>
        <v>3</v>
      </c>
    </row>
    <row r="876" spans="1:14">
      <c r="A876" s="133">
        <v>3018</v>
      </c>
      <c r="C876">
        <v>4</v>
      </c>
      <c r="D876">
        <v>523</v>
      </c>
      <c r="E876">
        <v>195</v>
      </c>
      <c r="F876">
        <v>586</v>
      </c>
      <c r="G876">
        <v>64</v>
      </c>
      <c r="H876" s="141">
        <v>0.01</v>
      </c>
      <c r="I876">
        <f t="shared" si="107"/>
        <v>796</v>
      </c>
      <c r="J876" s="137">
        <v>0.01</v>
      </c>
      <c r="K876">
        <f t="shared" si="106"/>
        <v>708</v>
      </c>
      <c r="L876" s="53">
        <f t="shared" si="108"/>
        <v>803</v>
      </c>
      <c r="M876" s="189">
        <v>0.79</v>
      </c>
      <c r="N876" s="186">
        <f>VLOOKUP(3018,季財報!A:M,8,0)</f>
        <v>0</v>
      </c>
    </row>
    <row r="877" spans="1:14">
      <c r="A877" s="133">
        <v>3037</v>
      </c>
      <c r="C877">
        <v>378</v>
      </c>
      <c r="D877">
        <v>10641</v>
      </c>
      <c r="E877">
        <v>50596</v>
      </c>
      <c r="F877">
        <v>47515</v>
      </c>
      <c r="G877">
        <v>15510</v>
      </c>
      <c r="H877" s="141">
        <v>0.01</v>
      </c>
      <c r="I877">
        <f t="shared" si="107"/>
        <v>796</v>
      </c>
      <c r="J877" s="137">
        <v>0.01</v>
      </c>
      <c r="K877">
        <f t="shared" si="106"/>
        <v>708</v>
      </c>
      <c r="L877" s="53">
        <f t="shared" si="108"/>
        <v>803</v>
      </c>
      <c r="M877" s="189">
        <v>0.79</v>
      </c>
      <c r="N877" s="186">
        <f>VLOOKUP(3037,季財報!A:M,8,0)</f>
        <v>3</v>
      </c>
    </row>
    <row r="878" spans="1:14">
      <c r="A878" s="133">
        <v>3047</v>
      </c>
      <c r="C878">
        <v>33</v>
      </c>
      <c r="D878">
        <v>1869</v>
      </c>
      <c r="E878">
        <v>452</v>
      </c>
      <c r="F878">
        <v>2635</v>
      </c>
      <c r="G878">
        <v>454</v>
      </c>
      <c r="H878" s="141">
        <v>0.01</v>
      </c>
      <c r="I878">
        <f t="shared" si="107"/>
        <v>796</v>
      </c>
      <c r="J878" s="137">
        <v>0.01</v>
      </c>
      <c r="K878">
        <f t="shared" si="106"/>
        <v>708</v>
      </c>
      <c r="L878" s="53">
        <f t="shared" si="108"/>
        <v>803</v>
      </c>
      <c r="M878" s="189">
        <v>0.79</v>
      </c>
      <c r="N878" s="186">
        <f>VLOOKUP(3047,季財報!A:M,8,0)</f>
        <v>3</v>
      </c>
    </row>
    <row r="879" spans="1:14">
      <c r="A879" s="133">
        <v>3058</v>
      </c>
      <c r="C879">
        <v>25</v>
      </c>
      <c r="D879">
        <v>626</v>
      </c>
      <c r="E879">
        <v>1727</v>
      </c>
      <c r="F879">
        <v>2899</v>
      </c>
      <c r="G879">
        <v>834</v>
      </c>
      <c r="H879" s="141">
        <v>0.01</v>
      </c>
      <c r="I879">
        <f t="shared" si="107"/>
        <v>796</v>
      </c>
      <c r="J879" s="137">
        <v>0.01</v>
      </c>
      <c r="K879">
        <f t="shared" si="106"/>
        <v>708</v>
      </c>
      <c r="L879" s="53">
        <f t="shared" si="108"/>
        <v>803</v>
      </c>
      <c r="M879" s="189">
        <v>2.29</v>
      </c>
      <c r="N879" s="186">
        <f>VLOOKUP(3058,季財報!A:M,8,0)</f>
        <v>1</v>
      </c>
    </row>
    <row r="880" spans="1:14">
      <c r="A880" s="133">
        <v>3094</v>
      </c>
      <c r="C880">
        <v>9</v>
      </c>
      <c r="D880">
        <v>931</v>
      </c>
      <c r="E880">
        <v>132</v>
      </c>
      <c r="F880">
        <v>1231</v>
      </c>
      <c r="G880">
        <v>0</v>
      </c>
      <c r="H880" s="141">
        <v>0.01</v>
      </c>
      <c r="I880">
        <f t="shared" si="107"/>
        <v>796</v>
      </c>
      <c r="J880" s="137">
        <v>0.01</v>
      </c>
      <c r="K880">
        <f t="shared" si="106"/>
        <v>708</v>
      </c>
      <c r="L880" s="53">
        <f t="shared" si="108"/>
        <v>803</v>
      </c>
      <c r="M880" s="189">
        <v>0.79</v>
      </c>
      <c r="N880" s="186">
        <f>VLOOKUP(3094,季財報!A:M,8,0)</f>
        <v>4</v>
      </c>
    </row>
    <row r="881" spans="1:14">
      <c r="A881" s="133">
        <v>3141</v>
      </c>
      <c r="C881">
        <v>15</v>
      </c>
      <c r="D881">
        <v>953</v>
      </c>
      <c r="E881">
        <v>91</v>
      </c>
      <c r="F881">
        <v>1215</v>
      </c>
      <c r="G881">
        <v>0</v>
      </c>
      <c r="H881" s="141">
        <v>0.01</v>
      </c>
      <c r="I881">
        <f t="shared" si="107"/>
        <v>796</v>
      </c>
      <c r="J881" s="137">
        <v>0.01</v>
      </c>
      <c r="K881">
        <f t="shared" si="106"/>
        <v>708</v>
      </c>
      <c r="L881" s="53">
        <f t="shared" si="108"/>
        <v>803</v>
      </c>
      <c r="M881" s="189">
        <v>1.58</v>
      </c>
      <c r="N881" s="186">
        <f>VLOOKUP(3141,季財報!A:M,8,0)</f>
        <v>2</v>
      </c>
    </row>
    <row r="882" spans="1:14">
      <c r="A882" s="133">
        <v>3218</v>
      </c>
      <c r="C882">
        <v>15</v>
      </c>
      <c r="D882">
        <v>468</v>
      </c>
      <c r="E882">
        <v>789</v>
      </c>
      <c r="F882">
        <v>1134</v>
      </c>
      <c r="G882">
        <v>313</v>
      </c>
      <c r="H882" s="141">
        <v>0.01</v>
      </c>
      <c r="I882">
        <f t="shared" si="107"/>
        <v>796</v>
      </c>
      <c r="J882" s="137">
        <v>0.01</v>
      </c>
      <c r="K882">
        <f t="shared" si="106"/>
        <v>708</v>
      </c>
      <c r="L882" s="53">
        <f t="shared" si="108"/>
        <v>803</v>
      </c>
      <c r="M882" s="189">
        <v>1.1399999999999999</v>
      </c>
      <c r="N882" s="186">
        <f>VLOOKUP(3218,季財報!A:M,8,0)</f>
        <v>4</v>
      </c>
    </row>
    <row r="883" spans="1:14">
      <c r="A883" s="133">
        <v>3219</v>
      </c>
      <c r="C883">
        <v>1</v>
      </c>
      <c r="D883">
        <v>162</v>
      </c>
      <c r="E883">
        <v>1</v>
      </c>
      <c r="F883">
        <v>161</v>
      </c>
      <c r="G883">
        <v>2</v>
      </c>
      <c r="H883" s="141">
        <v>0.01</v>
      </c>
      <c r="I883">
        <f t="shared" si="107"/>
        <v>796</v>
      </c>
      <c r="J883" s="137">
        <v>0.01</v>
      </c>
      <c r="K883">
        <f t="shared" si="106"/>
        <v>708</v>
      </c>
      <c r="L883" s="53">
        <f t="shared" si="108"/>
        <v>803</v>
      </c>
      <c r="M883" s="189">
        <v>0.79</v>
      </c>
      <c r="N883" s="186">
        <f>VLOOKUP(3219,季財報!A:M,8,0)</f>
        <v>1</v>
      </c>
    </row>
    <row r="884" spans="1:14">
      <c r="A884" s="133">
        <v>3296</v>
      </c>
      <c r="C884">
        <v>15</v>
      </c>
      <c r="D884">
        <v>1409</v>
      </c>
      <c r="E884">
        <v>370</v>
      </c>
      <c r="F884">
        <v>1830</v>
      </c>
      <c r="G884">
        <v>0</v>
      </c>
      <c r="H884" s="141">
        <v>0.01</v>
      </c>
      <c r="I884">
        <f t="shared" si="107"/>
        <v>796</v>
      </c>
      <c r="J884" s="137">
        <v>0.01</v>
      </c>
      <c r="K884">
        <f t="shared" si="106"/>
        <v>708</v>
      </c>
      <c r="L884" s="53">
        <f t="shared" si="108"/>
        <v>803</v>
      </c>
      <c r="M884" s="189">
        <v>1.9</v>
      </c>
      <c r="N884" s="186">
        <f>VLOOKUP(3296,季財報!A:M,8,0)</f>
        <v>2</v>
      </c>
    </row>
    <row r="885" spans="1:14">
      <c r="A885" s="133">
        <v>3305</v>
      </c>
      <c r="C885">
        <v>60</v>
      </c>
      <c r="D885">
        <v>3174</v>
      </c>
      <c r="E885">
        <v>1096</v>
      </c>
      <c r="F885">
        <v>4008</v>
      </c>
      <c r="G885">
        <v>1615</v>
      </c>
      <c r="H885" s="141">
        <v>0.01</v>
      </c>
      <c r="I885">
        <f t="shared" si="107"/>
        <v>796</v>
      </c>
      <c r="J885" s="137">
        <v>0.01</v>
      </c>
      <c r="K885">
        <f t="shared" si="106"/>
        <v>708</v>
      </c>
      <c r="L885" s="53">
        <f t="shared" si="108"/>
        <v>803</v>
      </c>
      <c r="M885" s="189">
        <v>4.05</v>
      </c>
      <c r="N885" s="186">
        <f>VLOOKUP(3305,季財報!A:M,8,0)</f>
        <v>2</v>
      </c>
    </row>
    <row r="886" spans="1:14">
      <c r="A886" s="133">
        <v>3306</v>
      </c>
      <c r="C886">
        <v>12</v>
      </c>
      <c r="D886">
        <v>844</v>
      </c>
      <c r="E886">
        <v>11</v>
      </c>
      <c r="F886">
        <v>1412</v>
      </c>
      <c r="G886">
        <v>0</v>
      </c>
      <c r="H886" s="141">
        <v>0.01</v>
      </c>
      <c r="I886">
        <f t="shared" si="107"/>
        <v>796</v>
      </c>
      <c r="J886" s="137">
        <v>0.01</v>
      </c>
      <c r="K886">
        <f t="shared" si="106"/>
        <v>708</v>
      </c>
      <c r="L886" s="53">
        <f t="shared" si="108"/>
        <v>803</v>
      </c>
      <c r="M886" s="189">
        <v>1.1399999999999999</v>
      </c>
      <c r="N886" s="186">
        <f>VLOOKUP(3306,季財報!A:M,8,0)</f>
        <v>3</v>
      </c>
    </row>
    <row r="887" spans="1:14">
      <c r="A887" s="133">
        <v>3444</v>
      </c>
      <c r="C887">
        <v>5</v>
      </c>
      <c r="D887">
        <v>297</v>
      </c>
      <c r="E887">
        <v>217</v>
      </c>
      <c r="F887">
        <v>573</v>
      </c>
      <c r="G887">
        <v>55</v>
      </c>
      <c r="H887" s="141">
        <v>0.01</v>
      </c>
      <c r="I887">
        <f t="shared" si="107"/>
        <v>796</v>
      </c>
      <c r="J887" s="137">
        <v>0.01</v>
      </c>
      <c r="K887">
        <f t="shared" si="106"/>
        <v>708</v>
      </c>
      <c r="L887" s="53">
        <f t="shared" si="108"/>
        <v>803</v>
      </c>
      <c r="M887" s="189">
        <v>0.79</v>
      </c>
      <c r="N887" s="186">
        <f>VLOOKUP(3444,季財報!A:M,8,0)</f>
        <v>1</v>
      </c>
    </row>
    <row r="888" spans="1:14">
      <c r="A888" s="133">
        <v>3504</v>
      </c>
      <c r="C888">
        <v>53</v>
      </c>
      <c r="D888">
        <v>1638</v>
      </c>
      <c r="E888">
        <v>2160</v>
      </c>
      <c r="F888">
        <v>4036</v>
      </c>
      <c r="G888">
        <v>500</v>
      </c>
      <c r="H888" s="141">
        <v>0.01</v>
      </c>
      <c r="I888">
        <f t="shared" si="107"/>
        <v>796</v>
      </c>
      <c r="J888" s="137">
        <v>0.01</v>
      </c>
      <c r="K888">
        <f t="shared" si="106"/>
        <v>708</v>
      </c>
      <c r="L888" s="53">
        <f t="shared" si="108"/>
        <v>803</v>
      </c>
      <c r="M888" s="189">
        <v>0.79</v>
      </c>
      <c r="N888" s="186">
        <f>VLOOKUP(3504,季財報!A:M,8,0)</f>
        <v>2</v>
      </c>
    </row>
    <row r="889" spans="1:14">
      <c r="A889" s="133">
        <v>3531</v>
      </c>
      <c r="C889">
        <v>12</v>
      </c>
      <c r="D889">
        <v>1147</v>
      </c>
      <c r="E889">
        <v>536</v>
      </c>
      <c r="F889">
        <v>1766</v>
      </c>
      <c r="G889">
        <v>503</v>
      </c>
      <c r="H889" s="141">
        <v>0.01</v>
      </c>
      <c r="I889">
        <f t="shared" si="107"/>
        <v>796</v>
      </c>
      <c r="J889" s="137">
        <v>0.01</v>
      </c>
      <c r="K889">
        <f t="shared" si="106"/>
        <v>708</v>
      </c>
      <c r="L889" s="53">
        <f t="shared" si="108"/>
        <v>803</v>
      </c>
      <c r="M889" s="189">
        <v>3.67</v>
      </c>
      <c r="N889" s="186">
        <f>VLOOKUP(3531,季財報!A:M,8,0)</f>
        <v>2</v>
      </c>
    </row>
    <row r="890" spans="1:14">
      <c r="A890" s="133">
        <v>3540</v>
      </c>
      <c r="C890">
        <v>8</v>
      </c>
      <c r="D890">
        <v>996</v>
      </c>
      <c r="E890">
        <v>116</v>
      </c>
      <c r="F890">
        <v>1265</v>
      </c>
      <c r="G890">
        <v>266</v>
      </c>
      <c r="H890" s="141">
        <v>0.01</v>
      </c>
      <c r="I890">
        <f t="shared" si="107"/>
        <v>796</v>
      </c>
      <c r="J890" s="137">
        <v>0.01</v>
      </c>
      <c r="K890">
        <f t="shared" si="106"/>
        <v>708</v>
      </c>
      <c r="L890" s="53">
        <f t="shared" si="108"/>
        <v>803</v>
      </c>
      <c r="M890" s="189">
        <v>0.79</v>
      </c>
      <c r="N890" s="186">
        <f>VLOOKUP(3540,季財報!A:M,8,0)</f>
        <v>2</v>
      </c>
    </row>
    <row r="891" spans="1:14">
      <c r="A891" s="133">
        <v>3550</v>
      </c>
      <c r="C891">
        <v>26</v>
      </c>
      <c r="D891">
        <v>2168</v>
      </c>
      <c r="E891">
        <v>476</v>
      </c>
      <c r="F891">
        <v>2340</v>
      </c>
      <c r="G891">
        <v>497</v>
      </c>
      <c r="H891" s="141">
        <v>0.01</v>
      </c>
      <c r="I891">
        <f t="shared" si="107"/>
        <v>796</v>
      </c>
      <c r="J891" s="137">
        <v>0.01</v>
      </c>
      <c r="K891">
        <f t="shared" si="106"/>
        <v>708</v>
      </c>
      <c r="L891" s="53">
        <f t="shared" si="108"/>
        <v>803</v>
      </c>
      <c r="M891" s="189">
        <v>1.01</v>
      </c>
      <c r="N891" s="186">
        <f>VLOOKUP(3550,季財報!A:M,8,0)</f>
        <v>2</v>
      </c>
    </row>
    <row r="892" spans="1:14">
      <c r="A892" s="133">
        <v>3624</v>
      </c>
      <c r="C892">
        <v>37</v>
      </c>
      <c r="D892">
        <v>1175</v>
      </c>
      <c r="E892">
        <v>1336</v>
      </c>
      <c r="F892">
        <v>2495</v>
      </c>
      <c r="G892">
        <v>478</v>
      </c>
      <c r="H892" s="141">
        <v>0.01</v>
      </c>
      <c r="I892">
        <f t="shared" si="107"/>
        <v>796</v>
      </c>
      <c r="J892" s="137">
        <v>0.01</v>
      </c>
      <c r="K892">
        <f t="shared" si="106"/>
        <v>708</v>
      </c>
      <c r="L892" s="53">
        <f t="shared" si="108"/>
        <v>803</v>
      </c>
      <c r="M892" s="189">
        <v>1.9</v>
      </c>
      <c r="N892" s="186">
        <f>VLOOKUP(3624,季財報!A:M,8,0)</f>
        <v>3</v>
      </c>
    </row>
    <row r="893" spans="1:14">
      <c r="A893" s="133">
        <v>3628</v>
      </c>
      <c r="C893">
        <v>14</v>
      </c>
      <c r="D893">
        <v>851</v>
      </c>
      <c r="E893">
        <v>827</v>
      </c>
      <c r="F893">
        <v>1697</v>
      </c>
      <c r="G893">
        <v>248</v>
      </c>
      <c r="H893" s="141">
        <v>0.01</v>
      </c>
      <c r="I893">
        <f t="shared" si="107"/>
        <v>796</v>
      </c>
      <c r="J893" s="137">
        <v>0.01</v>
      </c>
      <c r="K893">
        <f t="shared" si="106"/>
        <v>708</v>
      </c>
      <c r="L893" s="53">
        <f t="shared" si="108"/>
        <v>803</v>
      </c>
      <c r="M893" s="189">
        <v>1.1399999999999999</v>
      </c>
      <c r="N893" s="186">
        <f>VLOOKUP(3628,季財報!A:M,8,0)</f>
        <v>0</v>
      </c>
    </row>
    <row r="894" spans="1:14">
      <c r="A894" s="133">
        <v>3653</v>
      </c>
      <c r="C894">
        <v>32</v>
      </c>
      <c r="D894">
        <v>2479</v>
      </c>
      <c r="E894">
        <v>1817</v>
      </c>
      <c r="F894">
        <v>4392</v>
      </c>
      <c r="G894">
        <v>0</v>
      </c>
      <c r="H894" s="141">
        <v>0.01</v>
      </c>
      <c r="I894">
        <f t="shared" si="107"/>
        <v>796</v>
      </c>
      <c r="J894" s="137">
        <v>0.01</v>
      </c>
      <c r="K894">
        <f t="shared" si="106"/>
        <v>708</v>
      </c>
      <c r="L894" s="53">
        <f t="shared" si="108"/>
        <v>803</v>
      </c>
      <c r="M894" s="189">
        <v>0.79</v>
      </c>
      <c r="N894" s="186">
        <f>VLOOKUP(3653,季財報!A:M,8,0)</f>
        <v>3</v>
      </c>
    </row>
    <row r="895" spans="1:14">
      <c r="A895" s="133">
        <v>3680</v>
      </c>
      <c r="C895">
        <v>12</v>
      </c>
      <c r="D895">
        <v>0</v>
      </c>
      <c r="E895">
        <v>1503</v>
      </c>
      <c r="F895">
        <v>1095</v>
      </c>
      <c r="G895">
        <v>961</v>
      </c>
      <c r="H895" s="141">
        <v>0.01</v>
      </c>
      <c r="I895">
        <f t="shared" si="107"/>
        <v>796</v>
      </c>
      <c r="J895" s="137">
        <v>0.01</v>
      </c>
      <c r="K895">
        <f t="shared" si="106"/>
        <v>708</v>
      </c>
      <c r="L895" s="53">
        <f t="shared" si="108"/>
        <v>803</v>
      </c>
      <c r="M895" s="189">
        <v>0.79</v>
      </c>
      <c r="N895" s="186">
        <f>VLOOKUP(3680,季財報!A:M,8,0)</f>
        <v>3</v>
      </c>
    </row>
    <row r="896" spans="1:14">
      <c r="A896" s="133">
        <v>3685</v>
      </c>
      <c r="C896">
        <v>11</v>
      </c>
      <c r="D896">
        <v>648</v>
      </c>
      <c r="E896">
        <v>585</v>
      </c>
      <c r="F896">
        <v>1278</v>
      </c>
      <c r="G896">
        <v>99</v>
      </c>
      <c r="H896" s="141">
        <v>0.01</v>
      </c>
      <c r="I896">
        <f t="shared" si="107"/>
        <v>796</v>
      </c>
      <c r="J896" s="137">
        <v>0.01</v>
      </c>
      <c r="K896">
        <f t="shared" si="106"/>
        <v>708</v>
      </c>
      <c r="L896" s="53">
        <f t="shared" si="108"/>
        <v>803</v>
      </c>
      <c r="M896" s="189">
        <v>0.87</v>
      </c>
      <c r="N896" s="186">
        <f>VLOOKUP(3685,季財報!A:M,8,0)</f>
        <v>2</v>
      </c>
    </row>
    <row r="897" spans="1:14">
      <c r="A897" s="133">
        <v>4106</v>
      </c>
      <c r="C897">
        <v>12</v>
      </c>
      <c r="D897">
        <v>327</v>
      </c>
      <c r="E897">
        <v>683</v>
      </c>
      <c r="F897">
        <v>1604</v>
      </c>
      <c r="G897">
        <v>510</v>
      </c>
      <c r="H897" s="141">
        <v>0.01</v>
      </c>
      <c r="I897">
        <f t="shared" si="107"/>
        <v>796</v>
      </c>
      <c r="J897" s="137">
        <v>0.01</v>
      </c>
      <c r="K897">
        <f t="shared" si="106"/>
        <v>708</v>
      </c>
      <c r="L897" s="53">
        <f t="shared" si="108"/>
        <v>803</v>
      </c>
      <c r="M897" s="189">
        <v>1.01</v>
      </c>
      <c r="N897" s="186">
        <f>VLOOKUP(4106,季財報!A:M,8,0)</f>
        <v>1</v>
      </c>
    </row>
    <row r="898" spans="1:14">
      <c r="A898" s="133">
        <v>9950</v>
      </c>
      <c r="C898">
        <v>22</v>
      </c>
      <c r="D898">
        <v>335</v>
      </c>
      <c r="E898">
        <v>1854</v>
      </c>
      <c r="F898">
        <v>1125</v>
      </c>
      <c r="G898">
        <v>423</v>
      </c>
      <c r="H898" s="141">
        <v>0.01</v>
      </c>
      <c r="I898">
        <f t="shared" si="107"/>
        <v>796</v>
      </c>
      <c r="J898" s="137">
        <v>0.01</v>
      </c>
      <c r="K898">
        <f t="shared" si="106"/>
        <v>708</v>
      </c>
      <c r="L898" s="53">
        <f t="shared" si="108"/>
        <v>803</v>
      </c>
      <c r="M898" s="189">
        <v>0.79</v>
      </c>
      <c r="N898" s="186">
        <f>VLOOKUP(9950,季財報!A:M,8,0)</f>
        <v>3</v>
      </c>
    </row>
    <row r="899" spans="1:14">
      <c r="A899" s="133">
        <v>8923</v>
      </c>
      <c r="C899">
        <v>3</v>
      </c>
      <c r="D899">
        <v>218</v>
      </c>
      <c r="E899">
        <v>11</v>
      </c>
      <c r="F899">
        <v>427</v>
      </c>
      <c r="G899">
        <v>0</v>
      </c>
      <c r="H899" s="141">
        <v>0.01</v>
      </c>
      <c r="I899">
        <f t="shared" si="107"/>
        <v>796</v>
      </c>
      <c r="J899" s="137">
        <v>0.01</v>
      </c>
      <c r="K899">
        <f t="shared" si="106"/>
        <v>708</v>
      </c>
      <c r="L899" s="53">
        <f t="shared" si="108"/>
        <v>803</v>
      </c>
      <c r="M899" s="189">
        <v>2.69</v>
      </c>
      <c r="N899" s="186">
        <f>VLOOKUP(8923,季財報!A:M,8,0)</f>
        <v>1</v>
      </c>
    </row>
    <row r="900" spans="1:14">
      <c r="A900" s="133">
        <v>8240</v>
      </c>
      <c r="C900">
        <v>48</v>
      </c>
      <c r="D900">
        <v>3344</v>
      </c>
      <c r="E900">
        <v>2488</v>
      </c>
      <c r="F900">
        <v>4737</v>
      </c>
      <c r="G900">
        <v>745</v>
      </c>
      <c r="H900" s="141">
        <v>0.01</v>
      </c>
      <c r="I900">
        <f t="shared" ref="I900:I931" si="109">RANK(0.01,H:H,0)</f>
        <v>796</v>
      </c>
      <c r="J900" s="137">
        <v>0.01</v>
      </c>
      <c r="K900">
        <f t="shared" si="106"/>
        <v>708</v>
      </c>
      <c r="L900" s="53">
        <f t="shared" ref="L900:L931" si="110">RANK(1.01,M:M,0)</f>
        <v>803</v>
      </c>
      <c r="M900" s="189">
        <v>0.79</v>
      </c>
      <c r="N900" s="186">
        <f>VLOOKUP(8240,季財報!A:M,8,0)</f>
        <v>4</v>
      </c>
    </row>
    <row r="901" spans="1:14">
      <c r="A901" s="133">
        <v>8289</v>
      </c>
      <c r="C901">
        <v>17</v>
      </c>
      <c r="D901">
        <v>1021</v>
      </c>
      <c r="E901">
        <v>508</v>
      </c>
      <c r="F901">
        <v>1524</v>
      </c>
      <c r="G901">
        <v>151</v>
      </c>
      <c r="H901" s="141">
        <v>0.01</v>
      </c>
      <c r="I901">
        <f t="shared" si="109"/>
        <v>796</v>
      </c>
      <c r="J901" s="137">
        <v>0.01</v>
      </c>
      <c r="K901">
        <f t="shared" si="106"/>
        <v>708</v>
      </c>
      <c r="L901" s="53">
        <f t="shared" si="110"/>
        <v>803</v>
      </c>
      <c r="M901" s="189">
        <v>1.1399999999999999</v>
      </c>
      <c r="N901" s="186">
        <f>VLOOKUP(8289,季財報!A:M,8,0)</f>
        <v>4</v>
      </c>
    </row>
    <row r="902" spans="1:14">
      <c r="A902" s="133">
        <v>8155</v>
      </c>
      <c r="C902">
        <v>11</v>
      </c>
      <c r="D902">
        <v>519</v>
      </c>
      <c r="E902">
        <v>809</v>
      </c>
      <c r="F902">
        <v>1298</v>
      </c>
      <c r="G902">
        <v>26</v>
      </c>
      <c r="H902" s="141">
        <v>0.01</v>
      </c>
      <c r="I902">
        <f t="shared" si="109"/>
        <v>796</v>
      </c>
      <c r="J902" s="137">
        <v>0.01</v>
      </c>
      <c r="K902">
        <f t="shared" si="106"/>
        <v>708</v>
      </c>
      <c r="L902" s="53">
        <f t="shared" si="110"/>
        <v>803</v>
      </c>
      <c r="M902" s="189">
        <v>0.79</v>
      </c>
      <c r="N902" s="186">
        <f>VLOOKUP(8155,季財報!A:M,8,0)</f>
        <v>3</v>
      </c>
    </row>
    <row r="903" spans="1:14">
      <c r="A903" s="133">
        <v>6506</v>
      </c>
      <c r="C903">
        <v>11</v>
      </c>
      <c r="D903">
        <v>307</v>
      </c>
      <c r="E903">
        <v>1091</v>
      </c>
      <c r="F903">
        <v>1036</v>
      </c>
      <c r="G903">
        <v>270</v>
      </c>
      <c r="H903" s="141">
        <v>0.01</v>
      </c>
      <c r="I903">
        <f t="shared" si="109"/>
        <v>796</v>
      </c>
      <c r="J903" s="137">
        <v>0.01</v>
      </c>
      <c r="K903">
        <f t="shared" si="106"/>
        <v>708</v>
      </c>
      <c r="L903" s="53">
        <f t="shared" si="110"/>
        <v>803</v>
      </c>
      <c r="M903" s="189">
        <v>0.79</v>
      </c>
      <c r="N903" s="186">
        <f>VLOOKUP(6506,季財報!A:M,8,0)</f>
        <v>1</v>
      </c>
    </row>
    <row r="904" spans="1:14">
      <c r="A904" s="133">
        <v>6603</v>
      </c>
      <c r="C904">
        <v>28</v>
      </c>
      <c r="D904">
        <v>1655</v>
      </c>
      <c r="E904">
        <v>1083</v>
      </c>
      <c r="F904">
        <v>1948</v>
      </c>
      <c r="G904">
        <v>534</v>
      </c>
      <c r="H904" s="141">
        <v>0.01</v>
      </c>
      <c r="I904">
        <f t="shared" si="109"/>
        <v>796</v>
      </c>
      <c r="J904" s="137">
        <v>0.01</v>
      </c>
      <c r="K904">
        <f t="shared" si="106"/>
        <v>708</v>
      </c>
      <c r="L904" s="53">
        <f t="shared" si="110"/>
        <v>803</v>
      </c>
      <c r="M904" s="189">
        <v>0.79</v>
      </c>
      <c r="N904" s="186">
        <f>VLOOKUP(6603,季財報!A:M,8,0)</f>
        <v>2</v>
      </c>
    </row>
    <row r="905" spans="1:14">
      <c r="A905" s="133">
        <v>6609</v>
      </c>
      <c r="C905">
        <v>21</v>
      </c>
      <c r="D905">
        <v>1395</v>
      </c>
      <c r="E905">
        <v>795</v>
      </c>
      <c r="F905">
        <v>1864</v>
      </c>
      <c r="G905">
        <v>370</v>
      </c>
      <c r="H905" s="141">
        <v>0.01</v>
      </c>
      <c r="I905">
        <f t="shared" si="109"/>
        <v>796</v>
      </c>
      <c r="J905" s="137">
        <v>0.01</v>
      </c>
      <c r="K905">
        <f t="shared" si="106"/>
        <v>708</v>
      </c>
      <c r="L905" s="53">
        <f t="shared" si="110"/>
        <v>803</v>
      </c>
      <c r="M905" s="189">
        <v>0.79</v>
      </c>
      <c r="N905" s="186">
        <f>VLOOKUP(6609,季財報!A:M,8,0)</f>
        <v>2</v>
      </c>
    </row>
    <row r="906" spans="1:14">
      <c r="A906" s="133">
        <v>6199</v>
      </c>
      <c r="C906">
        <v>7</v>
      </c>
      <c r="D906">
        <v>568</v>
      </c>
      <c r="E906">
        <v>8</v>
      </c>
      <c r="F906">
        <v>762</v>
      </c>
      <c r="G906">
        <v>0</v>
      </c>
      <c r="H906" s="141">
        <v>0.01</v>
      </c>
      <c r="I906">
        <f t="shared" si="109"/>
        <v>796</v>
      </c>
      <c r="J906" s="137">
        <v>0.01</v>
      </c>
      <c r="K906">
        <f t="shared" si="106"/>
        <v>708</v>
      </c>
      <c r="L906" s="53">
        <f t="shared" si="110"/>
        <v>803</v>
      </c>
      <c r="M906" s="189">
        <v>0.79</v>
      </c>
      <c r="N906" s="186">
        <f>VLOOKUP(6199,季財報!A:M,8,0)</f>
        <v>2</v>
      </c>
    </row>
    <row r="907" spans="1:14">
      <c r="A907" s="133">
        <v>6215</v>
      </c>
      <c r="C907">
        <v>10</v>
      </c>
      <c r="D907">
        <v>584</v>
      </c>
      <c r="E907">
        <v>530</v>
      </c>
      <c r="F907">
        <v>1152</v>
      </c>
      <c r="G907">
        <v>356</v>
      </c>
      <c r="H907" s="141">
        <v>0.01</v>
      </c>
      <c r="I907">
        <f t="shared" si="109"/>
        <v>796</v>
      </c>
      <c r="J907" s="137">
        <v>0.01</v>
      </c>
      <c r="K907">
        <f t="shared" si="106"/>
        <v>708</v>
      </c>
      <c r="L907" s="53">
        <f t="shared" si="110"/>
        <v>803</v>
      </c>
      <c r="M907" s="189">
        <v>0.79</v>
      </c>
      <c r="N907" s="186">
        <f>VLOOKUP(6215,季財報!A:M,8,0)</f>
        <v>1</v>
      </c>
    </row>
    <row r="908" spans="1:14">
      <c r="A908" s="133">
        <v>5255</v>
      </c>
      <c r="C908">
        <v>9</v>
      </c>
      <c r="D908">
        <v>162</v>
      </c>
      <c r="E908">
        <v>478</v>
      </c>
      <c r="F908">
        <v>645</v>
      </c>
      <c r="G908">
        <v>256</v>
      </c>
      <c r="H908" s="141">
        <v>0.01</v>
      </c>
      <c r="I908">
        <f t="shared" si="109"/>
        <v>796</v>
      </c>
      <c r="J908" s="137">
        <v>0.01</v>
      </c>
      <c r="K908">
        <f t="shared" si="106"/>
        <v>708</v>
      </c>
      <c r="L908" s="53">
        <f t="shared" si="110"/>
        <v>803</v>
      </c>
      <c r="M908" s="189">
        <v>0.79</v>
      </c>
      <c r="N908" s="186">
        <f>VLOOKUP(5255,季財報!A:M,8,0)</f>
        <v>2</v>
      </c>
    </row>
    <row r="909" spans="1:14">
      <c r="A909" s="133">
        <v>5353</v>
      </c>
      <c r="C909">
        <v>8</v>
      </c>
      <c r="D909">
        <v>790</v>
      </c>
      <c r="E909">
        <v>358</v>
      </c>
      <c r="F909">
        <v>1199</v>
      </c>
      <c r="G909">
        <v>0</v>
      </c>
      <c r="H909" s="141">
        <v>0.01</v>
      </c>
      <c r="I909">
        <f t="shared" si="109"/>
        <v>796</v>
      </c>
      <c r="J909" s="137">
        <v>0.01</v>
      </c>
      <c r="K909">
        <f t="shared" si="106"/>
        <v>708</v>
      </c>
      <c r="L909" s="53">
        <f t="shared" si="110"/>
        <v>803</v>
      </c>
      <c r="M909" s="189">
        <v>1.9</v>
      </c>
      <c r="N909" s="186">
        <f>VLOOKUP(5353,季財報!A:M,8,0)</f>
        <v>4</v>
      </c>
    </row>
    <row r="910" spans="1:14">
      <c r="A910" s="133">
        <v>5384</v>
      </c>
      <c r="C910">
        <v>8</v>
      </c>
      <c r="D910">
        <v>995</v>
      </c>
      <c r="E910">
        <v>23</v>
      </c>
      <c r="F910">
        <v>1130</v>
      </c>
      <c r="G910">
        <v>326</v>
      </c>
      <c r="H910" s="141">
        <v>0.01</v>
      </c>
      <c r="I910">
        <f t="shared" si="109"/>
        <v>796</v>
      </c>
      <c r="J910" s="137">
        <v>0.01</v>
      </c>
      <c r="K910">
        <f t="shared" si="106"/>
        <v>708</v>
      </c>
      <c r="L910" s="53">
        <f t="shared" si="110"/>
        <v>803</v>
      </c>
      <c r="M910" s="189">
        <v>3.67</v>
      </c>
      <c r="N910" s="186">
        <f>VLOOKUP(5384,季財報!A:M,8,0)</f>
        <v>0</v>
      </c>
    </row>
    <row r="911" spans="1:14">
      <c r="A911" s="133">
        <v>5432</v>
      </c>
      <c r="C911">
        <v>2</v>
      </c>
      <c r="D911">
        <v>198</v>
      </c>
      <c r="E911">
        <v>42</v>
      </c>
      <c r="F911">
        <v>264</v>
      </c>
      <c r="G911">
        <v>0</v>
      </c>
      <c r="H911" s="141">
        <v>0.01</v>
      </c>
      <c r="I911">
        <f t="shared" si="109"/>
        <v>796</v>
      </c>
      <c r="J911" s="137">
        <v>0.01</v>
      </c>
      <c r="K911">
        <f t="shared" si="106"/>
        <v>708</v>
      </c>
      <c r="L911" s="53">
        <f t="shared" si="110"/>
        <v>803</v>
      </c>
      <c r="M911" s="189">
        <v>5.24</v>
      </c>
      <c r="N911" s="186">
        <f>VLOOKUP(5432,季財報!A:M,8,0)</f>
        <v>3</v>
      </c>
    </row>
    <row r="912" spans="1:14">
      <c r="A912" s="133">
        <v>5511</v>
      </c>
      <c r="C912">
        <v>33</v>
      </c>
      <c r="D912">
        <v>2650</v>
      </c>
      <c r="E912">
        <v>82</v>
      </c>
      <c r="F912">
        <v>3221</v>
      </c>
      <c r="G912">
        <v>260</v>
      </c>
      <c r="H912" s="141">
        <v>0.01</v>
      </c>
      <c r="I912">
        <f t="shared" si="109"/>
        <v>796</v>
      </c>
      <c r="J912" s="137">
        <v>0.01</v>
      </c>
      <c r="K912">
        <f t="shared" si="106"/>
        <v>708</v>
      </c>
      <c r="L912" s="53">
        <f t="shared" si="110"/>
        <v>803</v>
      </c>
      <c r="M912" s="189">
        <v>0.79</v>
      </c>
      <c r="N912" s="186">
        <f>VLOOKUP(5511,季財報!A:M,8,0)</f>
        <v>0</v>
      </c>
    </row>
    <row r="913" spans="1:14">
      <c r="A913" s="133">
        <v>5512</v>
      </c>
      <c r="C913">
        <v>151</v>
      </c>
      <c r="D913">
        <v>8731</v>
      </c>
      <c r="E913">
        <v>2010</v>
      </c>
      <c r="F913">
        <v>15674</v>
      </c>
      <c r="G913">
        <v>10896</v>
      </c>
      <c r="H913" s="141">
        <v>0.01</v>
      </c>
      <c r="I913">
        <f t="shared" si="109"/>
        <v>796</v>
      </c>
      <c r="J913" s="137">
        <v>0.01</v>
      </c>
      <c r="K913">
        <f t="shared" si="106"/>
        <v>708</v>
      </c>
      <c r="L913" s="53">
        <f t="shared" si="110"/>
        <v>803</v>
      </c>
      <c r="M913" s="189">
        <v>1.9</v>
      </c>
      <c r="N913" s="186">
        <f>VLOOKUP(5512,季財報!A:M,8,0)</f>
        <v>0</v>
      </c>
    </row>
    <row r="914" spans="1:14">
      <c r="A914" s="133">
        <v>4207</v>
      </c>
      <c r="C914">
        <v>25</v>
      </c>
      <c r="D914">
        <v>311</v>
      </c>
      <c r="E914">
        <v>1861</v>
      </c>
      <c r="F914">
        <v>2285</v>
      </c>
      <c r="G914">
        <v>998</v>
      </c>
      <c r="H914" s="141">
        <v>0.01</v>
      </c>
      <c r="I914">
        <f t="shared" si="109"/>
        <v>796</v>
      </c>
      <c r="J914" s="137">
        <v>0.01</v>
      </c>
      <c r="K914">
        <f t="shared" si="106"/>
        <v>708</v>
      </c>
      <c r="L914" s="53">
        <f t="shared" si="110"/>
        <v>803</v>
      </c>
      <c r="M914" s="189">
        <v>1.9</v>
      </c>
      <c r="N914" s="186">
        <f>VLOOKUP(4207,季財報!A:M,8,0)</f>
        <v>1</v>
      </c>
    </row>
    <row r="915" spans="1:14">
      <c r="A915" s="133">
        <v>4306</v>
      </c>
      <c r="C915">
        <v>172</v>
      </c>
      <c r="D915">
        <v>3009</v>
      </c>
      <c r="E915">
        <v>17118</v>
      </c>
      <c r="F915">
        <v>12511</v>
      </c>
      <c r="G915">
        <v>10707</v>
      </c>
      <c r="H915" s="141">
        <v>0.01</v>
      </c>
      <c r="I915">
        <f t="shared" si="109"/>
        <v>796</v>
      </c>
      <c r="J915" s="137">
        <v>0.01</v>
      </c>
      <c r="K915">
        <f t="shared" si="106"/>
        <v>708</v>
      </c>
      <c r="L915" s="53">
        <f t="shared" si="110"/>
        <v>803</v>
      </c>
      <c r="M915" s="189">
        <v>0.79</v>
      </c>
      <c r="N915" s="186">
        <f>VLOOKUP(4306,季財報!A:M,8,0)</f>
        <v>0</v>
      </c>
    </row>
    <row r="916" spans="1:14">
      <c r="A916" s="133">
        <v>4513</v>
      </c>
      <c r="C916">
        <v>14</v>
      </c>
      <c r="D916">
        <v>1180</v>
      </c>
      <c r="E916">
        <v>593</v>
      </c>
      <c r="F916">
        <v>1214</v>
      </c>
      <c r="G916">
        <v>442</v>
      </c>
      <c r="H916" s="141">
        <v>0.01</v>
      </c>
      <c r="I916">
        <f t="shared" si="109"/>
        <v>796</v>
      </c>
      <c r="J916" s="137">
        <v>0.01</v>
      </c>
      <c r="K916">
        <f t="shared" si="106"/>
        <v>708</v>
      </c>
      <c r="L916" s="53">
        <f t="shared" si="110"/>
        <v>803</v>
      </c>
      <c r="M916" s="189">
        <v>3.37</v>
      </c>
      <c r="N916" s="186">
        <f>VLOOKUP(4513,季財報!A:M,8,0)</f>
        <v>3</v>
      </c>
    </row>
    <row r="917" spans="1:14">
      <c r="A917" s="133">
        <v>4714</v>
      </c>
      <c r="C917">
        <v>9</v>
      </c>
      <c r="D917">
        <v>502</v>
      </c>
      <c r="E917">
        <v>222</v>
      </c>
      <c r="F917">
        <v>855</v>
      </c>
      <c r="G917">
        <v>0</v>
      </c>
      <c r="H917" s="141">
        <v>0.01</v>
      </c>
      <c r="I917">
        <f t="shared" si="109"/>
        <v>796</v>
      </c>
      <c r="J917" s="137">
        <v>0.01</v>
      </c>
      <c r="K917">
        <f t="shared" si="106"/>
        <v>708</v>
      </c>
      <c r="L917" s="53">
        <f t="shared" si="110"/>
        <v>803</v>
      </c>
      <c r="M917" s="189">
        <v>1.36</v>
      </c>
      <c r="N917" s="186">
        <f>VLOOKUP(4714,季財報!A:M,8,0)</f>
        <v>2</v>
      </c>
    </row>
    <row r="918" spans="1:14">
      <c r="A918" s="133">
        <v>4729</v>
      </c>
      <c r="C918">
        <v>25</v>
      </c>
      <c r="D918">
        <v>407</v>
      </c>
      <c r="E918">
        <v>1657</v>
      </c>
      <c r="F918">
        <v>1380</v>
      </c>
      <c r="G918">
        <v>700</v>
      </c>
      <c r="H918" s="141">
        <v>0.01</v>
      </c>
      <c r="I918">
        <f t="shared" si="109"/>
        <v>796</v>
      </c>
      <c r="J918" s="137">
        <v>0.01</v>
      </c>
      <c r="K918">
        <f t="shared" si="106"/>
        <v>708</v>
      </c>
      <c r="L918" s="53">
        <f t="shared" si="110"/>
        <v>803</v>
      </c>
      <c r="M918" s="189">
        <v>0.79</v>
      </c>
      <c r="N918" s="186">
        <f>VLOOKUP(4729,季財報!A:M,8,0)</f>
        <v>2</v>
      </c>
    </row>
    <row r="919" spans="1:14">
      <c r="A919" s="133">
        <v>4908</v>
      </c>
      <c r="C919">
        <v>11</v>
      </c>
      <c r="D919">
        <v>786</v>
      </c>
      <c r="E919">
        <v>355</v>
      </c>
      <c r="F919">
        <v>1164</v>
      </c>
      <c r="G919">
        <v>0</v>
      </c>
      <c r="H919" s="141">
        <v>0.01</v>
      </c>
      <c r="I919">
        <f t="shared" si="109"/>
        <v>796</v>
      </c>
      <c r="J919" s="137">
        <v>0.01</v>
      </c>
      <c r="K919">
        <f t="shared" si="106"/>
        <v>708</v>
      </c>
      <c r="L919" s="53">
        <f t="shared" si="110"/>
        <v>803</v>
      </c>
      <c r="M919" s="189">
        <v>0.79</v>
      </c>
      <c r="N919" s="186">
        <f>VLOOKUP(4908,季財報!A:M,8,0)</f>
        <v>3</v>
      </c>
    </row>
    <row r="920" spans="1:14">
      <c r="A920" s="133">
        <v>4933</v>
      </c>
      <c r="C920">
        <v>29</v>
      </c>
      <c r="D920">
        <v>1584</v>
      </c>
      <c r="E920">
        <v>1158</v>
      </c>
      <c r="F920">
        <v>2802</v>
      </c>
      <c r="G920">
        <v>966</v>
      </c>
      <c r="H920" s="141">
        <v>0.01</v>
      </c>
      <c r="I920">
        <f t="shared" si="109"/>
        <v>796</v>
      </c>
      <c r="J920" s="137">
        <v>0.01</v>
      </c>
      <c r="K920">
        <f t="shared" si="106"/>
        <v>708</v>
      </c>
      <c r="L920" s="53">
        <f t="shared" si="110"/>
        <v>803</v>
      </c>
      <c r="M920" s="189">
        <v>0.79</v>
      </c>
      <c r="N920" s="186">
        <f>VLOOKUP(4933,季財報!A:M,8,0)</f>
        <v>3</v>
      </c>
    </row>
    <row r="921" spans="1:14">
      <c r="A921" s="133">
        <v>4960</v>
      </c>
      <c r="C921">
        <v>148</v>
      </c>
      <c r="D921">
        <v>5810</v>
      </c>
      <c r="E921">
        <v>6424</v>
      </c>
      <c r="F921">
        <v>12987</v>
      </c>
      <c r="G921">
        <v>2499</v>
      </c>
      <c r="H921" s="141">
        <v>0.01</v>
      </c>
      <c r="I921">
        <f t="shared" si="109"/>
        <v>796</v>
      </c>
      <c r="J921" s="137">
        <v>0.01</v>
      </c>
      <c r="K921">
        <f t="shared" si="106"/>
        <v>708</v>
      </c>
      <c r="L921" s="53">
        <f t="shared" si="110"/>
        <v>803</v>
      </c>
      <c r="M921" s="189">
        <v>0.79</v>
      </c>
      <c r="N921" s="186">
        <f>VLOOKUP(4960,季財報!A:M,8,0)</f>
        <v>2</v>
      </c>
    </row>
    <row r="922" spans="1:14">
      <c r="A922" s="133">
        <v>1325</v>
      </c>
      <c r="C922">
        <v>17</v>
      </c>
      <c r="D922">
        <v>1028</v>
      </c>
      <c r="E922">
        <v>911</v>
      </c>
      <c r="F922">
        <v>1932</v>
      </c>
      <c r="G922">
        <v>1</v>
      </c>
      <c r="H922" s="141">
        <v>0.01</v>
      </c>
      <c r="I922">
        <f t="shared" si="109"/>
        <v>796</v>
      </c>
      <c r="J922" s="137">
        <v>0.01</v>
      </c>
      <c r="K922">
        <f t="shared" si="106"/>
        <v>708</v>
      </c>
      <c r="L922" s="53">
        <f t="shared" si="110"/>
        <v>803</v>
      </c>
      <c r="M922" s="189">
        <v>0.79</v>
      </c>
      <c r="N922" s="186">
        <f>VLOOKUP(1325,季財報!A:M,8,0)</f>
        <v>3</v>
      </c>
    </row>
    <row r="923" spans="1:14">
      <c r="A923" s="133">
        <v>1445</v>
      </c>
      <c r="C923">
        <v>16</v>
      </c>
      <c r="D923">
        <v>965</v>
      </c>
      <c r="E923">
        <v>942</v>
      </c>
      <c r="F923">
        <v>1954</v>
      </c>
      <c r="G923">
        <v>0</v>
      </c>
      <c r="H923" s="141">
        <v>0.01</v>
      </c>
      <c r="I923">
        <f t="shared" si="109"/>
        <v>796</v>
      </c>
      <c r="J923" s="137">
        <v>0.01</v>
      </c>
      <c r="K923">
        <f t="shared" si="106"/>
        <v>708</v>
      </c>
      <c r="L923" s="53">
        <f t="shared" si="110"/>
        <v>803</v>
      </c>
      <c r="M923" s="189">
        <v>0.79</v>
      </c>
      <c r="N923" s="186">
        <f>VLOOKUP(1445,季財報!A:M,8,0)</f>
        <v>2</v>
      </c>
    </row>
    <row r="924" spans="1:14">
      <c r="A924" s="133">
        <v>1506</v>
      </c>
      <c r="C924">
        <v>12</v>
      </c>
      <c r="D924">
        <v>1071</v>
      </c>
      <c r="E924">
        <v>1082</v>
      </c>
      <c r="F924">
        <v>1356</v>
      </c>
      <c r="G924">
        <v>92</v>
      </c>
      <c r="H924" s="141">
        <v>0.01</v>
      </c>
      <c r="I924">
        <f t="shared" si="109"/>
        <v>796</v>
      </c>
      <c r="J924" s="137">
        <v>0.01</v>
      </c>
      <c r="K924">
        <f t="shared" si="106"/>
        <v>708</v>
      </c>
      <c r="L924" s="53">
        <f t="shared" si="110"/>
        <v>803</v>
      </c>
      <c r="M924" s="189">
        <v>1.9</v>
      </c>
      <c r="N924" s="186">
        <f>VLOOKUP(1506,季財報!A:M,8,0)</f>
        <v>3</v>
      </c>
    </row>
    <row r="925" spans="1:14">
      <c r="A925" s="133">
        <v>1514</v>
      </c>
      <c r="C925">
        <v>33</v>
      </c>
      <c r="D925">
        <v>1241</v>
      </c>
      <c r="E925">
        <v>1001</v>
      </c>
      <c r="F925">
        <v>2753</v>
      </c>
      <c r="G925">
        <v>666</v>
      </c>
      <c r="H925" s="141">
        <v>0.01</v>
      </c>
      <c r="I925">
        <f t="shared" si="109"/>
        <v>796</v>
      </c>
      <c r="J925" s="137">
        <v>0.01</v>
      </c>
      <c r="K925">
        <f t="shared" si="106"/>
        <v>708</v>
      </c>
      <c r="L925" s="53">
        <f t="shared" si="110"/>
        <v>803</v>
      </c>
      <c r="M925" s="189">
        <v>0.79</v>
      </c>
      <c r="N925" s="186">
        <f>VLOOKUP(1514,季財報!A:M,8,0)</f>
        <v>3</v>
      </c>
    </row>
    <row r="926" spans="1:14">
      <c r="A926" s="133">
        <v>1603</v>
      </c>
      <c r="C926">
        <v>38</v>
      </c>
      <c r="D926">
        <v>628</v>
      </c>
      <c r="E926">
        <v>3156</v>
      </c>
      <c r="F926">
        <v>5124</v>
      </c>
      <c r="G926">
        <v>1548</v>
      </c>
      <c r="H926" s="141">
        <v>0.01</v>
      </c>
      <c r="I926">
        <f t="shared" si="109"/>
        <v>796</v>
      </c>
      <c r="J926" s="137">
        <v>0.01</v>
      </c>
      <c r="K926">
        <f t="shared" si="106"/>
        <v>708</v>
      </c>
      <c r="L926" s="53">
        <f t="shared" si="110"/>
        <v>803</v>
      </c>
      <c r="M926" s="189">
        <v>12.98</v>
      </c>
      <c r="N926" s="186">
        <f>VLOOKUP(1603,季財報!A:M,8,0)</f>
        <v>1</v>
      </c>
    </row>
    <row r="927" spans="1:14">
      <c r="A927" s="133">
        <v>1618</v>
      </c>
      <c r="C927">
        <v>27</v>
      </c>
      <c r="D927">
        <v>1676</v>
      </c>
      <c r="E927">
        <v>1261</v>
      </c>
      <c r="F927">
        <v>3871</v>
      </c>
      <c r="G927">
        <v>0</v>
      </c>
      <c r="H927" s="141">
        <v>0.01</v>
      </c>
      <c r="I927">
        <f t="shared" si="109"/>
        <v>796</v>
      </c>
      <c r="J927" s="137">
        <v>0.01</v>
      </c>
      <c r="K927">
        <f t="shared" si="106"/>
        <v>708</v>
      </c>
      <c r="L927" s="53">
        <f t="shared" si="110"/>
        <v>803</v>
      </c>
      <c r="M927" s="189">
        <v>0.79</v>
      </c>
      <c r="N927" s="186">
        <f>VLOOKUP(1618,季財報!A:M,8,0)</f>
        <v>3</v>
      </c>
    </row>
    <row r="928" spans="1:14">
      <c r="A928" s="133">
        <v>1710</v>
      </c>
      <c r="C928">
        <v>136</v>
      </c>
      <c r="D928">
        <v>346</v>
      </c>
      <c r="E928">
        <v>17107</v>
      </c>
      <c r="F928">
        <v>18519</v>
      </c>
      <c r="G928">
        <v>4218</v>
      </c>
      <c r="H928" s="141">
        <v>0.01</v>
      </c>
      <c r="I928">
        <f t="shared" si="109"/>
        <v>796</v>
      </c>
      <c r="J928" s="137">
        <v>0.01</v>
      </c>
      <c r="K928">
        <f t="shared" si="106"/>
        <v>708</v>
      </c>
      <c r="L928" s="53">
        <f t="shared" si="110"/>
        <v>803</v>
      </c>
      <c r="M928" s="189">
        <v>1.01</v>
      </c>
      <c r="N928" s="186">
        <f>VLOOKUP(1710,季財報!A:M,8,0)</f>
        <v>0</v>
      </c>
    </row>
    <row r="929" spans="1:14">
      <c r="A929" s="133">
        <v>1715</v>
      </c>
      <c r="C929">
        <v>95</v>
      </c>
      <c r="D929">
        <v>2708</v>
      </c>
      <c r="E929">
        <v>6018</v>
      </c>
      <c r="F929">
        <v>7909</v>
      </c>
      <c r="G929">
        <v>2793</v>
      </c>
      <c r="H929" s="141">
        <v>0.01</v>
      </c>
      <c r="I929">
        <f t="shared" si="109"/>
        <v>796</v>
      </c>
      <c r="J929" s="137">
        <v>0.01</v>
      </c>
      <c r="K929">
        <f t="shared" si="106"/>
        <v>708</v>
      </c>
      <c r="L929" s="53">
        <f t="shared" si="110"/>
        <v>803</v>
      </c>
      <c r="M929" s="189">
        <v>0.79</v>
      </c>
      <c r="N929" s="186">
        <f>VLOOKUP(1715,季財報!A:M,8,0)</f>
        <v>5</v>
      </c>
    </row>
    <row r="930" spans="1:14">
      <c r="A930" s="133">
        <v>1904</v>
      </c>
      <c r="C930">
        <v>474</v>
      </c>
      <c r="D930">
        <v>850</v>
      </c>
      <c r="E930">
        <v>32065</v>
      </c>
      <c r="F930">
        <v>23699</v>
      </c>
      <c r="G930">
        <v>11894</v>
      </c>
      <c r="H930" s="141">
        <v>0.01</v>
      </c>
      <c r="I930">
        <f t="shared" si="109"/>
        <v>796</v>
      </c>
      <c r="J930" s="137">
        <v>0.01</v>
      </c>
      <c r="K930">
        <f t="shared" ref="K930:K945" si="111">RANK(0.01,J:J,0)</f>
        <v>708</v>
      </c>
      <c r="L930" s="53">
        <f t="shared" si="110"/>
        <v>803</v>
      </c>
      <c r="M930" s="189">
        <v>1.36</v>
      </c>
      <c r="N930" s="186">
        <f>VLOOKUP(1904,季財報!A:M,8,0)</f>
        <v>1</v>
      </c>
    </row>
    <row r="931" spans="1:14">
      <c r="A931" s="133">
        <v>1905</v>
      </c>
      <c r="C931">
        <v>235</v>
      </c>
      <c r="D931">
        <v>5618</v>
      </c>
      <c r="E931">
        <v>12641</v>
      </c>
      <c r="F931">
        <v>18995</v>
      </c>
      <c r="G931">
        <v>3563</v>
      </c>
      <c r="H931" s="141">
        <v>0.01</v>
      </c>
      <c r="I931">
        <f t="shared" si="109"/>
        <v>796</v>
      </c>
      <c r="J931" s="137">
        <v>0.01</v>
      </c>
      <c r="K931">
        <f t="shared" si="111"/>
        <v>708</v>
      </c>
      <c r="L931" s="53">
        <f t="shared" si="110"/>
        <v>803</v>
      </c>
      <c r="M931" s="189">
        <v>7.07</v>
      </c>
      <c r="N931" s="186">
        <f>VLOOKUP(1905,季財報!A:M,8,0)</f>
        <v>4</v>
      </c>
    </row>
    <row r="932" spans="1:14">
      <c r="A932" s="133">
        <v>1907</v>
      </c>
      <c r="C932">
        <v>700</v>
      </c>
      <c r="D932">
        <v>3532</v>
      </c>
      <c r="E932">
        <v>46401</v>
      </c>
      <c r="F932">
        <v>46126</v>
      </c>
      <c r="G932">
        <v>22250</v>
      </c>
      <c r="H932" s="141">
        <v>0.01</v>
      </c>
      <c r="I932">
        <f t="shared" ref="I932:I945" si="112">RANK(0.01,H:H,0)</f>
        <v>796</v>
      </c>
      <c r="J932" s="137">
        <v>0.01</v>
      </c>
      <c r="K932">
        <f t="shared" si="111"/>
        <v>708</v>
      </c>
      <c r="L932" s="53">
        <f t="shared" ref="L932:L945" si="113">RANK(1.01,M:M,0)</f>
        <v>803</v>
      </c>
      <c r="M932" s="189">
        <v>0.79</v>
      </c>
      <c r="N932" s="186">
        <f>VLOOKUP(1907,季財報!A:M,8,0)</f>
        <v>2</v>
      </c>
    </row>
    <row r="933" spans="1:14">
      <c r="A933" s="133">
        <v>2017</v>
      </c>
      <c r="C933">
        <v>48</v>
      </c>
      <c r="D933">
        <v>0</v>
      </c>
      <c r="E933">
        <v>3307</v>
      </c>
      <c r="F933">
        <v>4969</v>
      </c>
      <c r="G933">
        <v>2671</v>
      </c>
      <c r="H933" s="141">
        <v>0.01</v>
      </c>
      <c r="I933">
        <f t="shared" si="112"/>
        <v>796</v>
      </c>
      <c r="J933" s="137">
        <v>0.01</v>
      </c>
      <c r="K933">
        <f t="shared" si="111"/>
        <v>708</v>
      </c>
      <c r="L933" s="53">
        <f t="shared" si="113"/>
        <v>803</v>
      </c>
      <c r="M933" s="189">
        <v>0.79</v>
      </c>
      <c r="N933" s="186">
        <f>VLOOKUP(2017,季財報!A:M,8,0)</f>
        <v>1</v>
      </c>
    </row>
    <row r="934" spans="1:14">
      <c r="A934" s="133">
        <v>2064</v>
      </c>
      <c r="C934">
        <v>13</v>
      </c>
      <c r="D934">
        <v>629</v>
      </c>
      <c r="E934">
        <v>783</v>
      </c>
      <c r="F934">
        <v>1445</v>
      </c>
      <c r="G934">
        <v>822</v>
      </c>
      <c r="H934" s="141">
        <v>0.01</v>
      </c>
      <c r="I934">
        <f t="shared" si="112"/>
        <v>796</v>
      </c>
      <c r="J934" s="137">
        <v>0.01</v>
      </c>
      <c r="K934">
        <f t="shared" si="111"/>
        <v>708</v>
      </c>
      <c r="L934" s="53">
        <f t="shared" si="113"/>
        <v>803</v>
      </c>
      <c r="M934" s="189">
        <v>6.36</v>
      </c>
      <c r="N934" s="186">
        <f>VLOOKUP(2064,季財報!A:M,8,0)</f>
        <v>2</v>
      </c>
    </row>
    <row r="935" spans="1:14">
      <c r="A935" s="133">
        <v>2601</v>
      </c>
      <c r="C935">
        <v>201</v>
      </c>
      <c r="D935">
        <v>53</v>
      </c>
      <c r="E935">
        <v>14375</v>
      </c>
      <c r="F935">
        <v>13502</v>
      </c>
      <c r="G935">
        <v>7806</v>
      </c>
      <c r="H935" s="141">
        <v>0.01</v>
      </c>
      <c r="I935">
        <f t="shared" si="112"/>
        <v>796</v>
      </c>
      <c r="J935" s="137">
        <v>0.01</v>
      </c>
      <c r="K935">
        <f t="shared" si="111"/>
        <v>708</v>
      </c>
      <c r="L935" s="53">
        <f t="shared" si="113"/>
        <v>803</v>
      </c>
      <c r="M935" s="189">
        <v>0.79</v>
      </c>
      <c r="N935" s="186">
        <f>VLOOKUP(2601,季財報!A:M,8,0)</f>
        <v>0</v>
      </c>
    </row>
    <row r="936" spans="1:14">
      <c r="A936" s="133">
        <v>2705</v>
      </c>
      <c r="C936">
        <v>50</v>
      </c>
      <c r="D936">
        <v>0</v>
      </c>
      <c r="E936">
        <v>7354</v>
      </c>
      <c r="F936">
        <v>5055</v>
      </c>
      <c r="G936">
        <v>2121</v>
      </c>
      <c r="H936" s="141">
        <v>0.01</v>
      </c>
      <c r="I936">
        <f t="shared" si="112"/>
        <v>796</v>
      </c>
      <c r="J936" s="137">
        <v>0.01</v>
      </c>
      <c r="K936">
        <f t="shared" si="111"/>
        <v>708</v>
      </c>
      <c r="L936" s="53">
        <f t="shared" si="113"/>
        <v>803</v>
      </c>
      <c r="M936" s="189">
        <v>0.79</v>
      </c>
      <c r="N936" s="186">
        <f>VLOOKUP(2705,季財報!A:M,8,0)</f>
        <v>2</v>
      </c>
    </row>
    <row r="937" spans="1:14">
      <c r="A937" s="133">
        <v>2903</v>
      </c>
      <c r="C937">
        <v>360</v>
      </c>
      <c r="D937">
        <v>0</v>
      </c>
      <c r="E937">
        <v>46081</v>
      </c>
      <c r="F937">
        <v>36993</v>
      </c>
      <c r="G937">
        <v>11937</v>
      </c>
      <c r="H937" s="141">
        <v>0.01</v>
      </c>
      <c r="I937">
        <f t="shared" si="112"/>
        <v>796</v>
      </c>
      <c r="J937" s="137">
        <v>0.01</v>
      </c>
      <c r="K937">
        <f t="shared" si="111"/>
        <v>708</v>
      </c>
      <c r="L937" s="53">
        <f t="shared" si="113"/>
        <v>803</v>
      </c>
      <c r="M937" s="189">
        <v>0.79</v>
      </c>
      <c r="N937" s="186">
        <f>VLOOKUP(2903,季財報!A:M,8,0)</f>
        <v>2</v>
      </c>
    </row>
    <row r="938" spans="1:14">
      <c r="A938" s="133">
        <v>3164</v>
      </c>
      <c r="C938">
        <v>12</v>
      </c>
      <c r="D938">
        <v>290</v>
      </c>
      <c r="E938">
        <v>895</v>
      </c>
      <c r="F938">
        <v>1551</v>
      </c>
      <c r="G938">
        <v>0</v>
      </c>
      <c r="H938" s="141">
        <v>0.01</v>
      </c>
      <c r="I938">
        <f t="shared" si="112"/>
        <v>796</v>
      </c>
      <c r="J938" s="137">
        <v>0.01</v>
      </c>
      <c r="K938">
        <f t="shared" si="111"/>
        <v>708</v>
      </c>
      <c r="L938" s="53">
        <f t="shared" si="113"/>
        <v>803</v>
      </c>
      <c r="M938" s="189">
        <v>0.79</v>
      </c>
      <c r="N938" s="186">
        <f>VLOOKUP(3164,季財報!A:M,8,0)</f>
        <v>3</v>
      </c>
    </row>
    <row r="939" spans="1:14">
      <c r="A939" s="133">
        <v>3224</v>
      </c>
      <c r="C939">
        <v>6</v>
      </c>
      <c r="D939">
        <v>416</v>
      </c>
      <c r="E939">
        <v>59</v>
      </c>
      <c r="F939">
        <v>528</v>
      </c>
      <c r="G939">
        <v>166</v>
      </c>
      <c r="H939" s="141">
        <v>0.01</v>
      </c>
      <c r="I939">
        <f t="shared" si="112"/>
        <v>796</v>
      </c>
      <c r="J939" s="137">
        <v>0.01</v>
      </c>
      <c r="K939">
        <f t="shared" si="111"/>
        <v>708</v>
      </c>
      <c r="L939" s="53">
        <f t="shared" si="113"/>
        <v>803</v>
      </c>
      <c r="M939" s="189">
        <v>1.1399999999999999</v>
      </c>
      <c r="N939" s="186">
        <f>VLOOKUP(3224,季財報!A:M,8,0)</f>
        <v>2</v>
      </c>
    </row>
    <row r="940" spans="1:14">
      <c r="A940" s="133">
        <v>3227</v>
      </c>
      <c r="C940">
        <v>48</v>
      </c>
      <c r="D940">
        <v>4100</v>
      </c>
      <c r="E940">
        <v>242</v>
      </c>
      <c r="F940">
        <v>5324</v>
      </c>
      <c r="G940">
        <v>253</v>
      </c>
      <c r="H940" s="141">
        <v>0.01</v>
      </c>
      <c r="I940">
        <f t="shared" si="112"/>
        <v>796</v>
      </c>
      <c r="J940" s="137">
        <v>0.01</v>
      </c>
      <c r="K940">
        <f t="shared" si="111"/>
        <v>708</v>
      </c>
      <c r="L940" s="53">
        <f t="shared" si="113"/>
        <v>803</v>
      </c>
      <c r="M940" s="189">
        <v>0.79</v>
      </c>
      <c r="N940" s="186">
        <f>VLOOKUP(3227,季財報!A:M,8,0)</f>
        <v>3</v>
      </c>
    </row>
    <row r="941" spans="1:14">
      <c r="A941" s="133">
        <v>3236</v>
      </c>
      <c r="C941">
        <v>8</v>
      </c>
      <c r="D941">
        <v>509</v>
      </c>
      <c r="E941">
        <v>313</v>
      </c>
      <c r="F941">
        <v>792</v>
      </c>
      <c r="G941">
        <v>162</v>
      </c>
      <c r="H941" s="141">
        <v>0.01</v>
      </c>
      <c r="I941">
        <f t="shared" si="112"/>
        <v>796</v>
      </c>
      <c r="J941" s="137">
        <v>0.01</v>
      </c>
      <c r="K941">
        <f t="shared" si="111"/>
        <v>708</v>
      </c>
      <c r="L941" s="53">
        <f t="shared" si="113"/>
        <v>803</v>
      </c>
      <c r="M941" s="189">
        <v>0.79</v>
      </c>
      <c r="N941" s="186">
        <f>VLOOKUP(3236,季財報!A:M,8,0)</f>
        <v>6</v>
      </c>
    </row>
    <row r="942" spans="1:14">
      <c r="A942" s="133">
        <v>3290</v>
      </c>
      <c r="C942">
        <v>21</v>
      </c>
      <c r="D942">
        <v>890</v>
      </c>
      <c r="E942">
        <v>997</v>
      </c>
      <c r="F942">
        <v>1739</v>
      </c>
      <c r="G942">
        <v>759</v>
      </c>
      <c r="H942" s="141">
        <v>0.01</v>
      </c>
      <c r="I942">
        <f t="shared" si="112"/>
        <v>796</v>
      </c>
      <c r="J942" s="137">
        <v>0.01</v>
      </c>
      <c r="K942">
        <f t="shared" si="111"/>
        <v>708</v>
      </c>
      <c r="L942" s="53">
        <f t="shared" si="113"/>
        <v>803</v>
      </c>
      <c r="M942" s="189">
        <v>2.72</v>
      </c>
      <c r="N942" s="186">
        <f>VLOOKUP(3290,季財報!A:M,8,0)</f>
        <v>1</v>
      </c>
    </row>
    <row r="943" spans="1:14">
      <c r="A943" s="133">
        <v>3605</v>
      </c>
      <c r="C943">
        <v>48</v>
      </c>
      <c r="D943">
        <v>1624</v>
      </c>
      <c r="E943">
        <v>2162</v>
      </c>
      <c r="F943">
        <v>4143</v>
      </c>
      <c r="G943">
        <v>979</v>
      </c>
      <c r="H943" s="141">
        <v>0.01</v>
      </c>
      <c r="I943">
        <f t="shared" si="112"/>
        <v>796</v>
      </c>
      <c r="J943" s="137">
        <v>0.01</v>
      </c>
      <c r="K943">
        <f t="shared" si="111"/>
        <v>708</v>
      </c>
      <c r="L943" s="53">
        <f t="shared" si="113"/>
        <v>803</v>
      </c>
      <c r="M943" s="189">
        <v>0.79</v>
      </c>
      <c r="N943" s="186">
        <f>VLOOKUP(3605,季財報!A:M,8,0)</f>
        <v>4</v>
      </c>
    </row>
    <row r="944" spans="1:14">
      <c r="A944" s="133">
        <v>3615</v>
      </c>
      <c r="C944">
        <v>20</v>
      </c>
      <c r="D944">
        <v>758</v>
      </c>
      <c r="E944">
        <v>1764</v>
      </c>
      <c r="F944">
        <v>2617</v>
      </c>
      <c r="G944">
        <v>106</v>
      </c>
      <c r="H944" s="141">
        <v>0.01</v>
      </c>
      <c r="I944">
        <f t="shared" si="112"/>
        <v>796</v>
      </c>
      <c r="J944" s="137">
        <v>0.01</v>
      </c>
      <c r="K944">
        <f t="shared" si="111"/>
        <v>708</v>
      </c>
      <c r="L944" s="53">
        <f t="shared" si="113"/>
        <v>803</v>
      </c>
      <c r="M944" s="189">
        <v>22.67</v>
      </c>
      <c r="N944" s="186">
        <f>VLOOKUP(3615,季財報!A:M,8,0)</f>
        <v>4</v>
      </c>
    </row>
    <row r="945" spans="1:14">
      <c r="A945" s="133">
        <v>5426</v>
      </c>
      <c r="C945">
        <v>24</v>
      </c>
      <c r="D945">
        <v>1113</v>
      </c>
      <c r="E945">
        <v>1117</v>
      </c>
      <c r="F945">
        <v>2273</v>
      </c>
      <c r="G945">
        <v>0</v>
      </c>
      <c r="H945" s="141">
        <v>0.01</v>
      </c>
      <c r="I945">
        <f t="shared" si="112"/>
        <v>796</v>
      </c>
      <c r="J945" s="137">
        <v>0.01</v>
      </c>
      <c r="K945">
        <f t="shared" si="111"/>
        <v>708</v>
      </c>
      <c r="L945" s="53">
        <f t="shared" si="113"/>
        <v>803</v>
      </c>
      <c r="M945" s="189">
        <v>0.79</v>
      </c>
      <c r="N945" s="186">
        <f>VLOOKUP(5426,季財報!A:M,8,0)</f>
        <v>2</v>
      </c>
    </row>
    <row r="946" spans="1:14">
      <c r="A946" s="133">
        <v>2913</v>
      </c>
      <c r="C946">
        <v>58</v>
      </c>
      <c r="D946">
        <v>2016</v>
      </c>
      <c r="E946">
        <v>858</v>
      </c>
      <c r="F946">
        <v>16070</v>
      </c>
      <c r="G946">
        <v>96</v>
      </c>
      <c r="H946" s="141">
        <v>0.02</v>
      </c>
      <c r="I946">
        <f>RANK(0.02,H:H,0)</f>
        <v>619</v>
      </c>
      <c r="J946" s="137">
        <v>0</v>
      </c>
      <c r="K946">
        <f>RANK(0,J:J,0)</f>
        <v>945</v>
      </c>
      <c r="L946" s="53">
        <f>RANK(0.97,M:M,0)</f>
        <v>945</v>
      </c>
      <c r="M946" s="189">
        <v>0.79</v>
      </c>
      <c r="N946" s="186">
        <f>VLOOKUP(2913,季財報!A:M,8,0)</f>
        <v>1</v>
      </c>
    </row>
    <row r="947" spans="1:14">
      <c r="A947" s="133">
        <v>2312</v>
      </c>
      <c r="C947">
        <v>132</v>
      </c>
      <c r="D947">
        <v>0</v>
      </c>
      <c r="E947">
        <v>6798</v>
      </c>
      <c r="F947">
        <v>17093</v>
      </c>
      <c r="G947">
        <v>12226</v>
      </c>
      <c r="H947" s="141">
        <v>0.02</v>
      </c>
      <c r="I947">
        <f>RANK(0.02,H:H,0)</f>
        <v>619</v>
      </c>
      <c r="J947" s="137">
        <v>0</v>
      </c>
      <c r="K947">
        <f>RANK(0,J:J,0)</f>
        <v>945</v>
      </c>
      <c r="L947" s="53">
        <f>RANK(0.97,M:M,0)</f>
        <v>945</v>
      </c>
      <c r="M947" s="189">
        <v>0.79</v>
      </c>
      <c r="N947" s="186">
        <f>VLOOKUP(2312,季財報!A:M,8,0)</f>
        <v>1</v>
      </c>
    </row>
    <row r="948" spans="1:14">
      <c r="A948" s="133">
        <v>6180</v>
      </c>
      <c r="C948">
        <v>18</v>
      </c>
      <c r="D948">
        <v>855</v>
      </c>
      <c r="E948">
        <v>2797</v>
      </c>
      <c r="F948">
        <v>2885</v>
      </c>
      <c r="G948">
        <v>501</v>
      </c>
      <c r="H948" s="141">
        <v>0</v>
      </c>
      <c r="I948">
        <f>RANK(0,H:H,0)</f>
        <v>979</v>
      </c>
      <c r="J948" s="137">
        <v>0.01</v>
      </c>
      <c r="K948">
        <f>RANK(0.01,J:J,0)</f>
        <v>708</v>
      </c>
      <c r="L948" s="53">
        <f>RANK(0.9,M:M,0)</f>
        <v>947</v>
      </c>
      <c r="M948" s="189">
        <v>0.79</v>
      </c>
      <c r="N948" s="186">
        <f>VLOOKUP(6180,季財報!A:M,8,0)</f>
        <v>2</v>
      </c>
    </row>
    <row r="949" spans="1:14">
      <c r="A949" s="133">
        <v>1236</v>
      </c>
      <c r="C949">
        <v>10</v>
      </c>
      <c r="D949">
        <v>214</v>
      </c>
      <c r="E949">
        <v>1844</v>
      </c>
      <c r="F949">
        <v>1655</v>
      </c>
      <c r="G949">
        <v>150</v>
      </c>
      <c r="H949" s="141">
        <v>0</v>
      </c>
      <c r="I949">
        <f>RANK(0,H:H,0)</f>
        <v>979</v>
      </c>
      <c r="J949" s="137">
        <v>0.01</v>
      </c>
      <c r="K949">
        <f>RANK(0.01,J:J,0)</f>
        <v>708</v>
      </c>
      <c r="L949" s="53">
        <f>RANK(0.9,M:M,0)</f>
        <v>947</v>
      </c>
      <c r="M949" s="189">
        <v>0.79</v>
      </c>
      <c r="N949" s="186">
        <f>VLOOKUP(1236,季財報!A:M,8,0)</f>
        <v>1</v>
      </c>
    </row>
    <row r="950" spans="1:14">
      <c r="A950" s="133">
        <v>5608</v>
      </c>
      <c r="C950">
        <v>125</v>
      </c>
      <c r="D950">
        <v>0</v>
      </c>
      <c r="E950">
        <v>31968</v>
      </c>
      <c r="F950">
        <v>9773</v>
      </c>
      <c r="G950">
        <v>4727</v>
      </c>
      <c r="H950" s="141">
        <v>0</v>
      </c>
      <c r="I950">
        <f>RANK(0,H:H,0)</f>
        <v>979</v>
      </c>
      <c r="J950" s="137">
        <v>0.01</v>
      </c>
      <c r="K950">
        <f>RANK(0.01,J:J,0)</f>
        <v>708</v>
      </c>
      <c r="L950" s="53">
        <f>RANK(0.9,M:M,0)</f>
        <v>947</v>
      </c>
      <c r="M950" s="189">
        <v>0.79</v>
      </c>
      <c r="N950" s="186">
        <f>VLOOKUP(5608,季財報!A:M,8,0)</f>
        <v>2</v>
      </c>
    </row>
    <row r="951" spans="1:14">
      <c r="A951" s="133">
        <v>2615</v>
      </c>
      <c r="C951">
        <v>224</v>
      </c>
      <c r="D951">
        <v>11123</v>
      </c>
      <c r="E951">
        <v>46726</v>
      </c>
      <c r="F951">
        <v>35966</v>
      </c>
      <c r="G951">
        <v>8770</v>
      </c>
      <c r="H951" s="141">
        <v>0</v>
      </c>
      <c r="I951">
        <f>RANK(0,H:H,0)</f>
        <v>979</v>
      </c>
      <c r="J951" s="137">
        <v>0.01</v>
      </c>
      <c r="K951">
        <f>RANK(0.01,J:J,0)</f>
        <v>708</v>
      </c>
      <c r="L951" s="53">
        <f>RANK(0.9,M:M,0)</f>
        <v>947</v>
      </c>
      <c r="M951" s="189">
        <v>0.79</v>
      </c>
      <c r="N951" s="186">
        <f>VLOOKUP(2615,季財報!A:M,8,0)</f>
        <v>2</v>
      </c>
    </row>
    <row r="952" spans="1:14">
      <c r="A952" s="133">
        <v>8996</v>
      </c>
      <c r="C952">
        <v>10</v>
      </c>
      <c r="D952">
        <v>762</v>
      </c>
      <c r="E952">
        <v>979</v>
      </c>
      <c r="F952">
        <v>1760</v>
      </c>
      <c r="G952">
        <v>851</v>
      </c>
      <c r="H952" s="141">
        <v>0.01</v>
      </c>
      <c r="I952">
        <f t="shared" ref="I952:I983" si="114">RANK(0.01,H:H,0)</f>
        <v>796</v>
      </c>
      <c r="J952" s="137">
        <v>0</v>
      </c>
      <c r="K952">
        <f t="shared" ref="K952:K1015" si="115">RANK(0,J:J,0)</f>
        <v>945</v>
      </c>
      <c r="L952" s="53">
        <f t="shared" ref="L952:L983" si="116">RANK(0.87,M:M,0)</f>
        <v>951</v>
      </c>
      <c r="M952" s="189">
        <v>1.01</v>
      </c>
      <c r="N952" s="186">
        <f>VLOOKUP(8996,季財報!A:M,8,0)</f>
        <v>1</v>
      </c>
    </row>
    <row r="953" spans="1:14">
      <c r="A953" s="133">
        <v>8070</v>
      </c>
      <c r="C953">
        <v>42</v>
      </c>
      <c r="D953">
        <v>2481</v>
      </c>
      <c r="E953">
        <v>2752</v>
      </c>
      <c r="F953">
        <v>6844</v>
      </c>
      <c r="G953">
        <v>2935</v>
      </c>
      <c r="H953" s="141">
        <v>0.01</v>
      </c>
      <c r="I953">
        <f t="shared" si="114"/>
        <v>796</v>
      </c>
      <c r="J953" s="137">
        <v>0</v>
      </c>
      <c r="K953">
        <f t="shared" si="115"/>
        <v>945</v>
      </c>
      <c r="L953" s="53">
        <f t="shared" si="116"/>
        <v>951</v>
      </c>
      <c r="M953" s="189">
        <v>0.79</v>
      </c>
      <c r="N953" s="186">
        <f>VLOOKUP(8070,季財報!A:M,8,0)</f>
        <v>1</v>
      </c>
    </row>
    <row r="954" spans="1:14">
      <c r="A954" s="133">
        <v>6188</v>
      </c>
      <c r="C954">
        <v>51</v>
      </c>
      <c r="D954">
        <v>3476</v>
      </c>
      <c r="E954">
        <v>1852</v>
      </c>
      <c r="F954">
        <v>8637</v>
      </c>
      <c r="G954">
        <v>5625</v>
      </c>
      <c r="H954" s="141">
        <v>0.01</v>
      </c>
      <c r="I954">
        <f t="shared" si="114"/>
        <v>796</v>
      </c>
      <c r="J954" s="137">
        <v>0</v>
      </c>
      <c r="K954">
        <f t="shared" si="115"/>
        <v>945</v>
      </c>
      <c r="L954" s="53">
        <f t="shared" si="116"/>
        <v>951</v>
      </c>
      <c r="M954" s="189">
        <v>1.9</v>
      </c>
      <c r="N954" s="186">
        <f>VLOOKUP(6188,季財報!A:M,8,0)</f>
        <v>0</v>
      </c>
    </row>
    <row r="955" spans="1:14">
      <c r="A955" s="133">
        <v>4430</v>
      </c>
      <c r="C955">
        <v>12</v>
      </c>
      <c r="D955">
        <v>423</v>
      </c>
      <c r="E955">
        <v>1471</v>
      </c>
      <c r="F955">
        <v>1962</v>
      </c>
      <c r="G955">
        <v>570</v>
      </c>
      <c r="H955" s="141">
        <v>0.01</v>
      </c>
      <c r="I955">
        <f t="shared" si="114"/>
        <v>796</v>
      </c>
      <c r="J955" s="137">
        <v>0</v>
      </c>
      <c r="K955">
        <f t="shared" si="115"/>
        <v>945</v>
      </c>
      <c r="L955" s="53">
        <f t="shared" si="116"/>
        <v>951</v>
      </c>
      <c r="M955" s="189">
        <v>1.18</v>
      </c>
      <c r="N955" s="186">
        <f>VLOOKUP(4430,季財報!A:M,8,0)</f>
        <v>2</v>
      </c>
    </row>
    <row r="956" spans="1:14">
      <c r="A956" s="133">
        <v>1104</v>
      </c>
      <c r="C956">
        <v>51</v>
      </c>
      <c r="D956">
        <v>572</v>
      </c>
      <c r="E956">
        <v>5609</v>
      </c>
      <c r="F956">
        <v>15981</v>
      </c>
      <c r="G956">
        <v>1390</v>
      </c>
      <c r="H956" s="141">
        <v>0.01</v>
      </c>
      <c r="I956">
        <f t="shared" si="114"/>
        <v>796</v>
      </c>
      <c r="J956" s="137">
        <v>0</v>
      </c>
      <c r="K956">
        <f t="shared" si="115"/>
        <v>945</v>
      </c>
      <c r="L956" s="53">
        <f t="shared" si="116"/>
        <v>951</v>
      </c>
      <c r="M956" s="189">
        <v>0.79</v>
      </c>
      <c r="N956" s="186">
        <f>VLOOKUP(1104,季財報!A:M,8,0)</f>
        <v>2</v>
      </c>
    </row>
    <row r="957" spans="1:14">
      <c r="A957" s="133">
        <v>1110</v>
      </c>
      <c r="C957">
        <v>12</v>
      </c>
      <c r="D957">
        <v>1544</v>
      </c>
      <c r="E957">
        <v>343</v>
      </c>
      <c r="F957">
        <v>8597</v>
      </c>
      <c r="G957">
        <v>0</v>
      </c>
      <c r="H957" s="141">
        <v>0.01</v>
      </c>
      <c r="I957">
        <f t="shared" si="114"/>
        <v>796</v>
      </c>
      <c r="J957" s="137">
        <v>0</v>
      </c>
      <c r="K957">
        <f t="shared" si="115"/>
        <v>945</v>
      </c>
      <c r="L957" s="53">
        <f t="shared" si="116"/>
        <v>951</v>
      </c>
      <c r="M957" s="189">
        <v>1.01</v>
      </c>
      <c r="N957" s="186">
        <f>VLOOKUP(1110,季財報!A:M,8,0)</f>
        <v>2</v>
      </c>
    </row>
    <row r="958" spans="1:14">
      <c r="A958" s="133">
        <v>1235</v>
      </c>
      <c r="C958">
        <v>5</v>
      </c>
      <c r="D958">
        <v>747</v>
      </c>
      <c r="E958">
        <v>187</v>
      </c>
      <c r="F958">
        <v>1309</v>
      </c>
      <c r="G958">
        <v>1185</v>
      </c>
      <c r="H958" s="141">
        <v>0.01</v>
      </c>
      <c r="I958">
        <f t="shared" si="114"/>
        <v>796</v>
      </c>
      <c r="J958" s="137">
        <v>0</v>
      </c>
      <c r="K958">
        <f t="shared" si="115"/>
        <v>945</v>
      </c>
      <c r="L958" s="53">
        <f t="shared" si="116"/>
        <v>951</v>
      </c>
      <c r="M958" s="189">
        <v>12.45</v>
      </c>
      <c r="N958" s="186">
        <f>VLOOKUP(1235,季財報!A:M,8,0)</f>
        <v>3</v>
      </c>
    </row>
    <row r="959" spans="1:14">
      <c r="A959" s="133">
        <v>1315</v>
      </c>
      <c r="C959">
        <v>24</v>
      </c>
      <c r="D959">
        <v>2597</v>
      </c>
      <c r="E959">
        <v>1845</v>
      </c>
      <c r="F959">
        <v>6768</v>
      </c>
      <c r="G959">
        <v>649</v>
      </c>
      <c r="H959" s="141">
        <v>0.01</v>
      </c>
      <c r="I959">
        <f t="shared" si="114"/>
        <v>796</v>
      </c>
      <c r="J959" s="137">
        <v>0</v>
      </c>
      <c r="K959">
        <f t="shared" si="115"/>
        <v>945</v>
      </c>
      <c r="L959" s="53">
        <f t="shared" si="116"/>
        <v>951</v>
      </c>
      <c r="M959" s="189">
        <v>4.1500000000000004</v>
      </c>
      <c r="N959" s="186">
        <f>VLOOKUP(1315,季財報!A:M,8,0)</f>
        <v>4</v>
      </c>
    </row>
    <row r="960" spans="1:14">
      <c r="A960" s="133">
        <v>1525</v>
      </c>
      <c r="C960">
        <v>6</v>
      </c>
      <c r="D960">
        <v>174</v>
      </c>
      <c r="E960">
        <v>492</v>
      </c>
      <c r="F960">
        <v>3337</v>
      </c>
      <c r="G960">
        <v>100</v>
      </c>
      <c r="H960" s="141">
        <v>0.01</v>
      </c>
      <c r="I960">
        <f t="shared" si="114"/>
        <v>796</v>
      </c>
      <c r="J960" s="137">
        <v>0</v>
      </c>
      <c r="K960">
        <f t="shared" si="115"/>
        <v>945</v>
      </c>
      <c r="L960" s="53">
        <f t="shared" si="116"/>
        <v>951</v>
      </c>
      <c r="M960" s="189">
        <v>1.01</v>
      </c>
      <c r="N960" s="186">
        <f>VLOOKUP(1525,季財報!A:M,8,0)</f>
        <v>1</v>
      </c>
    </row>
    <row r="961" spans="1:14">
      <c r="A961" s="133">
        <v>1617</v>
      </c>
      <c r="C961">
        <v>9</v>
      </c>
      <c r="D961">
        <v>949</v>
      </c>
      <c r="E961">
        <v>721</v>
      </c>
      <c r="F961">
        <v>1646</v>
      </c>
      <c r="G961">
        <v>1051</v>
      </c>
      <c r="H961" s="141">
        <v>0.01</v>
      </c>
      <c r="I961">
        <f t="shared" si="114"/>
        <v>796</v>
      </c>
      <c r="J961" s="137">
        <v>0</v>
      </c>
      <c r="K961">
        <f t="shared" si="115"/>
        <v>945</v>
      </c>
      <c r="L961" s="53">
        <f t="shared" si="116"/>
        <v>951</v>
      </c>
      <c r="M961" s="189">
        <v>1.58</v>
      </c>
      <c r="N961" s="186">
        <f>VLOOKUP(1617,季財報!A:M,8,0)</f>
        <v>2</v>
      </c>
    </row>
    <row r="962" spans="1:14">
      <c r="A962" s="133">
        <v>1713</v>
      </c>
      <c r="C962">
        <v>8</v>
      </c>
      <c r="D962">
        <v>1059</v>
      </c>
      <c r="E962">
        <v>408</v>
      </c>
      <c r="F962">
        <v>2223</v>
      </c>
      <c r="G962">
        <v>0</v>
      </c>
      <c r="H962" s="141">
        <v>0.01</v>
      </c>
      <c r="I962">
        <f t="shared" si="114"/>
        <v>796</v>
      </c>
      <c r="J962" s="137">
        <v>0</v>
      </c>
      <c r="K962">
        <f t="shared" si="115"/>
        <v>945</v>
      </c>
      <c r="L962" s="53">
        <f t="shared" si="116"/>
        <v>951</v>
      </c>
      <c r="M962" s="189">
        <v>1.9</v>
      </c>
      <c r="N962" s="186">
        <f>VLOOKUP(1713,季財報!A:M,8,0)</f>
        <v>1</v>
      </c>
    </row>
    <row r="963" spans="1:14">
      <c r="A963" s="133">
        <v>1810</v>
      </c>
      <c r="C963">
        <v>32</v>
      </c>
      <c r="D963">
        <v>1028</v>
      </c>
      <c r="E963">
        <v>4526</v>
      </c>
      <c r="F963">
        <v>5673</v>
      </c>
      <c r="G963">
        <v>2514</v>
      </c>
      <c r="H963" s="141">
        <v>0.01</v>
      </c>
      <c r="I963">
        <f t="shared" si="114"/>
        <v>796</v>
      </c>
      <c r="J963" s="137">
        <v>0</v>
      </c>
      <c r="K963">
        <f t="shared" si="115"/>
        <v>945</v>
      </c>
      <c r="L963" s="53">
        <f t="shared" si="116"/>
        <v>951</v>
      </c>
      <c r="M963" s="189">
        <v>5.24</v>
      </c>
      <c r="N963" s="186">
        <f>VLOOKUP(1810,季財報!A:M,8,0)</f>
        <v>2</v>
      </c>
    </row>
    <row r="964" spans="1:14">
      <c r="A964" s="133">
        <v>2010</v>
      </c>
      <c r="C964">
        <v>61</v>
      </c>
      <c r="D964">
        <v>5711</v>
      </c>
      <c r="E964">
        <v>5163</v>
      </c>
      <c r="F964">
        <v>10995</v>
      </c>
      <c r="G964">
        <v>2556</v>
      </c>
      <c r="H964" s="141">
        <v>0.01</v>
      </c>
      <c r="I964">
        <f t="shared" si="114"/>
        <v>796</v>
      </c>
      <c r="J964" s="137">
        <v>0</v>
      </c>
      <c r="K964">
        <f t="shared" si="115"/>
        <v>945</v>
      </c>
      <c r="L964" s="53">
        <f t="shared" si="116"/>
        <v>951</v>
      </c>
      <c r="M964" s="189">
        <v>0.79</v>
      </c>
      <c r="N964" s="186">
        <f>VLOOKUP(2010,季財報!A:M,8,0)</f>
        <v>0</v>
      </c>
    </row>
    <row r="965" spans="1:14">
      <c r="A965" s="133">
        <v>2013</v>
      </c>
      <c r="C965">
        <v>34</v>
      </c>
      <c r="D965">
        <v>278</v>
      </c>
      <c r="E965">
        <v>2270</v>
      </c>
      <c r="F965">
        <v>4367</v>
      </c>
      <c r="G965">
        <v>6160</v>
      </c>
      <c r="H965" s="141">
        <v>0.01</v>
      </c>
      <c r="I965">
        <f t="shared" si="114"/>
        <v>796</v>
      </c>
      <c r="J965" s="137">
        <v>0</v>
      </c>
      <c r="K965">
        <f t="shared" si="115"/>
        <v>945</v>
      </c>
      <c r="L965" s="53">
        <f t="shared" si="116"/>
        <v>951</v>
      </c>
      <c r="M965" s="189">
        <v>1.1399999999999999</v>
      </c>
      <c r="N965" s="186">
        <f>VLOOKUP(2013,季財報!A:M,8,0)</f>
        <v>0</v>
      </c>
    </row>
    <row r="966" spans="1:14">
      <c r="A966" s="133">
        <v>2201</v>
      </c>
      <c r="C966">
        <v>339</v>
      </c>
      <c r="D966">
        <v>3254</v>
      </c>
      <c r="E966">
        <v>33994</v>
      </c>
      <c r="F966">
        <v>81042</v>
      </c>
      <c r="G966">
        <v>87616</v>
      </c>
      <c r="H966" s="141">
        <v>0.01</v>
      </c>
      <c r="I966">
        <f t="shared" si="114"/>
        <v>796</v>
      </c>
      <c r="J966" s="137">
        <v>0</v>
      </c>
      <c r="K966">
        <f t="shared" si="115"/>
        <v>945</v>
      </c>
      <c r="L966" s="53">
        <f t="shared" si="116"/>
        <v>951</v>
      </c>
      <c r="M966" s="189">
        <v>0.79</v>
      </c>
      <c r="N966" s="186">
        <f>VLOOKUP(2201,季財報!A:M,8,0)</f>
        <v>1</v>
      </c>
    </row>
    <row r="967" spans="1:14">
      <c r="A967" s="133">
        <v>2442</v>
      </c>
      <c r="C967">
        <v>11</v>
      </c>
      <c r="D967">
        <v>2006</v>
      </c>
      <c r="E967">
        <v>83</v>
      </c>
      <c r="F967">
        <v>2232</v>
      </c>
      <c r="G967">
        <v>1693</v>
      </c>
      <c r="H967" s="141">
        <v>0.01</v>
      </c>
      <c r="I967">
        <f t="shared" si="114"/>
        <v>796</v>
      </c>
      <c r="J967" s="137">
        <v>0</v>
      </c>
      <c r="K967">
        <f t="shared" si="115"/>
        <v>945</v>
      </c>
      <c r="L967" s="53">
        <f t="shared" si="116"/>
        <v>951</v>
      </c>
      <c r="M967" s="189">
        <v>1.18</v>
      </c>
      <c r="N967" s="186">
        <f>VLOOKUP(2442,季財報!A:M,8,0)</f>
        <v>1</v>
      </c>
    </row>
    <row r="968" spans="1:14">
      <c r="A968" s="133">
        <v>3162</v>
      </c>
      <c r="C968">
        <v>3</v>
      </c>
      <c r="D968">
        <v>8</v>
      </c>
      <c r="E968">
        <v>513</v>
      </c>
      <c r="F968">
        <v>555</v>
      </c>
      <c r="G968">
        <v>380</v>
      </c>
      <c r="H968" s="141">
        <v>0.01</v>
      </c>
      <c r="I968">
        <f t="shared" si="114"/>
        <v>796</v>
      </c>
      <c r="J968" s="137">
        <v>0</v>
      </c>
      <c r="K968">
        <f t="shared" si="115"/>
        <v>945</v>
      </c>
      <c r="L968" s="53">
        <f t="shared" si="116"/>
        <v>951</v>
      </c>
      <c r="M968" s="189">
        <v>0.79</v>
      </c>
      <c r="N968" s="186">
        <f>VLOOKUP(3162,季財報!A:M,8,0)</f>
        <v>2</v>
      </c>
    </row>
    <row r="969" spans="1:14">
      <c r="A969" s="133">
        <v>3706</v>
      </c>
      <c r="C969">
        <v>111</v>
      </c>
      <c r="D969">
        <v>10730</v>
      </c>
      <c r="E969">
        <v>5387</v>
      </c>
      <c r="F969">
        <v>33628</v>
      </c>
      <c r="G969">
        <v>2839</v>
      </c>
      <c r="H969" s="141">
        <v>0.01</v>
      </c>
      <c r="I969">
        <f t="shared" si="114"/>
        <v>796</v>
      </c>
      <c r="J969" s="137">
        <v>0</v>
      </c>
      <c r="K969">
        <f t="shared" si="115"/>
        <v>945</v>
      </c>
      <c r="L969" s="53">
        <f t="shared" si="116"/>
        <v>951</v>
      </c>
      <c r="M969" s="189">
        <v>0.79</v>
      </c>
      <c r="N969" s="186">
        <f>VLOOKUP(3706,季財報!A:M,8,0)</f>
        <v>3</v>
      </c>
    </row>
    <row r="970" spans="1:14">
      <c r="A970" s="133">
        <v>8101</v>
      </c>
      <c r="C970">
        <v>21</v>
      </c>
      <c r="D970">
        <v>1920</v>
      </c>
      <c r="E970">
        <v>1807</v>
      </c>
      <c r="F970">
        <v>4191</v>
      </c>
      <c r="G970">
        <v>3039</v>
      </c>
      <c r="H970" s="141">
        <v>0.01</v>
      </c>
      <c r="I970">
        <f t="shared" si="114"/>
        <v>796</v>
      </c>
      <c r="J970" s="137">
        <v>0</v>
      </c>
      <c r="K970">
        <f t="shared" si="115"/>
        <v>945</v>
      </c>
      <c r="L970" s="53">
        <f t="shared" si="116"/>
        <v>951</v>
      </c>
      <c r="M970" s="189">
        <v>0.79</v>
      </c>
      <c r="N970" s="186">
        <f>VLOOKUP(8101,季財報!A:M,8,0)</f>
        <v>4</v>
      </c>
    </row>
    <row r="971" spans="1:14">
      <c r="A971" s="133">
        <v>8287</v>
      </c>
      <c r="C971">
        <v>17</v>
      </c>
      <c r="D971">
        <v>2870</v>
      </c>
      <c r="E971">
        <v>154</v>
      </c>
      <c r="F971">
        <v>3269</v>
      </c>
      <c r="G971">
        <v>1630</v>
      </c>
      <c r="H971" s="141">
        <v>0.01</v>
      </c>
      <c r="I971">
        <f t="shared" si="114"/>
        <v>796</v>
      </c>
      <c r="J971" s="137">
        <v>0</v>
      </c>
      <c r="K971">
        <f t="shared" si="115"/>
        <v>945</v>
      </c>
      <c r="L971" s="53">
        <f t="shared" si="116"/>
        <v>951</v>
      </c>
      <c r="M971" s="189">
        <v>0.79</v>
      </c>
      <c r="N971" s="186">
        <f>VLOOKUP(8287,季財報!A:M,8,0)</f>
        <v>2</v>
      </c>
    </row>
    <row r="972" spans="1:14">
      <c r="A972" s="133">
        <v>6212</v>
      </c>
      <c r="C972">
        <v>9</v>
      </c>
      <c r="D972">
        <v>1012</v>
      </c>
      <c r="E972">
        <v>3</v>
      </c>
      <c r="F972">
        <v>1152</v>
      </c>
      <c r="G972">
        <v>2652</v>
      </c>
      <c r="H972" s="141">
        <v>0.01</v>
      </c>
      <c r="I972">
        <f t="shared" si="114"/>
        <v>796</v>
      </c>
      <c r="J972" s="137">
        <v>0</v>
      </c>
      <c r="K972">
        <f t="shared" si="115"/>
        <v>945</v>
      </c>
      <c r="L972" s="53">
        <f t="shared" si="116"/>
        <v>951</v>
      </c>
      <c r="M972" s="189">
        <v>0.79</v>
      </c>
      <c r="N972" s="186">
        <f>VLOOKUP(6212,季財報!A:M,8,0)</f>
        <v>2</v>
      </c>
    </row>
    <row r="973" spans="1:14">
      <c r="A973" s="133">
        <v>6158</v>
      </c>
      <c r="C973">
        <v>15</v>
      </c>
      <c r="D973">
        <v>1855</v>
      </c>
      <c r="E973">
        <v>960</v>
      </c>
      <c r="F973">
        <v>2767</v>
      </c>
      <c r="G973">
        <v>289</v>
      </c>
      <c r="H973" s="141">
        <v>0.01</v>
      </c>
      <c r="I973">
        <f t="shared" si="114"/>
        <v>796</v>
      </c>
      <c r="J973" s="137">
        <v>0</v>
      </c>
      <c r="K973">
        <f t="shared" si="115"/>
        <v>945</v>
      </c>
      <c r="L973" s="53">
        <f t="shared" si="116"/>
        <v>951</v>
      </c>
      <c r="M973" s="189">
        <v>0.79</v>
      </c>
      <c r="N973" s="186">
        <f>VLOOKUP(6158,季財報!A:M,8,0)</f>
        <v>4</v>
      </c>
    </row>
    <row r="974" spans="1:14">
      <c r="A974" s="133">
        <v>4161</v>
      </c>
      <c r="C974">
        <v>6</v>
      </c>
      <c r="D974">
        <v>564</v>
      </c>
      <c r="E974">
        <v>436</v>
      </c>
      <c r="F974">
        <v>1037</v>
      </c>
      <c r="G974">
        <v>235</v>
      </c>
      <c r="H974" s="141">
        <v>0.01</v>
      </c>
      <c r="I974">
        <f t="shared" si="114"/>
        <v>796</v>
      </c>
      <c r="J974" s="137">
        <v>0</v>
      </c>
      <c r="K974">
        <f t="shared" si="115"/>
        <v>945</v>
      </c>
      <c r="L974" s="53">
        <f t="shared" si="116"/>
        <v>951</v>
      </c>
      <c r="M974" s="189">
        <v>1.9</v>
      </c>
      <c r="N974" s="186">
        <f>VLOOKUP(4161,季財報!A:M,8,0)</f>
        <v>2</v>
      </c>
    </row>
    <row r="975" spans="1:14">
      <c r="A975" s="133">
        <v>4930</v>
      </c>
      <c r="C975">
        <v>37</v>
      </c>
      <c r="D975">
        <v>4797</v>
      </c>
      <c r="E975">
        <v>1290</v>
      </c>
      <c r="F975">
        <v>6792</v>
      </c>
      <c r="G975">
        <v>1159</v>
      </c>
      <c r="H975" s="141">
        <v>0.01</v>
      </c>
      <c r="I975">
        <f t="shared" si="114"/>
        <v>796</v>
      </c>
      <c r="J975" s="137">
        <v>0</v>
      </c>
      <c r="K975">
        <f t="shared" si="115"/>
        <v>945</v>
      </c>
      <c r="L975" s="53">
        <f t="shared" si="116"/>
        <v>951</v>
      </c>
      <c r="M975" s="189">
        <v>0.79</v>
      </c>
      <c r="N975" s="186">
        <f>VLOOKUP(4930,季財報!A:M,8,0)</f>
        <v>3</v>
      </c>
    </row>
    <row r="976" spans="1:14">
      <c r="A976" s="133">
        <v>1217</v>
      </c>
      <c r="C976">
        <v>19</v>
      </c>
      <c r="D976">
        <v>0</v>
      </c>
      <c r="E976">
        <v>3382</v>
      </c>
      <c r="F976">
        <v>6183</v>
      </c>
      <c r="G976">
        <v>2166</v>
      </c>
      <c r="H976" s="141">
        <v>0.01</v>
      </c>
      <c r="I976">
        <f t="shared" si="114"/>
        <v>796</v>
      </c>
      <c r="J976" s="137">
        <v>0</v>
      </c>
      <c r="K976">
        <f t="shared" si="115"/>
        <v>945</v>
      </c>
      <c r="L976" s="53">
        <f t="shared" si="116"/>
        <v>951</v>
      </c>
      <c r="M976" s="189">
        <v>0.79</v>
      </c>
      <c r="N976" s="186">
        <f>VLOOKUP(1217,季財報!A:M,8,0)</f>
        <v>2</v>
      </c>
    </row>
    <row r="977" spans="1:14">
      <c r="A977" s="133">
        <v>2107</v>
      </c>
      <c r="C977">
        <v>54</v>
      </c>
      <c r="D977">
        <v>7519</v>
      </c>
      <c r="E977">
        <v>863</v>
      </c>
      <c r="F977">
        <v>11751</v>
      </c>
      <c r="G977">
        <v>2202</v>
      </c>
      <c r="H977" s="141">
        <v>0.01</v>
      </c>
      <c r="I977">
        <f t="shared" si="114"/>
        <v>796</v>
      </c>
      <c r="J977" s="137">
        <v>0</v>
      </c>
      <c r="K977">
        <f t="shared" si="115"/>
        <v>945</v>
      </c>
      <c r="L977" s="53">
        <f t="shared" si="116"/>
        <v>951</v>
      </c>
      <c r="M977" s="189">
        <v>0.79</v>
      </c>
      <c r="N977" s="186">
        <f>VLOOKUP(2107,季財報!A:M,8,0)</f>
        <v>2</v>
      </c>
    </row>
    <row r="978" spans="1:14">
      <c r="A978" s="133">
        <v>2427</v>
      </c>
      <c r="C978">
        <v>9</v>
      </c>
      <c r="D978">
        <v>824</v>
      </c>
      <c r="E978">
        <v>546</v>
      </c>
      <c r="F978">
        <v>2055</v>
      </c>
      <c r="G978">
        <v>380</v>
      </c>
      <c r="H978" s="141">
        <v>0.01</v>
      </c>
      <c r="I978">
        <f t="shared" si="114"/>
        <v>796</v>
      </c>
      <c r="J978" s="137">
        <v>0</v>
      </c>
      <c r="K978">
        <f t="shared" si="115"/>
        <v>945</v>
      </c>
      <c r="L978" s="53">
        <f t="shared" si="116"/>
        <v>951</v>
      </c>
      <c r="M978" s="189">
        <v>3.37</v>
      </c>
      <c r="N978" s="186">
        <f>VLOOKUP(2427,季財報!A:M,8,0)</f>
        <v>3</v>
      </c>
    </row>
    <row r="979" spans="1:14">
      <c r="A979" s="133">
        <v>2506</v>
      </c>
      <c r="C979">
        <v>39</v>
      </c>
      <c r="D979">
        <v>2990</v>
      </c>
      <c r="E979">
        <v>1969</v>
      </c>
      <c r="F979">
        <v>7459</v>
      </c>
      <c r="G979">
        <v>2982</v>
      </c>
      <c r="H979" s="141">
        <v>0.01</v>
      </c>
      <c r="I979">
        <f t="shared" si="114"/>
        <v>796</v>
      </c>
      <c r="J979" s="137">
        <v>0</v>
      </c>
      <c r="K979">
        <f t="shared" si="115"/>
        <v>945</v>
      </c>
      <c r="L979" s="53">
        <f t="shared" si="116"/>
        <v>951</v>
      </c>
      <c r="M979" s="189">
        <v>0.79</v>
      </c>
      <c r="N979" s="186">
        <f>VLOOKUP(2506,季財報!A:M,8,0)</f>
        <v>1</v>
      </c>
    </row>
    <row r="980" spans="1:14">
      <c r="A980" s="133">
        <v>2611</v>
      </c>
      <c r="C980">
        <v>11</v>
      </c>
      <c r="D980">
        <v>196</v>
      </c>
      <c r="E980">
        <v>1454</v>
      </c>
      <c r="F980">
        <v>2839</v>
      </c>
      <c r="G980">
        <v>980</v>
      </c>
      <c r="H980" s="141">
        <v>0.01</v>
      </c>
      <c r="I980">
        <f t="shared" si="114"/>
        <v>796</v>
      </c>
      <c r="J980" s="137">
        <v>0</v>
      </c>
      <c r="K980">
        <f t="shared" si="115"/>
        <v>945</v>
      </c>
      <c r="L980" s="53">
        <f t="shared" si="116"/>
        <v>951</v>
      </c>
      <c r="M980" s="189">
        <v>0.79</v>
      </c>
      <c r="N980" s="186">
        <f>VLOOKUP(2611,季財報!A:M,8,0)</f>
        <v>2</v>
      </c>
    </row>
    <row r="981" spans="1:14">
      <c r="A981" s="133">
        <v>3050</v>
      </c>
      <c r="C981">
        <v>10</v>
      </c>
      <c r="D981">
        <v>572</v>
      </c>
      <c r="E981">
        <v>992</v>
      </c>
      <c r="F981">
        <v>2267</v>
      </c>
      <c r="G981">
        <v>278</v>
      </c>
      <c r="H981" s="141">
        <v>0.01</v>
      </c>
      <c r="I981">
        <f t="shared" si="114"/>
        <v>796</v>
      </c>
      <c r="J981" s="137">
        <v>0</v>
      </c>
      <c r="K981">
        <f t="shared" si="115"/>
        <v>945</v>
      </c>
      <c r="L981" s="53">
        <f t="shared" si="116"/>
        <v>951</v>
      </c>
      <c r="M981" s="189">
        <v>1.9</v>
      </c>
      <c r="N981" s="186">
        <f>VLOOKUP(3050,季財報!A:M,8,0)</f>
        <v>2</v>
      </c>
    </row>
    <row r="982" spans="1:14">
      <c r="A982" s="133">
        <v>3310</v>
      </c>
      <c r="C982">
        <v>8</v>
      </c>
      <c r="D982">
        <v>1272</v>
      </c>
      <c r="E982">
        <v>37</v>
      </c>
      <c r="F982">
        <v>1446</v>
      </c>
      <c r="G982">
        <v>1798</v>
      </c>
      <c r="H982" s="141">
        <v>0.01</v>
      </c>
      <c r="I982">
        <f t="shared" si="114"/>
        <v>796</v>
      </c>
      <c r="J982" s="137">
        <v>0</v>
      </c>
      <c r="K982">
        <f t="shared" si="115"/>
        <v>945</v>
      </c>
      <c r="L982" s="53">
        <f t="shared" si="116"/>
        <v>951</v>
      </c>
      <c r="M982" s="189">
        <v>1.01</v>
      </c>
      <c r="N982" s="186">
        <f>VLOOKUP(3310,季財報!A:M,8,0)</f>
        <v>2</v>
      </c>
    </row>
    <row r="983" spans="1:14">
      <c r="A983" s="133">
        <v>3354</v>
      </c>
      <c r="C983">
        <v>6</v>
      </c>
      <c r="D983">
        <v>689</v>
      </c>
      <c r="E983">
        <v>447</v>
      </c>
      <c r="F983">
        <v>1322</v>
      </c>
      <c r="G983">
        <v>96</v>
      </c>
      <c r="H983" s="141">
        <v>0.01</v>
      </c>
      <c r="I983">
        <f t="shared" si="114"/>
        <v>796</v>
      </c>
      <c r="J983" s="137">
        <v>0</v>
      </c>
      <c r="K983">
        <f t="shared" si="115"/>
        <v>945</v>
      </c>
      <c r="L983" s="53">
        <f t="shared" si="116"/>
        <v>951</v>
      </c>
      <c r="M983" s="189">
        <v>1.01</v>
      </c>
      <c r="N983" s="186">
        <f>VLOOKUP(3354,季財報!A:M,8,0)</f>
        <v>5</v>
      </c>
    </row>
    <row r="984" spans="1:14">
      <c r="A984" s="133">
        <v>9962</v>
      </c>
      <c r="C984">
        <v>-28</v>
      </c>
      <c r="H984" s="141">
        <v>0</v>
      </c>
      <c r="I984">
        <f t="shared" ref="I984:I1047" si="117">RANK(0,H:H,0)</f>
        <v>979</v>
      </c>
      <c r="J984" s="137">
        <v>0</v>
      </c>
      <c r="K984">
        <f t="shared" si="115"/>
        <v>945</v>
      </c>
      <c r="L984" s="53">
        <f t="shared" ref="L984:L1047" si="118">RANK(0.79,M:M,0)</f>
        <v>983</v>
      </c>
      <c r="M984" s="189">
        <v>0.79</v>
      </c>
      <c r="N984" s="186">
        <f>VLOOKUP(9962,季財報!A:M,8,0)</f>
        <v>0</v>
      </c>
    </row>
    <row r="985" spans="1:14">
      <c r="A985" s="133">
        <v>9940</v>
      </c>
      <c r="C985">
        <v>44</v>
      </c>
      <c r="D985">
        <v>8886</v>
      </c>
      <c r="E985">
        <v>3575</v>
      </c>
      <c r="F985">
        <v>9341</v>
      </c>
      <c r="G985">
        <v>303</v>
      </c>
      <c r="H985" s="141">
        <v>0</v>
      </c>
      <c r="I985">
        <f t="shared" si="117"/>
        <v>979</v>
      </c>
      <c r="J985" s="137">
        <v>0</v>
      </c>
      <c r="K985">
        <f t="shared" si="115"/>
        <v>945</v>
      </c>
      <c r="L985" s="53">
        <f t="shared" si="118"/>
        <v>983</v>
      </c>
      <c r="M985" s="189">
        <v>0.79</v>
      </c>
      <c r="N985" s="186">
        <f>VLOOKUP(9940,季財報!A:M,8,0)</f>
        <v>2</v>
      </c>
    </row>
    <row r="986" spans="1:14">
      <c r="A986" s="133">
        <v>9955</v>
      </c>
      <c r="C986">
        <v>-30</v>
      </c>
      <c r="H986" s="141">
        <v>0</v>
      </c>
      <c r="I986">
        <f t="shared" si="117"/>
        <v>979</v>
      </c>
      <c r="J986" s="137">
        <v>0</v>
      </c>
      <c r="K986">
        <f t="shared" si="115"/>
        <v>945</v>
      </c>
      <c r="L986" s="53">
        <f t="shared" si="118"/>
        <v>983</v>
      </c>
      <c r="M986" s="189">
        <v>0.79</v>
      </c>
      <c r="N986" s="186">
        <f>VLOOKUP(9955,季財報!A:M,8,0)</f>
        <v>2</v>
      </c>
    </row>
    <row r="987" spans="1:14">
      <c r="A987" s="133">
        <v>9960</v>
      </c>
      <c r="C987">
        <v>-3</v>
      </c>
      <c r="H987" s="141">
        <v>0</v>
      </c>
      <c r="I987">
        <f t="shared" si="117"/>
        <v>979</v>
      </c>
      <c r="J987" s="137">
        <v>0</v>
      </c>
      <c r="K987">
        <f t="shared" si="115"/>
        <v>945</v>
      </c>
      <c r="L987" s="53">
        <f t="shared" si="118"/>
        <v>983</v>
      </c>
      <c r="M987" s="189">
        <v>1.36</v>
      </c>
      <c r="N987" s="186">
        <f>VLOOKUP(9960,季財報!A:M,8,0)</f>
        <v>0</v>
      </c>
    </row>
    <row r="988" spans="1:14">
      <c r="A988" s="133">
        <v>9912</v>
      </c>
      <c r="C988">
        <v>-18</v>
      </c>
      <c r="H988" s="141">
        <v>0</v>
      </c>
      <c r="I988">
        <f t="shared" si="117"/>
        <v>979</v>
      </c>
      <c r="J988" s="137">
        <v>0</v>
      </c>
      <c r="K988">
        <f t="shared" si="115"/>
        <v>945</v>
      </c>
      <c r="L988" s="53">
        <f t="shared" si="118"/>
        <v>983</v>
      </c>
      <c r="M988" s="189">
        <v>0.79</v>
      </c>
      <c r="N988" s="186">
        <f>VLOOKUP(9912,季財報!A:M,8,0)</f>
        <v>2</v>
      </c>
    </row>
    <row r="989" spans="1:14">
      <c r="A989" s="133">
        <v>9949</v>
      </c>
      <c r="C989">
        <v>-23</v>
      </c>
      <c r="H989" s="141">
        <v>0</v>
      </c>
      <c r="I989">
        <f t="shared" si="117"/>
        <v>979</v>
      </c>
      <c r="J989" s="137">
        <v>0</v>
      </c>
      <c r="K989">
        <f t="shared" si="115"/>
        <v>945</v>
      </c>
      <c r="L989" s="53">
        <f t="shared" si="118"/>
        <v>983</v>
      </c>
      <c r="M989" s="189">
        <v>1.36</v>
      </c>
      <c r="N989" s="186">
        <f>VLOOKUP(9949,季財報!A:M,8,0)</f>
        <v>1</v>
      </c>
    </row>
    <row r="990" spans="1:14">
      <c r="A990" s="133">
        <v>9918</v>
      </c>
      <c r="C990">
        <v>3</v>
      </c>
      <c r="D990">
        <v>1667</v>
      </c>
      <c r="E990">
        <v>1441</v>
      </c>
      <c r="F990">
        <v>2789</v>
      </c>
      <c r="G990">
        <v>0</v>
      </c>
      <c r="H990" s="141">
        <v>0</v>
      </c>
      <c r="I990">
        <f t="shared" si="117"/>
        <v>979</v>
      </c>
      <c r="J990" s="137">
        <v>0</v>
      </c>
      <c r="K990">
        <f t="shared" si="115"/>
        <v>945</v>
      </c>
      <c r="L990" s="53">
        <f t="shared" si="118"/>
        <v>983</v>
      </c>
      <c r="M990" s="189">
        <v>1.1399999999999999</v>
      </c>
      <c r="N990" s="186">
        <f>VLOOKUP(9918,季財報!A:M,8,0)</f>
        <v>2</v>
      </c>
    </row>
    <row r="991" spans="1:14">
      <c r="A991" s="133">
        <v>9929</v>
      </c>
      <c r="C991">
        <v>-31</v>
      </c>
      <c r="H991" s="141">
        <v>0</v>
      </c>
      <c r="I991">
        <f t="shared" si="117"/>
        <v>979</v>
      </c>
      <c r="J991" s="137">
        <v>0</v>
      </c>
      <c r="K991">
        <f t="shared" si="115"/>
        <v>945</v>
      </c>
      <c r="L991" s="53">
        <f t="shared" si="118"/>
        <v>983</v>
      </c>
      <c r="M991" s="189">
        <v>0.9</v>
      </c>
      <c r="N991" s="186">
        <f>VLOOKUP(9929,季財報!A:M,8,0)</f>
        <v>3</v>
      </c>
    </row>
    <row r="992" spans="1:14">
      <c r="A992" s="133">
        <v>8940</v>
      </c>
      <c r="C992">
        <v>-99</v>
      </c>
      <c r="H992" s="141">
        <v>0</v>
      </c>
      <c r="I992">
        <f t="shared" si="117"/>
        <v>979</v>
      </c>
      <c r="J992" s="137">
        <v>0</v>
      </c>
      <c r="K992">
        <f t="shared" si="115"/>
        <v>945</v>
      </c>
      <c r="L992" s="53">
        <f t="shared" si="118"/>
        <v>983</v>
      </c>
      <c r="M992" s="189">
        <v>0.79</v>
      </c>
      <c r="N992" s="186">
        <f>VLOOKUP(8940,季財報!A:M,8,0)</f>
        <v>1</v>
      </c>
    </row>
    <row r="993" spans="1:14">
      <c r="A993" s="133">
        <v>8924</v>
      </c>
      <c r="C993">
        <v>-40</v>
      </c>
      <c r="H993" s="141">
        <v>0</v>
      </c>
      <c r="I993">
        <f t="shared" si="117"/>
        <v>979</v>
      </c>
      <c r="J993" s="137">
        <v>0</v>
      </c>
      <c r="K993">
        <f t="shared" si="115"/>
        <v>945</v>
      </c>
      <c r="L993" s="53">
        <f t="shared" si="118"/>
        <v>983</v>
      </c>
      <c r="M993" s="189">
        <v>0.79</v>
      </c>
      <c r="N993" s="186">
        <f>VLOOKUP(8924,季財報!A:M,8,0)</f>
        <v>1</v>
      </c>
    </row>
    <row r="994" spans="1:14">
      <c r="A994" s="133">
        <v>8934</v>
      </c>
      <c r="C994">
        <v>-3</v>
      </c>
      <c r="H994" s="141">
        <v>0</v>
      </c>
      <c r="I994">
        <f t="shared" si="117"/>
        <v>979</v>
      </c>
      <c r="J994" s="137">
        <v>0</v>
      </c>
      <c r="K994">
        <f t="shared" si="115"/>
        <v>945</v>
      </c>
      <c r="L994" s="53">
        <f t="shared" si="118"/>
        <v>983</v>
      </c>
      <c r="M994" s="189">
        <v>1.76</v>
      </c>
      <c r="N994" s="186">
        <f>VLOOKUP(8934,季財報!A:M,8,0)</f>
        <v>2</v>
      </c>
    </row>
    <row r="995" spans="1:14">
      <c r="A995" s="133">
        <v>8935</v>
      </c>
      <c r="C995">
        <v>1</v>
      </c>
      <c r="D995">
        <v>469</v>
      </c>
      <c r="E995">
        <v>774</v>
      </c>
      <c r="F995">
        <v>965</v>
      </c>
      <c r="G995">
        <v>189</v>
      </c>
      <c r="H995" s="141">
        <v>0</v>
      </c>
      <c r="I995">
        <f t="shared" si="117"/>
        <v>979</v>
      </c>
      <c r="J995" s="137">
        <v>0</v>
      </c>
      <c r="K995">
        <f t="shared" si="115"/>
        <v>945</v>
      </c>
      <c r="L995" s="53">
        <f t="shared" si="118"/>
        <v>983</v>
      </c>
      <c r="M995" s="189">
        <v>4.05</v>
      </c>
      <c r="N995" s="186">
        <f>VLOOKUP(8935,季財報!A:M,8,0)</f>
        <v>2</v>
      </c>
    </row>
    <row r="996" spans="1:14">
      <c r="A996" s="133">
        <v>9902</v>
      </c>
      <c r="C996">
        <v>-3</v>
      </c>
      <c r="H996" s="141">
        <v>0</v>
      </c>
      <c r="I996">
        <f t="shared" si="117"/>
        <v>979</v>
      </c>
      <c r="J996" s="137">
        <v>0</v>
      </c>
      <c r="K996">
        <f t="shared" si="115"/>
        <v>945</v>
      </c>
      <c r="L996" s="53">
        <f t="shared" si="118"/>
        <v>983</v>
      </c>
      <c r="M996" s="189">
        <v>4.08</v>
      </c>
      <c r="N996" s="186">
        <f>VLOOKUP(9902,季財報!A:M,8,0)</f>
        <v>2</v>
      </c>
    </row>
    <row r="997" spans="1:14">
      <c r="A997" s="133">
        <v>8409</v>
      </c>
      <c r="C997">
        <v>-9</v>
      </c>
      <c r="H997" s="141">
        <v>0</v>
      </c>
      <c r="I997">
        <f t="shared" si="117"/>
        <v>979</v>
      </c>
      <c r="J997" s="137">
        <v>0</v>
      </c>
      <c r="K997">
        <f t="shared" si="115"/>
        <v>945</v>
      </c>
      <c r="L997" s="53">
        <f t="shared" si="118"/>
        <v>983</v>
      </c>
      <c r="M997" s="189">
        <v>0.87</v>
      </c>
      <c r="N997" s="186">
        <f>VLOOKUP(8409,季財報!A:M,8,0)</f>
        <v>2</v>
      </c>
    </row>
    <row r="998" spans="1:14">
      <c r="A998" s="133">
        <v>8410</v>
      </c>
      <c r="C998">
        <v>5</v>
      </c>
      <c r="D998">
        <v>570</v>
      </c>
      <c r="E998">
        <v>714</v>
      </c>
      <c r="F998">
        <v>1223</v>
      </c>
      <c r="G998">
        <v>73</v>
      </c>
      <c r="H998" s="141">
        <v>0</v>
      </c>
      <c r="I998">
        <f t="shared" si="117"/>
        <v>979</v>
      </c>
      <c r="J998" s="137">
        <v>0</v>
      </c>
      <c r="K998">
        <f t="shared" si="115"/>
        <v>945</v>
      </c>
      <c r="L998" s="53">
        <f t="shared" si="118"/>
        <v>983</v>
      </c>
      <c r="M998" s="189">
        <v>0.79</v>
      </c>
      <c r="N998" s="186">
        <f>VLOOKUP(8410,季財報!A:M,8,0)</f>
        <v>3</v>
      </c>
    </row>
    <row r="999" spans="1:14">
      <c r="A999" s="133">
        <v>8906</v>
      </c>
      <c r="C999">
        <v>-1</v>
      </c>
      <c r="H999" s="141">
        <v>0</v>
      </c>
      <c r="I999">
        <f t="shared" si="117"/>
        <v>979</v>
      </c>
      <c r="J999" s="137">
        <v>0</v>
      </c>
      <c r="K999">
        <f t="shared" si="115"/>
        <v>945</v>
      </c>
      <c r="L999" s="53">
        <f t="shared" si="118"/>
        <v>983</v>
      </c>
      <c r="M999" s="189">
        <v>0.79</v>
      </c>
      <c r="N999" s="186">
        <f>VLOOKUP(8906,季財報!A:M,8,0)</f>
        <v>2</v>
      </c>
    </row>
    <row r="1000" spans="1:14">
      <c r="A1000" s="133">
        <v>8925</v>
      </c>
      <c r="C1000">
        <v>-183</v>
      </c>
      <c r="H1000" s="141">
        <v>0</v>
      </c>
      <c r="I1000">
        <f t="shared" si="117"/>
        <v>979</v>
      </c>
      <c r="J1000" s="137">
        <v>0</v>
      </c>
      <c r="K1000">
        <f t="shared" si="115"/>
        <v>945</v>
      </c>
      <c r="L1000" s="53">
        <f t="shared" si="118"/>
        <v>983</v>
      </c>
      <c r="M1000" s="189">
        <v>0.79</v>
      </c>
      <c r="N1000" s="186">
        <f>VLOOKUP(8925,季財報!A:M,8,0)</f>
        <v>3</v>
      </c>
    </row>
    <row r="1001" spans="1:14">
      <c r="A1001" s="133">
        <v>8927</v>
      </c>
      <c r="C1001">
        <v>-16</v>
      </c>
      <c r="H1001" s="141">
        <v>0</v>
      </c>
      <c r="I1001">
        <f t="shared" si="117"/>
        <v>979</v>
      </c>
      <c r="J1001" s="137">
        <v>0</v>
      </c>
      <c r="K1001">
        <f t="shared" si="115"/>
        <v>945</v>
      </c>
      <c r="L1001" s="53">
        <f t="shared" si="118"/>
        <v>983</v>
      </c>
      <c r="M1001" s="189">
        <v>0.79</v>
      </c>
      <c r="N1001" s="186">
        <f>VLOOKUP(8927,季財報!A:M,8,0)</f>
        <v>3</v>
      </c>
    </row>
    <row r="1002" spans="1:14">
      <c r="A1002" s="133">
        <v>8928</v>
      </c>
      <c r="C1002">
        <v>2</v>
      </c>
      <c r="D1002">
        <v>144</v>
      </c>
      <c r="E1002">
        <v>632</v>
      </c>
      <c r="F1002">
        <v>677</v>
      </c>
      <c r="G1002">
        <v>307</v>
      </c>
      <c r="H1002" s="141">
        <v>0</v>
      </c>
      <c r="I1002">
        <f t="shared" si="117"/>
        <v>979</v>
      </c>
      <c r="J1002" s="137">
        <v>0</v>
      </c>
      <c r="K1002">
        <f t="shared" si="115"/>
        <v>945</v>
      </c>
      <c r="L1002" s="53">
        <f t="shared" si="118"/>
        <v>983</v>
      </c>
      <c r="M1002" s="189">
        <v>0.79</v>
      </c>
      <c r="N1002" s="186">
        <f>VLOOKUP(8928,季財報!A:M,8,0)</f>
        <v>3</v>
      </c>
    </row>
    <row r="1003" spans="1:14">
      <c r="A1003" s="133">
        <v>8930</v>
      </c>
      <c r="C1003">
        <v>-11</v>
      </c>
      <c r="H1003" s="141">
        <v>0</v>
      </c>
      <c r="I1003">
        <f t="shared" si="117"/>
        <v>979</v>
      </c>
      <c r="J1003" s="137">
        <v>0</v>
      </c>
      <c r="K1003">
        <f t="shared" si="115"/>
        <v>945</v>
      </c>
      <c r="L1003" s="53">
        <f t="shared" si="118"/>
        <v>983</v>
      </c>
      <c r="M1003" s="189">
        <v>4.05</v>
      </c>
      <c r="N1003" s="186">
        <f>VLOOKUP(8930,季財報!A:M,8,0)</f>
        <v>1</v>
      </c>
    </row>
    <row r="1004" spans="1:14">
      <c r="A1004" s="133">
        <v>8941</v>
      </c>
      <c r="C1004">
        <v>-9</v>
      </c>
      <c r="H1004" s="141">
        <v>0</v>
      </c>
      <c r="I1004">
        <f t="shared" si="117"/>
        <v>979</v>
      </c>
      <c r="J1004" s="137">
        <v>0</v>
      </c>
      <c r="K1004">
        <f t="shared" si="115"/>
        <v>945</v>
      </c>
      <c r="L1004" s="53">
        <f t="shared" si="118"/>
        <v>983</v>
      </c>
      <c r="M1004" s="189">
        <v>2.69</v>
      </c>
      <c r="N1004" s="186">
        <f>VLOOKUP(8941,季財報!A:M,8,0)</f>
        <v>1</v>
      </c>
    </row>
    <row r="1005" spans="1:14">
      <c r="A1005" s="133">
        <v>9919</v>
      </c>
      <c r="C1005">
        <v>-14</v>
      </c>
      <c r="H1005" s="141">
        <v>0</v>
      </c>
      <c r="I1005">
        <f t="shared" si="117"/>
        <v>979</v>
      </c>
      <c r="J1005" s="137">
        <v>0</v>
      </c>
      <c r="K1005">
        <f t="shared" si="115"/>
        <v>945</v>
      </c>
      <c r="L1005" s="53">
        <f t="shared" si="118"/>
        <v>983</v>
      </c>
      <c r="M1005" s="189">
        <v>9.26</v>
      </c>
      <c r="N1005" s="186">
        <f>VLOOKUP(9919,季財報!A:M,8,0)</f>
        <v>1</v>
      </c>
    </row>
    <row r="1006" spans="1:14">
      <c r="A1006" s="133">
        <v>9928</v>
      </c>
      <c r="C1006">
        <v>-79</v>
      </c>
      <c r="H1006" s="141">
        <v>0</v>
      </c>
      <c r="I1006">
        <f t="shared" si="117"/>
        <v>979</v>
      </c>
      <c r="J1006" s="137">
        <v>0</v>
      </c>
      <c r="K1006">
        <f t="shared" si="115"/>
        <v>945</v>
      </c>
      <c r="L1006" s="53">
        <f t="shared" si="118"/>
        <v>983</v>
      </c>
      <c r="M1006" s="189">
        <v>0.79</v>
      </c>
      <c r="N1006" s="186">
        <f>VLOOKUP(9928,季財報!A:M,8,0)</f>
        <v>2</v>
      </c>
    </row>
    <row r="1007" spans="1:14">
      <c r="A1007" s="133">
        <v>8033</v>
      </c>
      <c r="C1007">
        <v>-39</v>
      </c>
      <c r="H1007" s="141">
        <v>0</v>
      </c>
      <c r="I1007">
        <f t="shared" si="117"/>
        <v>979</v>
      </c>
      <c r="J1007" s="137">
        <v>0</v>
      </c>
      <c r="K1007">
        <f t="shared" si="115"/>
        <v>945</v>
      </c>
      <c r="L1007" s="53">
        <f t="shared" si="118"/>
        <v>983</v>
      </c>
      <c r="M1007" s="189">
        <v>0.79</v>
      </c>
      <c r="N1007" s="186">
        <f>VLOOKUP(8033,季財報!A:M,8,0)</f>
        <v>1</v>
      </c>
    </row>
    <row r="1008" spans="1:14">
      <c r="A1008" s="133">
        <v>8103</v>
      </c>
      <c r="C1008">
        <v>-89</v>
      </c>
      <c r="H1008" s="141">
        <v>0</v>
      </c>
      <c r="I1008">
        <f t="shared" si="117"/>
        <v>979</v>
      </c>
      <c r="J1008" s="137">
        <v>0</v>
      </c>
      <c r="K1008">
        <f t="shared" si="115"/>
        <v>945</v>
      </c>
      <c r="L1008" s="53">
        <f t="shared" si="118"/>
        <v>983</v>
      </c>
      <c r="M1008" s="189">
        <v>0.79</v>
      </c>
      <c r="N1008" s="186">
        <f>VLOOKUP(8103,季財報!A:M,8,0)</f>
        <v>1</v>
      </c>
    </row>
    <row r="1009" spans="1:14">
      <c r="A1009" s="133">
        <v>8266</v>
      </c>
      <c r="C1009">
        <v>-38</v>
      </c>
      <c r="H1009" s="141">
        <v>0</v>
      </c>
      <c r="I1009">
        <f t="shared" si="117"/>
        <v>979</v>
      </c>
      <c r="J1009" s="137">
        <v>0</v>
      </c>
      <c r="K1009">
        <f t="shared" si="115"/>
        <v>945</v>
      </c>
      <c r="L1009" s="53">
        <f t="shared" si="118"/>
        <v>983</v>
      </c>
      <c r="M1009" s="189">
        <v>4.5199999999999996</v>
      </c>
      <c r="N1009" s="186">
        <f>VLOOKUP(8266,季財報!A:M,8,0)</f>
        <v>3</v>
      </c>
    </row>
    <row r="1010" spans="1:14">
      <c r="A1010" s="133">
        <v>8277</v>
      </c>
      <c r="C1010">
        <v>-10</v>
      </c>
      <c r="H1010" s="141">
        <v>0</v>
      </c>
      <c r="I1010">
        <f t="shared" si="117"/>
        <v>979</v>
      </c>
      <c r="J1010" s="137">
        <v>0</v>
      </c>
      <c r="K1010">
        <f t="shared" si="115"/>
        <v>945</v>
      </c>
      <c r="L1010" s="53">
        <f t="shared" si="118"/>
        <v>983</v>
      </c>
      <c r="M1010" s="189">
        <v>0.79</v>
      </c>
      <c r="N1010" s="186">
        <f>VLOOKUP(8277,季財報!A:M,8,0)</f>
        <v>2</v>
      </c>
    </row>
    <row r="1011" spans="1:14">
      <c r="A1011" s="133">
        <v>8291</v>
      </c>
      <c r="C1011">
        <v>-20</v>
      </c>
      <c r="H1011" s="141">
        <v>0</v>
      </c>
      <c r="I1011">
        <f t="shared" si="117"/>
        <v>979</v>
      </c>
      <c r="J1011" s="137">
        <v>0</v>
      </c>
      <c r="K1011">
        <f t="shared" si="115"/>
        <v>945</v>
      </c>
      <c r="L1011" s="53">
        <f t="shared" si="118"/>
        <v>983</v>
      </c>
      <c r="M1011" s="189">
        <v>0.79</v>
      </c>
      <c r="N1011" s="186">
        <f>VLOOKUP(8291,季財報!A:M,8,0)</f>
        <v>0</v>
      </c>
    </row>
    <row r="1012" spans="1:14">
      <c r="A1012" s="133">
        <v>8418</v>
      </c>
      <c r="C1012">
        <v>-17</v>
      </c>
      <c r="H1012" s="141">
        <v>0</v>
      </c>
      <c r="I1012">
        <f t="shared" si="117"/>
        <v>979</v>
      </c>
      <c r="J1012" s="137">
        <v>0</v>
      </c>
      <c r="K1012">
        <f t="shared" si="115"/>
        <v>945</v>
      </c>
      <c r="L1012" s="53">
        <f t="shared" si="118"/>
        <v>983</v>
      </c>
      <c r="M1012" s="189">
        <v>1.58</v>
      </c>
      <c r="N1012" s="186">
        <f>VLOOKUP(8418,季財報!A:M,8,0)</f>
        <v>1</v>
      </c>
    </row>
    <row r="1013" spans="1:14">
      <c r="A1013" s="133">
        <v>8427</v>
      </c>
      <c r="C1013">
        <v>-147</v>
      </c>
      <c r="H1013" s="141">
        <v>0</v>
      </c>
      <c r="I1013">
        <f t="shared" si="117"/>
        <v>979</v>
      </c>
      <c r="J1013" s="137">
        <v>0</v>
      </c>
      <c r="K1013">
        <f t="shared" si="115"/>
        <v>945</v>
      </c>
      <c r="L1013" s="53">
        <f t="shared" si="118"/>
        <v>983</v>
      </c>
      <c r="M1013" s="189">
        <v>0.79</v>
      </c>
      <c r="N1013" s="186">
        <f>VLOOKUP(8427,季財報!A:M,8,0)</f>
        <v>1</v>
      </c>
    </row>
    <row r="1014" spans="1:14">
      <c r="A1014" s="133">
        <v>8431</v>
      </c>
      <c r="C1014">
        <v>-62</v>
      </c>
      <c r="H1014" s="141">
        <v>0</v>
      </c>
      <c r="I1014">
        <f t="shared" si="117"/>
        <v>979</v>
      </c>
      <c r="J1014" s="137">
        <v>0</v>
      </c>
      <c r="K1014">
        <f t="shared" si="115"/>
        <v>945</v>
      </c>
      <c r="L1014" s="53">
        <f t="shared" si="118"/>
        <v>983</v>
      </c>
      <c r="M1014" s="189">
        <v>0.79</v>
      </c>
      <c r="N1014" s="186">
        <f>VLOOKUP(8431,季財報!A:M,8,0)</f>
        <v>1</v>
      </c>
    </row>
    <row r="1015" spans="1:14">
      <c r="A1015" s="133">
        <v>8938</v>
      </c>
      <c r="C1015">
        <v>-63</v>
      </c>
      <c r="H1015" s="141">
        <v>0</v>
      </c>
      <c r="I1015">
        <f t="shared" si="117"/>
        <v>979</v>
      </c>
      <c r="J1015" s="137">
        <v>0</v>
      </c>
      <c r="K1015">
        <f t="shared" si="115"/>
        <v>945</v>
      </c>
      <c r="L1015" s="53">
        <f t="shared" si="118"/>
        <v>983</v>
      </c>
      <c r="M1015" s="189">
        <v>0.79</v>
      </c>
      <c r="N1015" s="186">
        <f>VLOOKUP(8938,季財報!A:M,8,0)</f>
        <v>2</v>
      </c>
    </row>
    <row r="1016" spans="1:14">
      <c r="A1016" s="133">
        <v>9906</v>
      </c>
      <c r="C1016">
        <v>-2</v>
      </c>
      <c r="H1016" s="141">
        <v>0</v>
      </c>
      <c r="I1016">
        <f t="shared" si="117"/>
        <v>979</v>
      </c>
      <c r="J1016" s="137">
        <v>0</v>
      </c>
      <c r="K1016">
        <f t="shared" ref="K1016:K1079" si="119">RANK(0,J:J,0)</f>
        <v>945</v>
      </c>
      <c r="L1016" s="53">
        <f t="shared" si="118"/>
        <v>983</v>
      </c>
      <c r="M1016" s="189">
        <v>0.87</v>
      </c>
      <c r="N1016" s="186">
        <f>VLOOKUP(9906,季財報!A:M,8,0)</f>
        <v>0</v>
      </c>
    </row>
    <row r="1017" spans="1:14">
      <c r="A1017" s="133">
        <v>6222</v>
      </c>
      <c r="C1017">
        <v>-33</v>
      </c>
      <c r="H1017" s="141">
        <v>0</v>
      </c>
      <c r="I1017">
        <f t="shared" si="117"/>
        <v>979</v>
      </c>
      <c r="J1017" s="137">
        <v>0</v>
      </c>
      <c r="K1017">
        <f t="shared" si="119"/>
        <v>945</v>
      </c>
      <c r="L1017" s="53">
        <f t="shared" si="118"/>
        <v>983</v>
      </c>
      <c r="M1017" s="189">
        <v>0.79</v>
      </c>
      <c r="N1017" s="186">
        <f>VLOOKUP(6222,季財報!A:M,8,0)</f>
        <v>0</v>
      </c>
    </row>
    <row r="1018" spans="1:14">
      <c r="A1018" s="133">
        <v>6419</v>
      </c>
      <c r="C1018">
        <v>-4</v>
      </c>
      <c r="H1018" s="141">
        <v>0</v>
      </c>
      <c r="I1018">
        <f t="shared" si="117"/>
        <v>979</v>
      </c>
      <c r="J1018" s="137">
        <v>0</v>
      </c>
      <c r="K1018">
        <f t="shared" si="119"/>
        <v>945</v>
      </c>
      <c r="L1018" s="53">
        <f t="shared" si="118"/>
        <v>983</v>
      </c>
      <c r="M1018" s="189">
        <v>0.79</v>
      </c>
      <c r="N1018" s="186">
        <f>VLOOKUP(6419,季財報!A:M,8,0)</f>
        <v>0</v>
      </c>
    </row>
    <row r="1019" spans="1:14">
      <c r="A1019" s="133">
        <v>6431</v>
      </c>
      <c r="C1019">
        <v>-29</v>
      </c>
      <c r="H1019" s="141">
        <v>0</v>
      </c>
      <c r="I1019">
        <f t="shared" si="117"/>
        <v>979</v>
      </c>
      <c r="J1019" s="137">
        <v>0</v>
      </c>
      <c r="K1019">
        <f t="shared" si="119"/>
        <v>945</v>
      </c>
      <c r="L1019" s="53">
        <f t="shared" si="118"/>
        <v>983</v>
      </c>
      <c r="M1019" s="189">
        <v>0.79</v>
      </c>
      <c r="N1019" s="186">
        <f>VLOOKUP(6431,季財報!A:M,8,0)</f>
        <v>1</v>
      </c>
    </row>
    <row r="1020" spans="1:14">
      <c r="A1020" s="133">
        <v>8053</v>
      </c>
      <c r="C1020">
        <v>-147</v>
      </c>
      <c r="H1020" s="141">
        <v>0</v>
      </c>
      <c r="I1020">
        <f t="shared" si="117"/>
        <v>979</v>
      </c>
      <c r="J1020" s="137">
        <v>0</v>
      </c>
      <c r="K1020">
        <f t="shared" si="119"/>
        <v>945</v>
      </c>
      <c r="L1020" s="53">
        <f t="shared" si="118"/>
        <v>983</v>
      </c>
      <c r="M1020" s="189">
        <v>0.79</v>
      </c>
      <c r="N1020" s="186">
        <f>VLOOKUP(8053,季財報!A:M,8,0)</f>
        <v>2</v>
      </c>
    </row>
    <row r="1021" spans="1:14">
      <c r="A1021" s="133">
        <v>8054</v>
      </c>
      <c r="C1021">
        <v>2</v>
      </c>
      <c r="D1021">
        <v>1826</v>
      </c>
      <c r="E1021">
        <v>66</v>
      </c>
      <c r="F1021">
        <v>2267</v>
      </c>
      <c r="G1021">
        <v>0</v>
      </c>
      <c r="H1021" s="141">
        <v>0</v>
      </c>
      <c r="I1021">
        <f t="shared" si="117"/>
        <v>979</v>
      </c>
      <c r="J1021" s="137">
        <v>0</v>
      </c>
      <c r="K1021">
        <f t="shared" si="119"/>
        <v>945</v>
      </c>
      <c r="L1021" s="53">
        <f t="shared" si="118"/>
        <v>983</v>
      </c>
      <c r="M1021" s="189">
        <v>0.79</v>
      </c>
      <c r="N1021" s="186">
        <f>VLOOKUP(8054,季財報!A:M,8,0)</f>
        <v>1</v>
      </c>
    </row>
    <row r="1022" spans="1:14">
      <c r="A1022" s="133">
        <v>8059</v>
      </c>
      <c r="C1022">
        <v>1</v>
      </c>
      <c r="D1022">
        <v>537</v>
      </c>
      <c r="E1022">
        <v>278</v>
      </c>
      <c r="F1022">
        <v>1012</v>
      </c>
      <c r="G1022">
        <v>0</v>
      </c>
      <c r="H1022" s="141">
        <v>0</v>
      </c>
      <c r="I1022">
        <f t="shared" si="117"/>
        <v>979</v>
      </c>
      <c r="J1022" s="137">
        <v>0</v>
      </c>
      <c r="K1022">
        <f t="shared" si="119"/>
        <v>945</v>
      </c>
      <c r="L1022" s="53">
        <f t="shared" si="118"/>
        <v>983</v>
      </c>
      <c r="M1022" s="189">
        <v>0.79</v>
      </c>
      <c r="N1022" s="186">
        <f>VLOOKUP(8059,季財報!A:M,8,0)</f>
        <v>1</v>
      </c>
    </row>
    <row r="1023" spans="1:14">
      <c r="A1023" s="133">
        <v>8064</v>
      </c>
      <c r="C1023">
        <v>-30</v>
      </c>
      <c r="H1023" s="141">
        <v>0</v>
      </c>
      <c r="I1023">
        <f t="shared" si="117"/>
        <v>979</v>
      </c>
      <c r="J1023" s="137">
        <v>0</v>
      </c>
      <c r="K1023">
        <f t="shared" si="119"/>
        <v>945</v>
      </c>
      <c r="L1023" s="53">
        <f t="shared" si="118"/>
        <v>983</v>
      </c>
      <c r="M1023" s="189">
        <v>0.79</v>
      </c>
      <c r="N1023" s="186">
        <f>VLOOKUP(8064,季財報!A:M,8,0)</f>
        <v>1</v>
      </c>
    </row>
    <row r="1024" spans="1:14">
      <c r="A1024" s="133">
        <v>8067</v>
      </c>
      <c r="C1024">
        <v>0</v>
      </c>
      <c r="H1024" s="141">
        <v>0</v>
      </c>
      <c r="I1024">
        <f t="shared" si="117"/>
        <v>979</v>
      </c>
      <c r="J1024" s="137">
        <v>0</v>
      </c>
      <c r="K1024">
        <f t="shared" si="119"/>
        <v>945</v>
      </c>
      <c r="L1024" s="53">
        <f t="shared" si="118"/>
        <v>983</v>
      </c>
      <c r="M1024" s="189">
        <v>0.79</v>
      </c>
      <c r="N1024" s="186">
        <f>VLOOKUP(8067,季財報!A:M,8,0)</f>
        <v>2</v>
      </c>
    </row>
    <row r="1025" spans="1:14">
      <c r="A1025" s="133">
        <v>8068</v>
      </c>
      <c r="C1025">
        <v>-2</v>
      </c>
      <c r="H1025" s="141">
        <v>0</v>
      </c>
      <c r="I1025">
        <f t="shared" si="117"/>
        <v>979</v>
      </c>
      <c r="J1025" s="137">
        <v>0</v>
      </c>
      <c r="K1025">
        <f t="shared" si="119"/>
        <v>945</v>
      </c>
      <c r="L1025" s="53">
        <f t="shared" si="118"/>
        <v>983</v>
      </c>
      <c r="M1025" s="189">
        <v>0.79</v>
      </c>
      <c r="N1025" s="186">
        <f>VLOOKUP(8068,季財報!A:M,8,0)</f>
        <v>1</v>
      </c>
    </row>
    <row r="1026" spans="1:14">
      <c r="A1026" s="133">
        <v>8071</v>
      </c>
      <c r="C1026">
        <v>-31</v>
      </c>
      <c r="H1026" s="141">
        <v>0</v>
      </c>
      <c r="I1026">
        <f t="shared" si="117"/>
        <v>979</v>
      </c>
      <c r="J1026" s="137">
        <v>0</v>
      </c>
      <c r="K1026">
        <f t="shared" si="119"/>
        <v>945</v>
      </c>
      <c r="L1026" s="53">
        <f t="shared" si="118"/>
        <v>983</v>
      </c>
      <c r="M1026" s="189">
        <v>1.01</v>
      </c>
      <c r="N1026" s="186">
        <f>VLOOKUP(8071,季財報!A:M,8,0)</f>
        <v>1</v>
      </c>
    </row>
    <row r="1027" spans="1:14">
      <c r="A1027" s="133">
        <v>8072</v>
      </c>
      <c r="C1027">
        <v>8</v>
      </c>
      <c r="D1027">
        <v>1907</v>
      </c>
      <c r="E1027">
        <v>784</v>
      </c>
      <c r="F1027">
        <v>2755</v>
      </c>
      <c r="G1027">
        <v>0</v>
      </c>
      <c r="H1027" s="141">
        <v>0</v>
      </c>
      <c r="I1027">
        <f t="shared" si="117"/>
        <v>979</v>
      </c>
      <c r="J1027" s="137">
        <v>0</v>
      </c>
      <c r="K1027">
        <f t="shared" si="119"/>
        <v>945</v>
      </c>
      <c r="L1027" s="53">
        <f t="shared" si="118"/>
        <v>983</v>
      </c>
      <c r="M1027" s="189">
        <v>1.36</v>
      </c>
      <c r="N1027" s="186">
        <f>VLOOKUP(8072,季財報!A:M,8,0)</f>
        <v>2</v>
      </c>
    </row>
    <row r="1028" spans="1:14">
      <c r="A1028" s="133">
        <v>8077</v>
      </c>
      <c r="C1028">
        <v>-6</v>
      </c>
      <c r="H1028" s="141">
        <v>0</v>
      </c>
      <c r="I1028">
        <f t="shared" si="117"/>
        <v>979</v>
      </c>
      <c r="J1028" s="137">
        <v>0</v>
      </c>
      <c r="K1028">
        <f t="shared" si="119"/>
        <v>945</v>
      </c>
      <c r="L1028" s="53">
        <f t="shared" si="118"/>
        <v>983</v>
      </c>
      <c r="M1028" s="189">
        <v>0.79</v>
      </c>
      <c r="N1028" s="186">
        <f>VLOOKUP(8077,季財報!A:M,8,0)</f>
        <v>4</v>
      </c>
    </row>
    <row r="1029" spans="1:14">
      <c r="A1029" s="133">
        <v>8080</v>
      </c>
      <c r="C1029">
        <v>-17</v>
      </c>
      <c r="H1029" s="141">
        <v>0</v>
      </c>
      <c r="I1029">
        <f t="shared" si="117"/>
        <v>979</v>
      </c>
      <c r="J1029" s="137">
        <v>0</v>
      </c>
      <c r="K1029">
        <f t="shared" si="119"/>
        <v>945</v>
      </c>
      <c r="L1029" s="53">
        <f t="shared" si="118"/>
        <v>983</v>
      </c>
      <c r="M1029" s="189">
        <v>2.76</v>
      </c>
      <c r="N1029" s="186">
        <f>VLOOKUP(8080,季財報!A:M,8,0)</f>
        <v>1</v>
      </c>
    </row>
    <row r="1030" spans="1:14">
      <c r="A1030" s="133">
        <v>8082</v>
      </c>
      <c r="C1030">
        <v>-6</v>
      </c>
      <c r="H1030" s="141">
        <v>0</v>
      </c>
      <c r="I1030">
        <f t="shared" si="117"/>
        <v>979</v>
      </c>
      <c r="J1030" s="137">
        <v>0</v>
      </c>
      <c r="K1030">
        <f t="shared" si="119"/>
        <v>945</v>
      </c>
      <c r="L1030" s="53">
        <f t="shared" si="118"/>
        <v>983</v>
      </c>
      <c r="M1030" s="189">
        <v>1.01</v>
      </c>
      <c r="N1030" s="186">
        <f>VLOOKUP(8082,季財報!A:M,8,0)</f>
        <v>1</v>
      </c>
    </row>
    <row r="1031" spans="1:14">
      <c r="A1031" s="133">
        <v>8084</v>
      </c>
      <c r="C1031">
        <v>-68</v>
      </c>
      <c r="H1031" s="141">
        <v>0</v>
      </c>
      <c r="I1031">
        <f t="shared" si="117"/>
        <v>979</v>
      </c>
      <c r="J1031" s="137">
        <v>0</v>
      </c>
      <c r="K1031">
        <f t="shared" si="119"/>
        <v>945</v>
      </c>
      <c r="L1031" s="53">
        <f t="shared" si="118"/>
        <v>983</v>
      </c>
      <c r="M1031" s="189">
        <v>0.79</v>
      </c>
      <c r="N1031" s="186">
        <f>VLOOKUP(8084,季財報!A:M,8,0)</f>
        <v>1</v>
      </c>
    </row>
    <row r="1032" spans="1:14">
      <c r="A1032" s="133">
        <v>8085</v>
      </c>
      <c r="C1032">
        <v>-32</v>
      </c>
      <c r="H1032" s="141">
        <v>0</v>
      </c>
      <c r="I1032">
        <f t="shared" si="117"/>
        <v>979</v>
      </c>
      <c r="J1032" s="137">
        <v>0</v>
      </c>
      <c r="K1032">
        <f t="shared" si="119"/>
        <v>945</v>
      </c>
      <c r="L1032" s="53">
        <f t="shared" si="118"/>
        <v>983</v>
      </c>
      <c r="M1032" s="189">
        <v>0.79</v>
      </c>
      <c r="N1032" s="186">
        <f>VLOOKUP(8085,季財報!A:M,8,0)</f>
        <v>2</v>
      </c>
    </row>
    <row r="1033" spans="1:14">
      <c r="A1033" s="133">
        <v>8107</v>
      </c>
      <c r="C1033">
        <v>6</v>
      </c>
      <c r="D1033">
        <v>1080</v>
      </c>
      <c r="E1033">
        <v>579</v>
      </c>
      <c r="F1033">
        <v>1937</v>
      </c>
      <c r="G1033">
        <v>443</v>
      </c>
      <c r="H1033" s="141">
        <v>0</v>
      </c>
      <c r="I1033">
        <f t="shared" si="117"/>
        <v>979</v>
      </c>
      <c r="J1033" s="137">
        <v>0</v>
      </c>
      <c r="K1033">
        <f t="shared" si="119"/>
        <v>945</v>
      </c>
      <c r="L1033" s="53">
        <f t="shared" si="118"/>
        <v>983</v>
      </c>
      <c r="M1033" s="189">
        <v>0.79</v>
      </c>
      <c r="N1033" s="186">
        <f>VLOOKUP(8107,季財報!A:M,8,0)</f>
        <v>5</v>
      </c>
    </row>
    <row r="1034" spans="1:14">
      <c r="A1034" s="133">
        <v>8110</v>
      </c>
      <c r="C1034">
        <v>34</v>
      </c>
      <c r="D1034">
        <v>1768</v>
      </c>
      <c r="E1034">
        <v>10559</v>
      </c>
      <c r="F1034">
        <v>7599</v>
      </c>
      <c r="G1034">
        <v>1081</v>
      </c>
      <c r="H1034" s="141">
        <v>0</v>
      </c>
      <c r="I1034">
        <f t="shared" si="117"/>
        <v>979</v>
      </c>
      <c r="J1034" s="137">
        <v>0</v>
      </c>
      <c r="K1034">
        <f t="shared" si="119"/>
        <v>945</v>
      </c>
      <c r="L1034" s="53">
        <f t="shared" si="118"/>
        <v>983</v>
      </c>
      <c r="M1034" s="189">
        <v>0.79</v>
      </c>
      <c r="N1034" s="186">
        <f>VLOOKUP(8110,季財報!A:M,8,0)</f>
        <v>4</v>
      </c>
    </row>
    <row r="1035" spans="1:14">
      <c r="A1035" s="133">
        <v>8111</v>
      </c>
      <c r="C1035">
        <v>-27</v>
      </c>
      <c r="H1035" s="141">
        <v>0</v>
      </c>
      <c r="I1035">
        <f t="shared" si="117"/>
        <v>979</v>
      </c>
      <c r="J1035" s="137">
        <v>0</v>
      </c>
      <c r="K1035">
        <f t="shared" si="119"/>
        <v>945</v>
      </c>
      <c r="L1035" s="53">
        <f t="shared" si="118"/>
        <v>983</v>
      </c>
      <c r="M1035" s="189">
        <v>0.79</v>
      </c>
      <c r="N1035" s="186">
        <f>VLOOKUP(8111,季財報!A:M,8,0)</f>
        <v>2</v>
      </c>
    </row>
    <row r="1036" spans="1:14">
      <c r="A1036" s="133">
        <v>8121</v>
      </c>
      <c r="C1036">
        <v>-136</v>
      </c>
      <c r="H1036" s="141">
        <v>0</v>
      </c>
      <c r="I1036">
        <f t="shared" si="117"/>
        <v>979</v>
      </c>
      <c r="J1036" s="137">
        <v>0</v>
      </c>
      <c r="K1036">
        <f t="shared" si="119"/>
        <v>945</v>
      </c>
      <c r="L1036" s="53">
        <f t="shared" si="118"/>
        <v>983</v>
      </c>
      <c r="M1036" s="189">
        <v>0.79</v>
      </c>
      <c r="N1036" s="186">
        <f>VLOOKUP(8121,季財報!A:M,8,0)</f>
        <v>1</v>
      </c>
    </row>
    <row r="1037" spans="1:14">
      <c r="A1037" s="133">
        <v>8171</v>
      </c>
      <c r="C1037">
        <v>-22</v>
      </c>
      <c r="H1037" s="141">
        <v>0</v>
      </c>
      <c r="I1037">
        <f t="shared" si="117"/>
        <v>979</v>
      </c>
      <c r="J1037" s="137">
        <v>0</v>
      </c>
      <c r="K1037">
        <f t="shared" si="119"/>
        <v>945</v>
      </c>
      <c r="L1037" s="53">
        <f t="shared" si="118"/>
        <v>983</v>
      </c>
      <c r="M1037" s="189">
        <v>1.1399999999999999</v>
      </c>
      <c r="N1037" s="186">
        <f>VLOOKUP(8171,季財報!A:M,8,0)</f>
        <v>2</v>
      </c>
    </row>
    <row r="1038" spans="1:14">
      <c r="A1038" s="133">
        <v>8176</v>
      </c>
      <c r="C1038">
        <v>1</v>
      </c>
      <c r="D1038">
        <v>203</v>
      </c>
      <c r="E1038">
        <v>523</v>
      </c>
      <c r="F1038">
        <v>927</v>
      </c>
      <c r="G1038">
        <v>330</v>
      </c>
      <c r="H1038" s="141">
        <v>0</v>
      </c>
      <c r="I1038">
        <f t="shared" si="117"/>
        <v>979</v>
      </c>
      <c r="J1038" s="137">
        <v>0</v>
      </c>
      <c r="K1038">
        <f t="shared" si="119"/>
        <v>945</v>
      </c>
      <c r="L1038" s="53">
        <f t="shared" si="118"/>
        <v>983</v>
      </c>
      <c r="M1038" s="189">
        <v>4.1500000000000004</v>
      </c>
      <c r="N1038" s="186">
        <f>VLOOKUP(8176,季財報!A:M,8,0)</f>
        <v>5</v>
      </c>
    </row>
    <row r="1039" spans="1:14">
      <c r="A1039" s="133">
        <v>8183</v>
      </c>
      <c r="C1039">
        <v>-7</v>
      </c>
      <c r="H1039" s="141">
        <v>0</v>
      </c>
      <c r="I1039">
        <f t="shared" si="117"/>
        <v>979</v>
      </c>
      <c r="J1039" s="137">
        <v>0</v>
      </c>
      <c r="K1039">
        <f t="shared" si="119"/>
        <v>945</v>
      </c>
      <c r="L1039" s="53">
        <f t="shared" si="118"/>
        <v>983</v>
      </c>
      <c r="M1039" s="189">
        <v>0.79</v>
      </c>
      <c r="N1039" s="186">
        <f>VLOOKUP(8183,季財報!A:M,8,0)</f>
        <v>4</v>
      </c>
    </row>
    <row r="1040" spans="1:14">
      <c r="A1040" s="133">
        <v>8201</v>
      </c>
      <c r="C1040">
        <v>-77</v>
      </c>
      <c r="H1040" s="141">
        <v>0</v>
      </c>
      <c r="I1040">
        <f t="shared" si="117"/>
        <v>979</v>
      </c>
      <c r="J1040" s="137">
        <v>0</v>
      </c>
      <c r="K1040">
        <f t="shared" si="119"/>
        <v>945</v>
      </c>
      <c r="L1040" s="53">
        <f t="shared" si="118"/>
        <v>983</v>
      </c>
      <c r="M1040" s="189">
        <v>0.79</v>
      </c>
      <c r="N1040" s="186">
        <f>VLOOKUP(8201,季財報!A:M,8,0)</f>
        <v>3</v>
      </c>
    </row>
    <row r="1041" spans="1:14">
      <c r="A1041" s="133">
        <v>8358</v>
      </c>
      <c r="C1041">
        <v>-49</v>
      </c>
      <c r="H1041" s="141">
        <v>0</v>
      </c>
      <c r="I1041">
        <f t="shared" si="117"/>
        <v>979</v>
      </c>
      <c r="J1041" s="137">
        <v>0</v>
      </c>
      <c r="K1041">
        <f t="shared" si="119"/>
        <v>945</v>
      </c>
      <c r="L1041" s="53">
        <f t="shared" si="118"/>
        <v>983</v>
      </c>
      <c r="M1041" s="189">
        <v>0.79</v>
      </c>
      <c r="N1041" s="186">
        <f>VLOOKUP(8358,季財報!A:M,8,0)</f>
        <v>3</v>
      </c>
    </row>
    <row r="1042" spans="1:14">
      <c r="A1042" s="133">
        <v>8374</v>
      </c>
      <c r="C1042">
        <v>-41</v>
      </c>
      <c r="H1042" s="141">
        <v>0</v>
      </c>
      <c r="I1042">
        <f t="shared" si="117"/>
        <v>979</v>
      </c>
      <c r="J1042" s="137">
        <v>0</v>
      </c>
      <c r="K1042">
        <f t="shared" si="119"/>
        <v>945</v>
      </c>
      <c r="L1042" s="53">
        <f t="shared" si="118"/>
        <v>983</v>
      </c>
      <c r="M1042" s="189">
        <v>6.28</v>
      </c>
      <c r="N1042" s="186">
        <f>VLOOKUP(8374,季財報!A:M,8,0)</f>
        <v>0</v>
      </c>
    </row>
    <row r="1043" spans="1:14">
      <c r="A1043" s="133">
        <v>8390</v>
      </c>
      <c r="C1043">
        <v>-40</v>
      </c>
      <c r="H1043" s="141">
        <v>0</v>
      </c>
      <c r="I1043">
        <f t="shared" si="117"/>
        <v>979</v>
      </c>
      <c r="J1043" s="137">
        <v>0</v>
      </c>
      <c r="K1043">
        <f t="shared" si="119"/>
        <v>945</v>
      </c>
      <c r="L1043" s="53">
        <f t="shared" si="118"/>
        <v>983</v>
      </c>
      <c r="M1043" s="189">
        <v>1.36</v>
      </c>
      <c r="N1043" s="186">
        <f>VLOOKUP(8390,季財報!A:M,8,0)</f>
        <v>0</v>
      </c>
    </row>
    <row r="1044" spans="1:14">
      <c r="A1044" s="133">
        <v>6169</v>
      </c>
      <c r="C1044">
        <v>-29</v>
      </c>
      <c r="H1044" s="141">
        <v>0</v>
      </c>
      <c r="I1044">
        <f t="shared" si="117"/>
        <v>979</v>
      </c>
      <c r="J1044" s="137">
        <v>0</v>
      </c>
      <c r="K1044">
        <f t="shared" si="119"/>
        <v>945</v>
      </c>
      <c r="L1044" s="53">
        <f t="shared" si="118"/>
        <v>983</v>
      </c>
      <c r="M1044" s="189">
        <v>1.01</v>
      </c>
      <c r="N1044" s="186">
        <f>VLOOKUP(6169,季財報!A:M,8,0)</f>
        <v>4</v>
      </c>
    </row>
    <row r="1045" spans="1:14">
      <c r="A1045" s="133">
        <v>6170</v>
      </c>
      <c r="C1045">
        <v>-12</v>
      </c>
      <c r="H1045" s="141">
        <v>0</v>
      </c>
      <c r="I1045">
        <f t="shared" si="117"/>
        <v>979</v>
      </c>
      <c r="J1045" s="137">
        <v>0</v>
      </c>
      <c r="K1045">
        <f t="shared" si="119"/>
        <v>945</v>
      </c>
      <c r="L1045" s="53">
        <f t="shared" si="118"/>
        <v>983</v>
      </c>
      <c r="M1045" s="189">
        <v>0.79</v>
      </c>
      <c r="N1045" s="186">
        <f>VLOOKUP(6170,季財報!A:M,8,0)</f>
        <v>4</v>
      </c>
    </row>
    <row r="1046" spans="1:14">
      <c r="A1046" s="133">
        <v>6171</v>
      </c>
      <c r="C1046">
        <v>-6</v>
      </c>
      <c r="H1046" s="141">
        <v>0</v>
      </c>
      <c r="I1046">
        <f t="shared" si="117"/>
        <v>979</v>
      </c>
      <c r="J1046" s="137">
        <v>0</v>
      </c>
      <c r="K1046">
        <f t="shared" si="119"/>
        <v>945</v>
      </c>
      <c r="L1046" s="53">
        <f t="shared" si="118"/>
        <v>983</v>
      </c>
      <c r="M1046" s="189">
        <v>0.79</v>
      </c>
      <c r="N1046" s="186">
        <f>VLOOKUP(6171,季財報!A:M,8,0)</f>
        <v>4</v>
      </c>
    </row>
    <row r="1047" spans="1:14">
      <c r="A1047" s="133">
        <v>6243</v>
      </c>
      <c r="C1047">
        <v>-27</v>
      </c>
      <c r="H1047" s="141">
        <v>0</v>
      </c>
      <c r="I1047">
        <f t="shared" si="117"/>
        <v>979</v>
      </c>
      <c r="J1047" s="137">
        <v>0</v>
      </c>
      <c r="K1047">
        <f t="shared" si="119"/>
        <v>945</v>
      </c>
      <c r="L1047" s="53">
        <f t="shared" si="118"/>
        <v>983</v>
      </c>
      <c r="M1047" s="189">
        <v>0.79</v>
      </c>
      <c r="N1047" s="186">
        <f>VLOOKUP(6243,季財報!A:M,8,0)</f>
        <v>3</v>
      </c>
    </row>
    <row r="1048" spans="1:14">
      <c r="A1048" s="133">
        <v>6246</v>
      </c>
      <c r="C1048">
        <v>-33</v>
      </c>
      <c r="H1048" s="141">
        <v>0</v>
      </c>
      <c r="I1048">
        <f t="shared" ref="I1048:I1111" si="120">RANK(0,H:H,0)</f>
        <v>979</v>
      </c>
      <c r="J1048" s="137">
        <v>0</v>
      </c>
      <c r="K1048">
        <f t="shared" si="119"/>
        <v>945</v>
      </c>
      <c r="L1048" s="53">
        <f t="shared" ref="L1048:L1111" si="121">RANK(0.79,M:M,0)</f>
        <v>983</v>
      </c>
      <c r="M1048" s="189">
        <v>2.29</v>
      </c>
      <c r="N1048" s="186">
        <f>VLOOKUP(6246,季財報!A:M,8,0)</f>
        <v>3</v>
      </c>
    </row>
    <row r="1049" spans="1:14">
      <c r="A1049" s="133">
        <v>6250</v>
      </c>
      <c r="C1049">
        <v>-44</v>
      </c>
      <c r="H1049" s="141">
        <v>0</v>
      </c>
      <c r="I1049">
        <f t="shared" si="120"/>
        <v>979</v>
      </c>
      <c r="J1049" s="137">
        <v>0</v>
      </c>
      <c r="K1049">
        <f t="shared" si="119"/>
        <v>945</v>
      </c>
      <c r="L1049" s="53">
        <f t="shared" si="121"/>
        <v>983</v>
      </c>
      <c r="M1049" s="189">
        <v>0.79</v>
      </c>
      <c r="N1049" s="186">
        <f>VLOOKUP(6250,季財報!A:M,8,0)</f>
        <v>0</v>
      </c>
    </row>
    <row r="1050" spans="1:14">
      <c r="A1050" s="133">
        <v>6251</v>
      </c>
      <c r="C1050">
        <v>19</v>
      </c>
      <c r="D1050">
        <v>374</v>
      </c>
      <c r="E1050">
        <v>4771</v>
      </c>
      <c r="F1050">
        <v>4682</v>
      </c>
      <c r="G1050">
        <v>2700</v>
      </c>
      <c r="H1050" s="141">
        <v>0</v>
      </c>
      <c r="I1050">
        <f t="shared" si="120"/>
        <v>979</v>
      </c>
      <c r="J1050" s="137">
        <v>0</v>
      </c>
      <c r="K1050">
        <f t="shared" si="119"/>
        <v>945</v>
      </c>
      <c r="L1050" s="53">
        <f t="shared" si="121"/>
        <v>983</v>
      </c>
      <c r="M1050" s="189">
        <v>1.1399999999999999</v>
      </c>
      <c r="N1050" s="186">
        <f>VLOOKUP(6251,季財報!A:M,8,0)</f>
        <v>2</v>
      </c>
    </row>
    <row r="1051" spans="1:14">
      <c r="A1051" s="133">
        <v>6259</v>
      </c>
      <c r="C1051">
        <v>-49</v>
      </c>
      <c r="H1051" s="141">
        <v>0</v>
      </c>
      <c r="I1051">
        <f t="shared" si="120"/>
        <v>979</v>
      </c>
      <c r="J1051" s="137">
        <v>0</v>
      </c>
      <c r="K1051">
        <f t="shared" si="119"/>
        <v>945</v>
      </c>
      <c r="L1051" s="53">
        <f t="shared" si="121"/>
        <v>983</v>
      </c>
      <c r="M1051" s="189">
        <v>2.69</v>
      </c>
      <c r="N1051" s="186">
        <f>VLOOKUP(6259,季財報!A:M,8,0)</f>
        <v>1</v>
      </c>
    </row>
    <row r="1052" spans="1:14">
      <c r="A1052" s="133">
        <v>6264</v>
      </c>
      <c r="C1052">
        <v>-18</v>
      </c>
      <c r="H1052" s="141">
        <v>0</v>
      </c>
      <c r="I1052">
        <f t="shared" si="120"/>
        <v>979</v>
      </c>
      <c r="J1052" s="137">
        <v>0</v>
      </c>
      <c r="K1052">
        <f t="shared" si="119"/>
        <v>945</v>
      </c>
      <c r="L1052" s="53">
        <f t="shared" si="121"/>
        <v>983</v>
      </c>
      <c r="M1052" s="189">
        <v>6.36</v>
      </c>
      <c r="N1052" s="186">
        <f>VLOOKUP(6264,季財報!A:M,8,0)</f>
        <v>1</v>
      </c>
    </row>
    <row r="1053" spans="1:14">
      <c r="A1053" s="133">
        <v>6265</v>
      </c>
      <c r="C1053">
        <v>2</v>
      </c>
      <c r="D1053">
        <v>1227</v>
      </c>
      <c r="E1053">
        <v>294</v>
      </c>
      <c r="F1053">
        <v>1636</v>
      </c>
      <c r="G1053">
        <v>265</v>
      </c>
      <c r="H1053" s="141">
        <v>0</v>
      </c>
      <c r="I1053">
        <f t="shared" si="120"/>
        <v>979</v>
      </c>
      <c r="J1053" s="137">
        <v>0</v>
      </c>
      <c r="K1053">
        <f t="shared" si="119"/>
        <v>945</v>
      </c>
      <c r="L1053" s="53">
        <f t="shared" si="121"/>
        <v>983</v>
      </c>
      <c r="M1053" s="189">
        <v>4.05</v>
      </c>
      <c r="N1053" s="186">
        <f>VLOOKUP(6265,季財報!A:M,8,0)</f>
        <v>3</v>
      </c>
    </row>
    <row r="1054" spans="1:14">
      <c r="A1054" s="133">
        <v>6266</v>
      </c>
      <c r="C1054">
        <v>2</v>
      </c>
      <c r="D1054">
        <v>891</v>
      </c>
      <c r="E1054">
        <v>523</v>
      </c>
      <c r="F1054">
        <v>1371</v>
      </c>
      <c r="G1054">
        <v>0</v>
      </c>
      <c r="H1054" s="141">
        <v>0</v>
      </c>
      <c r="I1054">
        <f t="shared" si="120"/>
        <v>979</v>
      </c>
      <c r="J1054" s="137">
        <v>0</v>
      </c>
      <c r="K1054">
        <f t="shared" si="119"/>
        <v>945</v>
      </c>
      <c r="L1054" s="53">
        <f t="shared" si="121"/>
        <v>983</v>
      </c>
      <c r="M1054" s="189">
        <v>0.79</v>
      </c>
      <c r="N1054" s="186">
        <f>VLOOKUP(6266,季財報!A:M,8,0)</f>
        <v>4</v>
      </c>
    </row>
    <row r="1055" spans="1:14">
      <c r="A1055" s="133">
        <v>6270</v>
      </c>
      <c r="C1055">
        <v>5</v>
      </c>
      <c r="D1055">
        <v>1042</v>
      </c>
      <c r="E1055">
        <v>89</v>
      </c>
      <c r="F1055">
        <v>1260</v>
      </c>
      <c r="G1055">
        <v>0</v>
      </c>
      <c r="H1055" s="141">
        <v>0</v>
      </c>
      <c r="I1055">
        <f t="shared" si="120"/>
        <v>979</v>
      </c>
      <c r="J1055" s="137">
        <v>0</v>
      </c>
      <c r="K1055">
        <f t="shared" si="119"/>
        <v>945</v>
      </c>
      <c r="L1055" s="53">
        <f t="shared" si="121"/>
        <v>983</v>
      </c>
      <c r="M1055" s="189">
        <v>1.1399999999999999</v>
      </c>
      <c r="N1055" s="186">
        <f>VLOOKUP(6270,季財報!A:M,8,0)</f>
        <v>3</v>
      </c>
    </row>
    <row r="1056" spans="1:14">
      <c r="A1056" s="133">
        <v>6275</v>
      </c>
      <c r="C1056">
        <v>0</v>
      </c>
      <c r="H1056" s="141">
        <v>0</v>
      </c>
      <c r="I1056">
        <f t="shared" si="120"/>
        <v>979</v>
      </c>
      <c r="J1056" s="137">
        <v>0</v>
      </c>
      <c r="K1056">
        <f t="shared" si="119"/>
        <v>945</v>
      </c>
      <c r="L1056" s="53">
        <f t="shared" si="121"/>
        <v>983</v>
      </c>
      <c r="M1056" s="189">
        <v>0.79</v>
      </c>
      <c r="N1056" s="186">
        <f>VLOOKUP(6275,季財報!A:M,8,0)</f>
        <v>1</v>
      </c>
    </row>
    <row r="1057" spans="1:14">
      <c r="A1057" s="133">
        <v>6276</v>
      </c>
      <c r="C1057">
        <v>-43</v>
      </c>
      <c r="H1057" s="141">
        <v>0</v>
      </c>
      <c r="I1057">
        <f t="shared" si="120"/>
        <v>979</v>
      </c>
      <c r="J1057" s="137">
        <v>0</v>
      </c>
      <c r="K1057">
        <f t="shared" si="119"/>
        <v>945</v>
      </c>
      <c r="L1057" s="53">
        <f t="shared" si="121"/>
        <v>983</v>
      </c>
      <c r="M1057" s="189">
        <v>1.01</v>
      </c>
      <c r="N1057" s="186">
        <f>VLOOKUP(6276,季財報!A:M,8,0)</f>
        <v>2</v>
      </c>
    </row>
    <row r="1058" spans="1:14">
      <c r="A1058" s="133">
        <v>6283</v>
      </c>
      <c r="C1058">
        <v>-15</v>
      </c>
      <c r="H1058" s="141">
        <v>0</v>
      </c>
      <c r="I1058">
        <f t="shared" si="120"/>
        <v>979</v>
      </c>
      <c r="J1058" s="137">
        <v>0</v>
      </c>
      <c r="K1058">
        <f t="shared" si="119"/>
        <v>945</v>
      </c>
      <c r="L1058" s="53">
        <f t="shared" si="121"/>
        <v>983</v>
      </c>
      <c r="M1058" s="189">
        <v>0.79</v>
      </c>
      <c r="N1058" s="186">
        <f>VLOOKUP(6283,季財報!A:M,8,0)</f>
        <v>2</v>
      </c>
    </row>
    <row r="1059" spans="1:14">
      <c r="A1059" s="133">
        <v>6284</v>
      </c>
      <c r="C1059">
        <v>14</v>
      </c>
      <c r="D1059">
        <v>793</v>
      </c>
      <c r="E1059">
        <v>2098</v>
      </c>
      <c r="F1059">
        <v>2760</v>
      </c>
      <c r="G1059">
        <v>1515</v>
      </c>
      <c r="H1059" s="141">
        <v>0</v>
      </c>
      <c r="I1059">
        <f t="shared" si="120"/>
        <v>979</v>
      </c>
      <c r="J1059" s="137">
        <v>0</v>
      </c>
      <c r="K1059">
        <f t="shared" si="119"/>
        <v>945</v>
      </c>
      <c r="L1059" s="53">
        <f t="shared" si="121"/>
        <v>983</v>
      </c>
      <c r="M1059" s="189">
        <v>1.9</v>
      </c>
      <c r="N1059" s="186">
        <f>VLOOKUP(6284,季財報!A:M,8,0)</f>
        <v>4</v>
      </c>
    </row>
    <row r="1060" spans="1:14">
      <c r="A1060" s="133">
        <v>6287</v>
      </c>
      <c r="C1060">
        <v>-56</v>
      </c>
      <c r="H1060" s="141">
        <v>0</v>
      </c>
      <c r="I1060">
        <f t="shared" si="120"/>
        <v>979</v>
      </c>
      <c r="J1060" s="137">
        <v>0</v>
      </c>
      <c r="K1060">
        <f t="shared" si="119"/>
        <v>945</v>
      </c>
      <c r="L1060" s="53">
        <f t="shared" si="121"/>
        <v>983</v>
      </c>
      <c r="M1060" s="189">
        <v>0.79</v>
      </c>
      <c r="N1060" s="186">
        <f>VLOOKUP(6287,季財報!A:M,8,0)</f>
        <v>3</v>
      </c>
    </row>
    <row r="1061" spans="1:14">
      <c r="A1061" s="133">
        <v>6289</v>
      </c>
      <c r="C1061">
        <v>-75</v>
      </c>
      <c r="H1061" s="141">
        <v>0</v>
      </c>
      <c r="I1061">
        <f t="shared" si="120"/>
        <v>979</v>
      </c>
      <c r="J1061" s="137">
        <v>0</v>
      </c>
      <c r="K1061">
        <f t="shared" si="119"/>
        <v>945</v>
      </c>
      <c r="L1061" s="53">
        <f t="shared" si="121"/>
        <v>983</v>
      </c>
      <c r="M1061" s="189">
        <v>0.79</v>
      </c>
      <c r="N1061" s="186">
        <f>VLOOKUP(6289,季財報!A:M,8,0)</f>
        <v>2</v>
      </c>
    </row>
    <row r="1062" spans="1:14">
      <c r="A1062" s="133">
        <v>6291</v>
      </c>
      <c r="C1062">
        <v>-12</v>
      </c>
      <c r="H1062" s="141">
        <v>0</v>
      </c>
      <c r="I1062">
        <f t="shared" si="120"/>
        <v>979</v>
      </c>
      <c r="J1062" s="137">
        <v>0</v>
      </c>
      <c r="K1062">
        <f t="shared" si="119"/>
        <v>945</v>
      </c>
      <c r="L1062" s="53">
        <f t="shared" si="121"/>
        <v>983</v>
      </c>
      <c r="M1062" s="189">
        <v>0.79</v>
      </c>
      <c r="N1062" s="186">
        <f>VLOOKUP(6291,季財報!A:M,8,0)</f>
        <v>0</v>
      </c>
    </row>
    <row r="1063" spans="1:14">
      <c r="A1063" s="133">
        <v>6404</v>
      </c>
      <c r="C1063">
        <v>4</v>
      </c>
      <c r="D1063">
        <v>801</v>
      </c>
      <c r="E1063">
        <v>0</v>
      </c>
      <c r="F1063">
        <v>1507</v>
      </c>
      <c r="G1063">
        <v>0</v>
      </c>
      <c r="H1063" s="141">
        <v>0</v>
      </c>
      <c r="I1063">
        <f t="shared" si="120"/>
        <v>979</v>
      </c>
      <c r="J1063" s="137">
        <v>0</v>
      </c>
      <c r="K1063">
        <f t="shared" si="119"/>
        <v>945</v>
      </c>
      <c r="L1063" s="53">
        <f t="shared" si="121"/>
        <v>983</v>
      </c>
      <c r="M1063" s="189">
        <v>1.01</v>
      </c>
      <c r="N1063" s="186">
        <f>VLOOKUP(6404,季財報!A:M,8,0)</f>
        <v>1</v>
      </c>
    </row>
    <row r="1064" spans="1:14">
      <c r="A1064" s="133">
        <v>6702</v>
      </c>
      <c r="C1064">
        <v>-665</v>
      </c>
      <c r="H1064" s="141">
        <v>0</v>
      </c>
      <c r="I1064">
        <f t="shared" si="120"/>
        <v>979</v>
      </c>
      <c r="J1064" s="137">
        <v>0</v>
      </c>
      <c r="K1064">
        <f t="shared" si="119"/>
        <v>945</v>
      </c>
      <c r="L1064" s="53">
        <f t="shared" si="121"/>
        <v>983</v>
      </c>
      <c r="M1064" s="189">
        <v>2.29</v>
      </c>
      <c r="N1064" s="186">
        <f>VLOOKUP(6702,季財報!A:M,8,0)</f>
        <v>2</v>
      </c>
    </row>
    <row r="1065" spans="1:14">
      <c r="A1065" s="133">
        <v>8011</v>
      </c>
      <c r="C1065">
        <v>-71</v>
      </c>
      <c r="H1065" s="141">
        <v>0</v>
      </c>
      <c r="I1065">
        <f t="shared" si="120"/>
        <v>979</v>
      </c>
      <c r="J1065" s="137">
        <v>0</v>
      </c>
      <c r="K1065">
        <f t="shared" si="119"/>
        <v>945</v>
      </c>
      <c r="L1065" s="53">
        <f t="shared" si="121"/>
        <v>983</v>
      </c>
      <c r="M1065" s="189">
        <v>1.36</v>
      </c>
      <c r="N1065" s="186">
        <f>VLOOKUP(8011,季財報!A:M,8,0)</f>
        <v>1</v>
      </c>
    </row>
    <row r="1066" spans="1:14">
      <c r="A1066" s="133">
        <v>8024</v>
      </c>
      <c r="C1066">
        <v>-8</v>
      </c>
      <c r="H1066" s="141">
        <v>0</v>
      </c>
      <c r="I1066">
        <f t="shared" si="120"/>
        <v>979</v>
      </c>
      <c r="J1066" s="137">
        <v>0</v>
      </c>
      <c r="K1066">
        <f t="shared" si="119"/>
        <v>945</v>
      </c>
      <c r="L1066" s="53">
        <f t="shared" si="121"/>
        <v>983</v>
      </c>
      <c r="M1066" s="189">
        <v>0.79</v>
      </c>
      <c r="N1066" s="186">
        <f>VLOOKUP(8024,季財報!A:M,8,0)</f>
        <v>1</v>
      </c>
    </row>
    <row r="1067" spans="1:14">
      <c r="A1067" s="133">
        <v>8034</v>
      </c>
      <c r="C1067">
        <v>-10</v>
      </c>
      <c r="H1067" s="141">
        <v>0</v>
      </c>
      <c r="I1067">
        <f t="shared" si="120"/>
        <v>979</v>
      </c>
      <c r="J1067" s="137">
        <v>0</v>
      </c>
      <c r="K1067">
        <f t="shared" si="119"/>
        <v>945</v>
      </c>
      <c r="L1067" s="53">
        <f t="shared" si="121"/>
        <v>983</v>
      </c>
      <c r="M1067" s="189">
        <v>1.84</v>
      </c>
      <c r="N1067" s="186">
        <f>VLOOKUP(8034,季財報!A:M,8,0)</f>
        <v>3</v>
      </c>
    </row>
    <row r="1068" spans="1:14">
      <c r="A1068" s="133">
        <v>8038</v>
      </c>
      <c r="C1068">
        <v>-34</v>
      </c>
      <c r="H1068" s="141">
        <v>0</v>
      </c>
      <c r="I1068">
        <f t="shared" si="120"/>
        <v>979</v>
      </c>
      <c r="J1068" s="137">
        <v>0</v>
      </c>
      <c r="K1068">
        <f t="shared" si="119"/>
        <v>945</v>
      </c>
      <c r="L1068" s="53">
        <f t="shared" si="121"/>
        <v>983</v>
      </c>
      <c r="M1068" s="189">
        <v>1.36</v>
      </c>
      <c r="N1068" s="186">
        <f>VLOOKUP(8038,季財報!A:M,8,0)</f>
        <v>1</v>
      </c>
    </row>
    <row r="1069" spans="1:14">
      <c r="A1069" s="133">
        <v>8040</v>
      </c>
      <c r="C1069">
        <v>-31</v>
      </c>
      <c r="H1069" s="141">
        <v>0</v>
      </c>
      <c r="I1069">
        <f t="shared" si="120"/>
        <v>979</v>
      </c>
      <c r="J1069" s="137">
        <v>0</v>
      </c>
      <c r="K1069">
        <f t="shared" si="119"/>
        <v>945</v>
      </c>
      <c r="L1069" s="53">
        <f t="shared" si="121"/>
        <v>983</v>
      </c>
      <c r="M1069" s="189">
        <v>1.58</v>
      </c>
      <c r="N1069" s="186">
        <f>VLOOKUP(8040,季財報!A:M,8,0)</f>
        <v>1</v>
      </c>
    </row>
    <row r="1070" spans="1:14">
      <c r="A1070" s="133">
        <v>8046</v>
      </c>
      <c r="C1070">
        <v>-462</v>
      </c>
      <c r="H1070" s="141">
        <v>0</v>
      </c>
      <c r="I1070">
        <f t="shared" si="120"/>
        <v>979</v>
      </c>
      <c r="J1070" s="137">
        <v>0</v>
      </c>
      <c r="K1070">
        <f t="shared" si="119"/>
        <v>945</v>
      </c>
      <c r="L1070" s="53">
        <f t="shared" si="121"/>
        <v>983</v>
      </c>
      <c r="M1070" s="189">
        <v>0.79</v>
      </c>
      <c r="N1070" s="186">
        <f>VLOOKUP(8046,季財報!A:M,8,0)</f>
        <v>2</v>
      </c>
    </row>
    <row r="1071" spans="1:14">
      <c r="A1071" s="133">
        <v>8092</v>
      </c>
      <c r="C1071">
        <v>-4</v>
      </c>
      <c r="H1071" s="141">
        <v>0</v>
      </c>
      <c r="I1071">
        <f t="shared" si="120"/>
        <v>979</v>
      </c>
      <c r="J1071" s="137">
        <v>0</v>
      </c>
      <c r="K1071">
        <f t="shared" si="119"/>
        <v>945</v>
      </c>
      <c r="L1071" s="53">
        <f t="shared" si="121"/>
        <v>983</v>
      </c>
      <c r="M1071" s="189">
        <v>0.79</v>
      </c>
      <c r="N1071" s="186">
        <f>VLOOKUP(8092,季財報!A:M,8,0)</f>
        <v>2</v>
      </c>
    </row>
    <row r="1072" spans="1:14">
      <c r="A1072" s="133">
        <v>8097</v>
      </c>
      <c r="C1072">
        <v>-7</v>
      </c>
      <c r="H1072" s="141">
        <v>0</v>
      </c>
      <c r="I1072">
        <f t="shared" si="120"/>
        <v>979</v>
      </c>
      <c r="J1072" s="137">
        <v>0</v>
      </c>
      <c r="K1072">
        <f t="shared" si="119"/>
        <v>945</v>
      </c>
      <c r="L1072" s="53">
        <f t="shared" si="121"/>
        <v>983</v>
      </c>
      <c r="M1072" s="189">
        <v>0.79</v>
      </c>
      <c r="N1072" s="186">
        <f>VLOOKUP(8097,季財報!A:M,8,0)</f>
        <v>5</v>
      </c>
    </row>
    <row r="1073" spans="1:14">
      <c r="A1073" s="133">
        <v>5523</v>
      </c>
      <c r="C1073">
        <v>-1</v>
      </c>
      <c r="H1073" s="141">
        <v>0</v>
      </c>
      <c r="I1073">
        <f t="shared" si="120"/>
        <v>979</v>
      </c>
      <c r="J1073" s="137">
        <v>0</v>
      </c>
      <c r="K1073">
        <f t="shared" si="119"/>
        <v>945</v>
      </c>
      <c r="L1073" s="53">
        <f t="shared" si="121"/>
        <v>983</v>
      </c>
      <c r="M1073" s="189">
        <v>1.01</v>
      </c>
      <c r="N1073" s="186">
        <f>VLOOKUP(5523,季財報!A:M,8,0)</f>
        <v>0</v>
      </c>
    </row>
    <row r="1074" spans="1:14">
      <c r="A1074" s="133">
        <v>5529</v>
      </c>
      <c r="C1074">
        <v>-15</v>
      </c>
      <c r="H1074" s="141">
        <v>0</v>
      </c>
      <c r="I1074">
        <f t="shared" si="120"/>
        <v>979</v>
      </c>
      <c r="J1074" s="137">
        <v>0</v>
      </c>
      <c r="K1074">
        <f t="shared" si="119"/>
        <v>945</v>
      </c>
      <c r="L1074" s="53">
        <f t="shared" si="121"/>
        <v>983</v>
      </c>
      <c r="M1074" s="189">
        <v>0.79</v>
      </c>
      <c r="N1074" s="186">
        <f>VLOOKUP(5529,季財報!A:M,8,0)</f>
        <v>0</v>
      </c>
    </row>
    <row r="1075" spans="1:14">
      <c r="A1075" s="133">
        <v>5531</v>
      </c>
      <c r="C1075">
        <v>-68</v>
      </c>
      <c r="H1075" s="141">
        <v>0</v>
      </c>
      <c r="I1075">
        <f t="shared" si="120"/>
        <v>979</v>
      </c>
      <c r="J1075" s="137">
        <v>0</v>
      </c>
      <c r="K1075">
        <f t="shared" si="119"/>
        <v>945</v>
      </c>
      <c r="L1075" s="53">
        <f t="shared" si="121"/>
        <v>983</v>
      </c>
      <c r="M1075" s="189">
        <v>0.79</v>
      </c>
      <c r="N1075" s="186">
        <f>VLOOKUP(5531,季財報!A:M,8,0)</f>
        <v>1</v>
      </c>
    </row>
    <row r="1076" spans="1:14">
      <c r="A1076" s="133">
        <v>5906</v>
      </c>
      <c r="C1076">
        <v>-122</v>
      </c>
      <c r="H1076" s="141">
        <v>0</v>
      </c>
      <c r="I1076">
        <f t="shared" si="120"/>
        <v>979</v>
      </c>
      <c r="J1076" s="137">
        <v>0</v>
      </c>
      <c r="K1076">
        <f t="shared" si="119"/>
        <v>945</v>
      </c>
      <c r="L1076" s="53">
        <f t="shared" si="121"/>
        <v>983</v>
      </c>
      <c r="M1076" s="189">
        <v>0.87</v>
      </c>
      <c r="N1076" s="186">
        <f>VLOOKUP(5906,季財報!A:M,8,0)</f>
        <v>3</v>
      </c>
    </row>
    <row r="1077" spans="1:14">
      <c r="A1077" s="133">
        <v>6101</v>
      </c>
      <c r="C1077">
        <v>-53</v>
      </c>
      <c r="H1077" s="141">
        <v>0</v>
      </c>
      <c r="I1077">
        <f t="shared" si="120"/>
        <v>979</v>
      </c>
      <c r="J1077" s="137">
        <v>0</v>
      </c>
      <c r="K1077">
        <f t="shared" si="119"/>
        <v>945</v>
      </c>
      <c r="L1077" s="53">
        <f t="shared" si="121"/>
        <v>983</v>
      </c>
      <c r="M1077" s="189">
        <v>1.01</v>
      </c>
      <c r="N1077" s="186">
        <f>VLOOKUP(6101,季財報!A:M,8,0)</f>
        <v>0</v>
      </c>
    </row>
    <row r="1078" spans="1:14">
      <c r="A1078" s="133">
        <v>6103</v>
      </c>
      <c r="C1078">
        <v>0</v>
      </c>
      <c r="H1078" s="141">
        <v>0</v>
      </c>
      <c r="I1078">
        <f t="shared" si="120"/>
        <v>979</v>
      </c>
      <c r="J1078" s="137">
        <v>0</v>
      </c>
      <c r="K1078">
        <f t="shared" si="119"/>
        <v>945</v>
      </c>
      <c r="L1078" s="53">
        <f t="shared" si="121"/>
        <v>983</v>
      </c>
      <c r="M1078" s="189">
        <v>1.1399999999999999</v>
      </c>
      <c r="N1078" s="186">
        <f>VLOOKUP(6103,季財報!A:M,8,0)</f>
        <v>4</v>
      </c>
    </row>
    <row r="1079" spans="1:14">
      <c r="A1079" s="133">
        <v>6113</v>
      </c>
      <c r="C1079">
        <v>-11</v>
      </c>
      <c r="H1079" s="141">
        <v>0</v>
      </c>
      <c r="I1079">
        <f t="shared" si="120"/>
        <v>979</v>
      </c>
      <c r="J1079" s="137">
        <v>0</v>
      </c>
      <c r="K1079">
        <f t="shared" si="119"/>
        <v>945</v>
      </c>
      <c r="L1079" s="53">
        <f t="shared" si="121"/>
        <v>983</v>
      </c>
      <c r="M1079" s="189">
        <v>0.79</v>
      </c>
      <c r="N1079" s="186">
        <f>VLOOKUP(6113,季財報!A:M,8,0)</f>
        <v>2</v>
      </c>
    </row>
    <row r="1080" spans="1:14">
      <c r="A1080" s="133">
        <v>6116</v>
      </c>
      <c r="C1080">
        <v>-874</v>
      </c>
      <c r="H1080" s="141">
        <v>0</v>
      </c>
      <c r="I1080">
        <f t="shared" si="120"/>
        <v>979</v>
      </c>
      <c r="J1080" s="137">
        <v>0</v>
      </c>
      <c r="K1080">
        <f t="shared" ref="K1080:K1143" si="122">RANK(0,J:J,0)</f>
        <v>945</v>
      </c>
      <c r="L1080" s="53">
        <f t="shared" si="121"/>
        <v>983</v>
      </c>
      <c r="M1080" s="189">
        <v>0.79</v>
      </c>
      <c r="N1080" s="186">
        <f>VLOOKUP(6116,季財報!A:M,8,0)</f>
        <v>2</v>
      </c>
    </row>
    <row r="1081" spans="1:14">
      <c r="A1081" s="133">
        <v>6117</v>
      </c>
      <c r="C1081">
        <v>-54</v>
      </c>
      <c r="H1081" s="141">
        <v>0</v>
      </c>
      <c r="I1081">
        <f t="shared" si="120"/>
        <v>979</v>
      </c>
      <c r="J1081" s="137">
        <v>0</v>
      </c>
      <c r="K1081">
        <f t="shared" si="122"/>
        <v>945</v>
      </c>
      <c r="L1081" s="53">
        <f t="shared" si="121"/>
        <v>983</v>
      </c>
      <c r="M1081" s="189">
        <v>0.79</v>
      </c>
      <c r="N1081" s="186">
        <f>VLOOKUP(6117,季財報!A:M,8,0)</f>
        <v>3</v>
      </c>
    </row>
    <row r="1082" spans="1:14">
      <c r="A1082" s="133">
        <v>6118</v>
      </c>
      <c r="C1082">
        <v>-3</v>
      </c>
      <c r="H1082" s="141">
        <v>0</v>
      </c>
      <c r="I1082">
        <f t="shared" si="120"/>
        <v>979</v>
      </c>
      <c r="J1082" s="137">
        <v>0</v>
      </c>
      <c r="K1082">
        <f t="shared" si="122"/>
        <v>945</v>
      </c>
      <c r="L1082" s="53">
        <f t="shared" si="121"/>
        <v>983</v>
      </c>
      <c r="M1082" s="189">
        <v>0.79</v>
      </c>
      <c r="N1082" s="186">
        <f>VLOOKUP(6118,季財報!A:M,8,0)</f>
        <v>2</v>
      </c>
    </row>
    <row r="1083" spans="1:14">
      <c r="A1083" s="133">
        <v>6120</v>
      </c>
      <c r="C1083">
        <v>-187</v>
      </c>
      <c r="H1083" s="141">
        <v>0</v>
      </c>
      <c r="I1083">
        <f t="shared" si="120"/>
        <v>979</v>
      </c>
      <c r="J1083" s="137">
        <v>0</v>
      </c>
      <c r="K1083">
        <f t="shared" si="122"/>
        <v>945</v>
      </c>
      <c r="L1083" s="53">
        <f t="shared" si="121"/>
        <v>983</v>
      </c>
      <c r="M1083" s="189">
        <v>0.79</v>
      </c>
      <c r="N1083" s="186">
        <f>VLOOKUP(6120,季財報!A:M,8,0)</f>
        <v>0</v>
      </c>
    </row>
    <row r="1084" spans="1:14">
      <c r="A1084" s="133">
        <v>6122</v>
      </c>
      <c r="C1084">
        <v>-18</v>
      </c>
      <c r="H1084" s="141">
        <v>0</v>
      </c>
      <c r="I1084">
        <f t="shared" si="120"/>
        <v>979</v>
      </c>
      <c r="J1084" s="137">
        <v>0</v>
      </c>
      <c r="K1084">
        <f t="shared" si="122"/>
        <v>945</v>
      </c>
      <c r="L1084" s="53">
        <f t="shared" si="121"/>
        <v>983</v>
      </c>
      <c r="M1084" s="189">
        <v>0.79</v>
      </c>
      <c r="N1084" s="186">
        <f>VLOOKUP(6122,季財報!A:M,8,0)</f>
        <v>1</v>
      </c>
    </row>
    <row r="1085" spans="1:14">
      <c r="A1085" s="133">
        <v>6124</v>
      </c>
      <c r="C1085">
        <v>-15</v>
      </c>
      <c r="H1085" s="141">
        <v>0</v>
      </c>
      <c r="I1085">
        <f t="shared" si="120"/>
        <v>979</v>
      </c>
      <c r="J1085" s="137">
        <v>0</v>
      </c>
      <c r="K1085">
        <f t="shared" si="122"/>
        <v>945</v>
      </c>
      <c r="L1085" s="53">
        <f t="shared" si="121"/>
        <v>983</v>
      </c>
      <c r="M1085" s="189">
        <v>0.79</v>
      </c>
      <c r="N1085" s="186">
        <f>VLOOKUP(6124,季財報!A:M,8,0)</f>
        <v>3</v>
      </c>
    </row>
    <row r="1086" spans="1:14">
      <c r="A1086" s="133">
        <v>6125</v>
      </c>
      <c r="C1086">
        <v>31</v>
      </c>
      <c r="D1086">
        <v>1380</v>
      </c>
      <c r="E1086">
        <v>5651</v>
      </c>
      <c r="F1086">
        <v>8548</v>
      </c>
      <c r="G1086">
        <v>1910</v>
      </c>
      <c r="H1086" s="141">
        <v>0</v>
      </c>
      <c r="I1086">
        <f t="shared" si="120"/>
        <v>979</v>
      </c>
      <c r="J1086" s="137">
        <v>0</v>
      </c>
      <c r="K1086">
        <f t="shared" si="122"/>
        <v>945</v>
      </c>
      <c r="L1086" s="53">
        <f t="shared" si="121"/>
        <v>983</v>
      </c>
      <c r="M1086" s="189">
        <v>1.01</v>
      </c>
      <c r="N1086" s="186">
        <f>VLOOKUP(6125,季財報!A:M,8,0)</f>
        <v>2</v>
      </c>
    </row>
    <row r="1087" spans="1:14">
      <c r="A1087" s="133">
        <v>6126</v>
      </c>
      <c r="C1087">
        <v>-26</v>
      </c>
      <c r="H1087" s="141">
        <v>0</v>
      </c>
      <c r="I1087">
        <f t="shared" si="120"/>
        <v>979</v>
      </c>
      <c r="J1087" s="137">
        <v>0</v>
      </c>
      <c r="K1087">
        <f t="shared" si="122"/>
        <v>945</v>
      </c>
      <c r="L1087" s="53">
        <f t="shared" si="121"/>
        <v>983</v>
      </c>
      <c r="M1087" s="189">
        <v>0.79</v>
      </c>
      <c r="N1087" s="186">
        <f>VLOOKUP(6126,季財報!A:M,8,0)</f>
        <v>4</v>
      </c>
    </row>
    <row r="1088" spans="1:14">
      <c r="A1088" s="133">
        <v>6129</v>
      </c>
      <c r="C1088">
        <v>-18</v>
      </c>
      <c r="H1088" s="141">
        <v>0</v>
      </c>
      <c r="I1088">
        <f t="shared" si="120"/>
        <v>979</v>
      </c>
      <c r="J1088" s="137">
        <v>0</v>
      </c>
      <c r="K1088">
        <f t="shared" si="122"/>
        <v>945</v>
      </c>
      <c r="L1088" s="53">
        <f t="shared" si="121"/>
        <v>983</v>
      </c>
      <c r="M1088" s="189">
        <v>0.79</v>
      </c>
      <c r="N1088" s="186">
        <f>VLOOKUP(6129,季財報!A:M,8,0)</f>
        <v>1</v>
      </c>
    </row>
    <row r="1089" spans="1:14">
      <c r="A1089" s="133">
        <v>6130</v>
      </c>
      <c r="C1089">
        <v>1</v>
      </c>
      <c r="D1089">
        <v>205</v>
      </c>
      <c r="E1089">
        <v>45</v>
      </c>
      <c r="F1089">
        <v>307</v>
      </c>
      <c r="G1089">
        <v>0</v>
      </c>
      <c r="H1089" s="141">
        <v>0</v>
      </c>
      <c r="I1089">
        <f t="shared" si="120"/>
        <v>979</v>
      </c>
      <c r="J1089" s="137">
        <v>0</v>
      </c>
      <c r="K1089">
        <f t="shared" si="122"/>
        <v>945</v>
      </c>
      <c r="L1089" s="53">
        <f t="shared" si="121"/>
        <v>983</v>
      </c>
      <c r="M1089" s="189">
        <v>1.36</v>
      </c>
      <c r="N1089" s="186">
        <f>VLOOKUP(6130,季財報!A:M,8,0)</f>
        <v>2</v>
      </c>
    </row>
    <row r="1090" spans="1:14">
      <c r="A1090" s="133">
        <v>6131</v>
      </c>
      <c r="C1090">
        <v>-29</v>
      </c>
      <c r="H1090" s="141">
        <v>0</v>
      </c>
      <c r="I1090">
        <f t="shared" si="120"/>
        <v>979</v>
      </c>
      <c r="J1090" s="137">
        <v>0</v>
      </c>
      <c r="K1090">
        <f t="shared" si="122"/>
        <v>945</v>
      </c>
      <c r="L1090" s="53">
        <f t="shared" si="121"/>
        <v>983</v>
      </c>
      <c r="M1090" s="189">
        <v>1.29</v>
      </c>
      <c r="N1090" s="186">
        <f>VLOOKUP(6131,季財報!A:M,8,0)</f>
        <v>3</v>
      </c>
    </row>
    <row r="1091" spans="1:14">
      <c r="A1091" s="133">
        <v>6133</v>
      </c>
      <c r="C1091">
        <v>7</v>
      </c>
      <c r="D1091">
        <v>1067</v>
      </c>
      <c r="E1091">
        <v>484</v>
      </c>
      <c r="F1091">
        <v>1634</v>
      </c>
      <c r="G1091">
        <v>0</v>
      </c>
      <c r="H1091" s="141">
        <v>0</v>
      </c>
      <c r="I1091">
        <f t="shared" si="120"/>
        <v>979</v>
      </c>
      <c r="J1091" s="137">
        <v>0</v>
      </c>
      <c r="K1091">
        <f t="shared" si="122"/>
        <v>945</v>
      </c>
      <c r="L1091" s="53">
        <f t="shared" si="121"/>
        <v>983</v>
      </c>
      <c r="M1091" s="189">
        <v>1.1399999999999999</v>
      </c>
      <c r="N1091" s="186">
        <f>VLOOKUP(6133,季財報!A:M,8,0)</f>
        <v>3</v>
      </c>
    </row>
    <row r="1092" spans="1:14">
      <c r="A1092" s="133">
        <v>6134</v>
      </c>
      <c r="C1092">
        <v>0</v>
      </c>
      <c r="H1092" s="141">
        <v>0</v>
      </c>
      <c r="I1092">
        <f t="shared" si="120"/>
        <v>979</v>
      </c>
      <c r="J1092" s="137">
        <v>0</v>
      </c>
      <c r="K1092">
        <f t="shared" si="122"/>
        <v>945</v>
      </c>
      <c r="L1092" s="53">
        <f t="shared" si="121"/>
        <v>983</v>
      </c>
      <c r="M1092" s="189">
        <v>0.79</v>
      </c>
      <c r="N1092" s="186">
        <f>VLOOKUP(6134,季財報!A:M,8,0)</f>
        <v>2</v>
      </c>
    </row>
    <row r="1093" spans="1:14">
      <c r="A1093" s="133">
        <v>6136</v>
      </c>
      <c r="C1093">
        <v>-8</v>
      </c>
      <c r="H1093" s="141">
        <v>0</v>
      </c>
      <c r="I1093">
        <f t="shared" si="120"/>
        <v>979</v>
      </c>
      <c r="J1093" s="137">
        <v>0</v>
      </c>
      <c r="K1093">
        <f t="shared" si="122"/>
        <v>945</v>
      </c>
      <c r="L1093" s="53">
        <f t="shared" si="121"/>
        <v>983</v>
      </c>
      <c r="M1093" s="189">
        <v>0.79</v>
      </c>
      <c r="N1093" s="186">
        <f>VLOOKUP(6136,季財報!A:M,8,0)</f>
        <v>4</v>
      </c>
    </row>
    <row r="1094" spans="1:14">
      <c r="A1094" s="133">
        <v>6140</v>
      </c>
      <c r="C1094">
        <v>-1</v>
      </c>
      <c r="H1094" s="141">
        <v>0</v>
      </c>
      <c r="I1094">
        <f t="shared" si="120"/>
        <v>979</v>
      </c>
      <c r="J1094" s="137">
        <v>0</v>
      </c>
      <c r="K1094">
        <f t="shared" si="122"/>
        <v>945</v>
      </c>
      <c r="L1094" s="53">
        <f t="shared" si="121"/>
        <v>983</v>
      </c>
      <c r="M1094" s="189">
        <v>1.9</v>
      </c>
      <c r="N1094" s="186">
        <f>VLOOKUP(6140,季財報!A:M,8,0)</f>
        <v>2</v>
      </c>
    </row>
    <row r="1095" spans="1:14">
      <c r="A1095" s="133">
        <v>6141</v>
      </c>
      <c r="C1095">
        <v>-76</v>
      </c>
      <c r="H1095" s="141">
        <v>0</v>
      </c>
      <c r="I1095">
        <f t="shared" si="120"/>
        <v>979</v>
      </c>
      <c r="J1095" s="137">
        <v>0</v>
      </c>
      <c r="K1095">
        <f t="shared" si="122"/>
        <v>945</v>
      </c>
      <c r="L1095" s="53">
        <f t="shared" si="121"/>
        <v>983</v>
      </c>
      <c r="M1095" s="189">
        <v>0.79</v>
      </c>
      <c r="N1095" s="186">
        <f>VLOOKUP(6141,季財報!A:M,8,0)</f>
        <v>1</v>
      </c>
    </row>
    <row r="1096" spans="1:14">
      <c r="A1096" s="133">
        <v>6142</v>
      </c>
      <c r="C1096">
        <v>-19</v>
      </c>
      <c r="H1096" s="141">
        <v>0</v>
      </c>
      <c r="I1096">
        <f t="shared" si="120"/>
        <v>979</v>
      </c>
      <c r="J1096" s="137">
        <v>0</v>
      </c>
      <c r="K1096">
        <f t="shared" si="122"/>
        <v>945</v>
      </c>
      <c r="L1096" s="53">
        <f t="shared" si="121"/>
        <v>983</v>
      </c>
      <c r="M1096" s="189">
        <v>0.79</v>
      </c>
      <c r="N1096" s="186">
        <f>VLOOKUP(6142,季財報!A:M,8,0)</f>
        <v>2</v>
      </c>
    </row>
    <row r="1097" spans="1:14">
      <c r="A1097" s="133">
        <v>6143</v>
      </c>
      <c r="C1097">
        <v>-6</v>
      </c>
      <c r="H1097" s="141">
        <v>0</v>
      </c>
      <c r="I1097">
        <f t="shared" si="120"/>
        <v>979</v>
      </c>
      <c r="J1097" s="137">
        <v>0</v>
      </c>
      <c r="K1097">
        <f t="shared" si="122"/>
        <v>945</v>
      </c>
      <c r="L1097" s="53">
        <f t="shared" si="121"/>
        <v>983</v>
      </c>
      <c r="M1097" s="189">
        <v>2.29</v>
      </c>
      <c r="N1097" s="186">
        <f>VLOOKUP(6143,季財報!A:M,8,0)</f>
        <v>5</v>
      </c>
    </row>
    <row r="1098" spans="1:14">
      <c r="A1098" s="133">
        <v>6144</v>
      </c>
      <c r="C1098">
        <v>-4</v>
      </c>
      <c r="H1098" s="141">
        <v>0</v>
      </c>
      <c r="I1098">
        <f t="shared" si="120"/>
        <v>979</v>
      </c>
      <c r="J1098" s="137">
        <v>0</v>
      </c>
      <c r="K1098">
        <f t="shared" si="122"/>
        <v>945</v>
      </c>
      <c r="L1098" s="53">
        <f t="shared" si="121"/>
        <v>983</v>
      </c>
      <c r="M1098" s="189">
        <v>0.87</v>
      </c>
      <c r="N1098" s="186">
        <f>VLOOKUP(6144,季財報!A:M,8,0)</f>
        <v>2</v>
      </c>
    </row>
    <row r="1099" spans="1:14">
      <c r="A1099" s="133">
        <v>6145</v>
      </c>
      <c r="C1099">
        <v>3</v>
      </c>
      <c r="D1099">
        <v>1288</v>
      </c>
      <c r="E1099">
        <v>38</v>
      </c>
      <c r="F1099">
        <v>4962</v>
      </c>
      <c r="G1099">
        <v>457</v>
      </c>
      <c r="H1099" s="141">
        <v>0</v>
      </c>
      <c r="I1099">
        <f t="shared" si="120"/>
        <v>979</v>
      </c>
      <c r="J1099" s="137">
        <v>0</v>
      </c>
      <c r="K1099">
        <f t="shared" si="122"/>
        <v>945</v>
      </c>
      <c r="L1099" s="53">
        <f t="shared" si="121"/>
        <v>983</v>
      </c>
      <c r="M1099" s="189">
        <v>11.17</v>
      </c>
      <c r="N1099" s="186">
        <f>VLOOKUP(6145,季財報!A:M,8,0)</f>
        <v>2</v>
      </c>
    </row>
    <row r="1100" spans="1:14">
      <c r="A1100" s="133">
        <v>6150</v>
      </c>
      <c r="C1100">
        <v>-36</v>
      </c>
      <c r="H1100" s="141">
        <v>0</v>
      </c>
      <c r="I1100">
        <f t="shared" si="120"/>
        <v>979</v>
      </c>
      <c r="J1100" s="137">
        <v>0</v>
      </c>
      <c r="K1100">
        <f t="shared" si="122"/>
        <v>945</v>
      </c>
      <c r="L1100" s="53">
        <f t="shared" si="121"/>
        <v>983</v>
      </c>
      <c r="M1100" s="189">
        <v>5.24</v>
      </c>
      <c r="N1100" s="186">
        <f>VLOOKUP(6150,季財報!A:M,8,0)</f>
        <v>2</v>
      </c>
    </row>
    <row r="1101" spans="1:14">
      <c r="A1101" s="133">
        <v>6152</v>
      </c>
      <c r="C1101">
        <v>-165</v>
      </c>
      <c r="H1101" s="141">
        <v>0</v>
      </c>
      <c r="I1101">
        <f t="shared" si="120"/>
        <v>979</v>
      </c>
      <c r="J1101" s="137">
        <v>0</v>
      </c>
      <c r="K1101">
        <f t="shared" si="122"/>
        <v>945</v>
      </c>
      <c r="L1101" s="53">
        <f t="shared" si="121"/>
        <v>983</v>
      </c>
      <c r="M1101" s="189">
        <v>0.79</v>
      </c>
      <c r="N1101" s="186">
        <f>VLOOKUP(6152,季財報!A:M,8,0)</f>
        <v>3</v>
      </c>
    </row>
    <row r="1102" spans="1:14">
      <c r="A1102" s="133">
        <v>6186</v>
      </c>
      <c r="C1102">
        <v>-18</v>
      </c>
      <c r="H1102" s="141">
        <v>0</v>
      </c>
      <c r="I1102">
        <f t="shared" si="120"/>
        <v>979</v>
      </c>
      <c r="J1102" s="137">
        <v>0</v>
      </c>
      <c r="K1102">
        <f t="shared" si="122"/>
        <v>945</v>
      </c>
      <c r="L1102" s="53">
        <f t="shared" si="121"/>
        <v>983</v>
      </c>
      <c r="M1102" s="189">
        <v>0.79</v>
      </c>
      <c r="N1102" s="186" t="e">
        <f>VLOOKUP(6186,季財報!A:M,8,0)</f>
        <v>#N/A</v>
      </c>
    </row>
    <row r="1103" spans="1:14">
      <c r="A1103" s="133">
        <v>6191</v>
      </c>
      <c r="C1103">
        <v>55</v>
      </c>
      <c r="D1103">
        <v>6442</v>
      </c>
      <c r="E1103">
        <v>6930</v>
      </c>
      <c r="F1103">
        <v>11467</v>
      </c>
      <c r="G1103">
        <v>3249</v>
      </c>
      <c r="H1103" s="141">
        <v>0</v>
      </c>
      <c r="I1103">
        <f t="shared" si="120"/>
        <v>979</v>
      </c>
      <c r="J1103" s="137">
        <v>0</v>
      </c>
      <c r="K1103">
        <f t="shared" si="122"/>
        <v>945</v>
      </c>
      <c r="L1103" s="53">
        <f t="shared" si="121"/>
        <v>983</v>
      </c>
      <c r="M1103" s="189">
        <v>0.79</v>
      </c>
      <c r="N1103" s="186">
        <f>VLOOKUP(6191,季財報!A:M,8,0)</f>
        <v>0</v>
      </c>
    </row>
    <row r="1104" spans="1:14">
      <c r="A1104" s="133">
        <v>6194</v>
      </c>
      <c r="C1104">
        <v>-22</v>
      </c>
      <c r="H1104" s="141">
        <v>0</v>
      </c>
      <c r="I1104">
        <f t="shared" si="120"/>
        <v>979</v>
      </c>
      <c r="J1104" s="137">
        <v>0</v>
      </c>
      <c r="K1104">
        <f t="shared" si="122"/>
        <v>945</v>
      </c>
      <c r="L1104" s="53">
        <f t="shared" si="121"/>
        <v>983</v>
      </c>
      <c r="M1104" s="189">
        <v>0.79</v>
      </c>
      <c r="N1104" s="186">
        <f>VLOOKUP(6194,季財報!A:M,8,0)</f>
        <v>3</v>
      </c>
    </row>
    <row r="1105" spans="1:14">
      <c r="A1105" s="133">
        <v>6198</v>
      </c>
      <c r="C1105">
        <v>-9</v>
      </c>
      <c r="H1105" s="141">
        <v>0</v>
      </c>
      <c r="I1105">
        <f t="shared" si="120"/>
        <v>979</v>
      </c>
      <c r="J1105" s="137">
        <v>0</v>
      </c>
      <c r="K1105">
        <f t="shared" si="122"/>
        <v>945</v>
      </c>
      <c r="L1105" s="53">
        <f t="shared" si="121"/>
        <v>983</v>
      </c>
      <c r="M1105" s="189">
        <v>0.79</v>
      </c>
      <c r="N1105" s="186">
        <f>VLOOKUP(6198,季財報!A:M,8,0)</f>
        <v>3</v>
      </c>
    </row>
    <row r="1106" spans="1:14">
      <c r="A1106" s="133">
        <v>6209</v>
      </c>
      <c r="C1106">
        <v>-3</v>
      </c>
      <c r="H1106" s="141">
        <v>0</v>
      </c>
      <c r="I1106">
        <f t="shared" si="120"/>
        <v>979</v>
      </c>
      <c r="J1106" s="137">
        <v>0</v>
      </c>
      <c r="K1106">
        <f t="shared" si="122"/>
        <v>945</v>
      </c>
      <c r="L1106" s="53">
        <f t="shared" si="121"/>
        <v>983</v>
      </c>
      <c r="M1106" s="189">
        <v>0.79</v>
      </c>
      <c r="N1106" s="186">
        <f>VLOOKUP(6209,季財報!A:M,8,0)</f>
        <v>0</v>
      </c>
    </row>
    <row r="1107" spans="1:14">
      <c r="A1107" s="133">
        <v>6211</v>
      </c>
      <c r="C1107">
        <v>-8</v>
      </c>
      <c r="H1107" s="141">
        <v>0</v>
      </c>
      <c r="I1107">
        <f t="shared" si="120"/>
        <v>979</v>
      </c>
      <c r="J1107" s="137">
        <v>0</v>
      </c>
      <c r="K1107">
        <f t="shared" si="122"/>
        <v>945</v>
      </c>
      <c r="L1107" s="53">
        <f t="shared" si="121"/>
        <v>983</v>
      </c>
      <c r="M1107" s="189">
        <v>1.01</v>
      </c>
      <c r="N1107" s="186">
        <f>VLOOKUP(6211,季財報!A:M,8,0)</f>
        <v>4</v>
      </c>
    </row>
    <row r="1108" spans="1:14">
      <c r="A1108" s="133">
        <v>6225</v>
      </c>
      <c r="C1108">
        <v>-15</v>
      </c>
      <c r="H1108" s="141">
        <v>0</v>
      </c>
      <c r="I1108">
        <f t="shared" si="120"/>
        <v>979</v>
      </c>
      <c r="J1108" s="137">
        <v>0</v>
      </c>
      <c r="K1108">
        <f t="shared" si="122"/>
        <v>945</v>
      </c>
      <c r="L1108" s="53">
        <f t="shared" si="121"/>
        <v>983</v>
      </c>
      <c r="M1108" s="189">
        <v>1.46</v>
      </c>
      <c r="N1108" s="186">
        <f>VLOOKUP(6225,季財報!A:M,8,0)</f>
        <v>3</v>
      </c>
    </row>
    <row r="1109" spans="1:14">
      <c r="A1109" s="133">
        <v>6228</v>
      </c>
      <c r="C1109">
        <v>-4</v>
      </c>
      <c r="H1109" s="141">
        <v>0</v>
      </c>
      <c r="I1109">
        <f t="shared" si="120"/>
        <v>979</v>
      </c>
      <c r="J1109" s="137">
        <v>0</v>
      </c>
      <c r="K1109">
        <f t="shared" si="122"/>
        <v>945</v>
      </c>
      <c r="L1109" s="53">
        <f t="shared" si="121"/>
        <v>983</v>
      </c>
      <c r="M1109" s="189">
        <v>0.79</v>
      </c>
      <c r="N1109" s="186">
        <f>VLOOKUP(6228,季財報!A:M,8,0)</f>
        <v>4</v>
      </c>
    </row>
    <row r="1110" spans="1:14">
      <c r="A1110" s="133">
        <v>6231</v>
      </c>
      <c r="C1110">
        <v>-2</v>
      </c>
      <c r="H1110" s="141">
        <v>0</v>
      </c>
      <c r="I1110">
        <f t="shared" si="120"/>
        <v>979</v>
      </c>
      <c r="J1110" s="137">
        <v>0</v>
      </c>
      <c r="K1110">
        <f t="shared" si="122"/>
        <v>945</v>
      </c>
      <c r="L1110" s="53">
        <f t="shared" si="121"/>
        <v>983</v>
      </c>
      <c r="M1110" s="189">
        <v>1.58</v>
      </c>
      <c r="N1110" s="186">
        <f>VLOOKUP(6231,季財報!A:M,8,0)</f>
        <v>2</v>
      </c>
    </row>
    <row r="1111" spans="1:14">
      <c r="A1111" s="133">
        <v>6233</v>
      </c>
      <c r="C1111">
        <v>-9</v>
      </c>
      <c r="H1111" s="141">
        <v>0</v>
      </c>
      <c r="I1111">
        <f t="shared" si="120"/>
        <v>979</v>
      </c>
      <c r="J1111" s="137">
        <v>0</v>
      </c>
      <c r="K1111">
        <f t="shared" si="122"/>
        <v>945</v>
      </c>
      <c r="L1111" s="53">
        <f t="shared" si="121"/>
        <v>983</v>
      </c>
      <c r="M1111" s="189">
        <v>1.29</v>
      </c>
      <c r="N1111" s="186">
        <f>VLOOKUP(6233,季財報!A:M,8,0)</f>
        <v>2</v>
      </c>
    </row>
    <row r="1112" spans="1:14">
      <c r="A1112" s="133">
        <v>6234</v>
      </c>
      <c r="C1112">
        <v>-8</v>
      </c>
      <c r="H1112" s="141">
        <v>0</v>
      </c>
      <c r="I1112">
        <f t="shared" ref="I1112:I1175" si="123">RANK(0,H:H,0)</f>
        <v>979</v>
      </c>
      <c r="J1112" s="137">
        <v>0</v>
      </c>
      <c r="K1112">
        <f t="shared" si="122"/>
        <v>945</v>
      </c>
      <c r="L1112" s="53">
        <f t="shared" ref="L1112:L1175" si="124">RANK(0.79,M:M,0)</f>
        <v>983</v>
      </c>
      <c r="M1112" s="189">
        <v>0.79</v>
      </c>
      <c r="N1112" s="186">
        <f>VLOOKUP(6234,季財報!A:M,8,0)</f>
        <v>1</v>
      </c>
    </row>
    <row r="1113" spans="1:14">
      <c r="A1113" s="133">
        <v>6235</v>
      </c>
      <c r="C1113">
        <v>-19</v>
      </c>
      <c r="H1113" s="141">
        <v>0</v>
      </c>
      <c r="I1113">
        <f t="shared" si="123"/>
        <v>979</v>
      </c>
      <c r="J1113" s="137">
        <v>0</v>
      </c>
      <c r="K1113">
        <f t="shared" si="122"/>
        <v>945</v>
      </c>
      <c r="L1113" s="53">
        <f t="shared" si="124"/>
        <v>983</v>
      </c>
      <c r="M1113" s="189">
        <v>0.79</v>
      </c>
      <c r="N1113" s="186">
        <f>VLOOKUP(6235,季財報!A:M,8,0)</f>
        <v>2</v>
      </c>
    </row>
    <row r="1114" spans="1:14">
      <c r="A1114" s="133">
        <v>6236</v>
      </c>
      <c r="C1114">
        <v>-13</v>
      </c>
      <c r="H1114" s="141">
        <v>0</v>
      </c>
      <c r="I1114">
        <f t="shared" si="123"/>
        <v>979</v>
      </c>
      <c r="J1114" s="137">
        <v>0</v>
      </c>
      <c r="K1114">
        <f t="shared" si="122"/>
        <v>945</v>
      </c>
      <c r="L1114" s="53">
        <f t="shared" si="124"/>
        <v>983</v>
      </c>
      <c r="M1114" s="189">
        <v>0.79</v>
      </c>
      <c r="N1114" s="186">
        <f>VLOOKUP(6236,季財報!A:M,8,0)</f>
        <v>1</v>
      </c>
    </row>
    <row r="1115" spans="1:14">
      <c r="A1115" s="133">
        <v>6237</v>
      </c>
      <c r="C1115">
        <v>-2</v>
      </c>
      <c r="H1115" s="141">
        <v>0</v>
      </c>
      <c r="I1115">
        <f t="shared" si="123"/>
        <v>979</v>
      </c>
      <c r="J1115" s="137">
        <v>0</v>
      </c>
      <c r="K1115">
        <f t="shared" si="122"/>
        <v>945</v>
      </c>
      <c r="L1115" s="53">
        <f t="shared" si="124"/>
        <v>983</v>
      </c>
      <c r="M1115" s="189">
        <v>0.79</v>
      </c>
      <c r="N1115" s="186">
        <f>VLOOKUP(6237,季財報!A:M,8,0)</f>
        <v>2</v>
      </c>
    </row>
    <row r="1116" spans="1:14">
      <c r="A1116" s="133">
        <v>6241</v>
      </c>
      <c r="C1116">
        <v>-4</v>
      </c>
      <c r="H1116" s="141">
        <v>0</v>
      </c>
      <c r="I1116">
        <f t="shared" si="123"/>
        <v>979</v>
      </c>
      <c r="J1116" s="137">
        <v>0</v>
      </c>
      <c r="K1116">
        <f t="shared" si="122"/>
        <v>945</v>
      </c>
      <c r="L1116" s="53">
        <f t="shared" si="124"/>
        <v>983</v>
      </c>
      <c r="M1116" s="189">
        <v>0.79</v>
      </c>
      <c r="N1116" s="186">
        <f>VLOOKUP(6241,季財報!A:M,8,0)</f>
        <v>1</v>
      </c>
    </row>
    <row r="1117" spans="1:14">
      <c r="A1117" s="133">
        <v>8027</v>
      </c>
      <c r="C1117">
        <v>4</v>
      </c>
      <c r="D1117">
        <v>500</v>
      </c>
      <c r="E1117">
        <v>383</v>
      </c>
      <c r="F1117">
        <v>904</v>
      </c>
      <c r="G1117">
        <v>210</v>
      </c>
      <c r="H1117" s="141">
        <v>0</v>
      </c>
      <c r="I1117">
        <f t="shared" si="123"/>
        <v>979</v>
      </c>
      <c r="J1117" s="137">
        <v>0</v>
      </c>
      <c r="K1117">
        <f t="shared" si="122"/>
        <v>945</v>
      </c>
      <c r="L1117" s="53">
        <f t="shared" si="124"/>
        <v>983</v>
      </c>
      <c r="M1117" s="189">
        <v>0.79</v>
      </c>
      <c r="N1117" s="186">
        <f>VLOOKUP(8027,季財報!A:M,8,0)</f>
        <v>2</v>
      </c>
    </row>
    <row r="1118" spans="1:14">
      <c r="A1118" s="133">
        <v>5014</v>
      </c>
      <c r="C1118">
        <v>-64</v>
      </c>
      <c r="H1118" s="141">
        <v>0</v>
      </c>
      <c r="I1118">
        <f t="shared" si="123"/>
        <v>979</v>
      </c>
      <c r="J1118" s="137">
        <v>0</v>
      </c>
      <c r="K1118">
        <f t="shared" si="122"/>
        <v>945</v>
      </c>
      <c r="L1118" s="53">
        <f t="shared" si="124"/>
        <v>983</v>
      </c>
      <c r="M1118" s="189">
        <v>0.79</v>
      </c>
      <c r="N1118" s="186">
        <f>VLOOKUP(5014,季財報!A:M,8,0)</f>
        <v>3</v>
      </c>
    </row>
    <row r="1119" spans="1:14">
      <c r="A1119" s="133">
        <v>5201</v>
      </c>
      <c r="C1119">
        <v>1</v>
      </c>
      <c r="D1119">
        <v>229</v>
      </c>
      <c r="E1119">
        <v>20</v>
      </c>
      <c r="F1119">
        <v>341</v>
      </c>
      <c r="G1119">
        <v>0</v>
      </c>
      <c r="H1119" s="141">
        <v>0</v>
      </c>
      <c r="I1119">
        <f t="shared" si="123"/>
        <v>979</v>
      </c>
      <c r="J1119" s="137">
        <v>0</v>
      </c>
      <c r="K1119">
        <f t="shared" si="122"/>
        <v>945</v>
      </c>
      <c r="L1119" s="53">
        <f t="shared" si="124"/>
        <v>983</v>
      </c>
      <c r="M1119" s="189">
        <v>0.79</v>
      </c>
      <c r="N1119" s="186">
        <f>VLOOKUP(5201,季財報!A:M,8,0)</f>
        <v>4</v>
      </c>
    </row>
    <row r="1120" spans="1:14">
      <c r="A1120" s="133">
        <v>5202</v>
      </c>
      <c r="C1120">
        <v>0</v>
      </c>
      <c r="H1120" s="141">
        <v>0</v>
      </c>
      <c r="I1120">
        <f t="shared" si="123"/>
        <v>979</v>
      </c>
      <c r="J1120" s="137">
        <v>0</v>
      </c>
      <c r="K1120">
        <f t="shared" si="122"/>
        <v>945</v>
      </c>
      <c r="L1120" s="53">
        <f t="shared" si="124"/>
        <v>983</v>
      </c>
      <c r="M1120" s="189">
        <v>0.79</v>
      </c>
      <c r="N1120" s="186">
        <f>VLOOKUP(5202,季財報!A:M,8,0)</f>
        <v>2</v>
      </c>
    </row>
    <row r="1121" spans="1:14">
      <c r="A1121" s="133">
        <v>5205</v>
      </c>
      <c r="C1121">
        <v>-4</v>
      </c>
      <c r="H1121" s="141">
        <v>0</v>
      </c>
      <c r="I1121">
        <f t="shared" si="123"/>
        <v>979</v>
      </c>
      <c r="J1121" s="137">
        <v>0</v>
      </c>
      <c r="K1121">
        <f t="shared" si="122"/>
        <v>945</v>
      </c>
      <c r="L1121" s="53">
        <f t="shared" si="124"/>
        <v>983</v>
      </c>
      <c r="M1121" s="189">
        <v>0.79</v>
      </c>
      <c r="N1121" s="186">
        <f>VLOOKUP(5205,季財報!A:M,8,0)</f>
        <v>0</v>
      </c>
    </row>
    <row r="1122" spans="1:14">
      <c r="A1122" s="133">
        <v>5210</v>
      </c>
      <c r="C1122">
        <v>-19</v>
      </c>
      <c r="H1122" s="141">
        <v>0</v>
      </c>
      <c r="I1122">
        <f t="shared" si="123"/>
        <v>979</v>
      </c>
      <c r="J1122" s="137">
        <v>0</v>
      </c>
      <c r="K1122">
        <f t="shared" si="122"/>
        <v>945</v>
      </c>
      <c r="L1122" s="53">
        <f t="shared" si="124"/>
        <v>983</v>
      </c>
      <c r="M1122" s="189">
        <v>1.62</v>
      </c>
      <c r="N1122" s="186">
        <f>VLOOKUP(5210,季財報!A:M,8,0)</f>
        <v>2</v>
      </c>
    </row>
    <row r="1123" spans="1:14">
      <c r="A1123" s="133">
        <v>5213</v>
      </c>
      <c r="C1123">
        <v>24</v>
      </c>
      <c r="D1123">
        <v>7830</v>
      </c>
      <c r="E1123">
        <v>1228</v>
      </c>
      <c r="F1123">
        <v>7241</v>
      </c>
      <c r="G1123">
        <v>11622</v>
      </c>
      <c r="H1123" s="141">
        <v>0</v>
      </c>
      <c r="I1123">
        <f t="shared" si="123"/>
        <v>979</v>
      </c>
      <c r="J1123" s="137">
        <v>0</v>
      </c>
      <c r="K1123">
        <f t="shared" si="122"/>
        <v>945</v>
      </c>
      <c r="L1123" s="53">
        <f t="shared" si="124"/>
        <v>983</v>
      </c>
      <c r="M1123" s="189">
        <v>0.79</v>
      </c>
      <c r="N1123" s="186">
        <f>VLOOKUP(5213,季財報!A:M,8,0)</f>
        <v>1</v>
      </c>
    </row>
    <row r="1124" spans="1:14">
      <c r="A1124" s="133">
        <v>5227</v>
      </c>
      <c r="C1124">
        <v>-97</v>
      </c>
      <c r="H1124" s="141">
        <v>0</v>
      </c>
      <c r="I1124">
        <f t="shared" si="123"/>
        <v>979</v>
      </c>
      <c r="J1124" s="137">
        <v>0</v>
      </c>
      <c r="K1124">
        <f t="shared" si="122"/>
        <v>945</v>
      </c>
      <c r="L1124" s="53">
        <f t="shared" si="124"/>
        <v>983</v>
      </c>
      <c r="M1124" s="189">
        <v>0.79</v>
      </c>
      <c r="N1124" s="186">
        <f>VLOOKUP(5227,季財報!A:M,8,0)</f>
        <v>4</v>
      </c>
    </row>
    <row r="1125" spans="1:14">
      <c r="A1125" s="133">
        <v>5243</v>
      </c>
      <c r="C1125">
        <v>30</v>
      </c>
      <c r="D1125">
        <v>2659</v>
      </c>
      <c r="E1125">
        <v>3530</v>
      </c>
      <c r="F1125">
        <v>6346</v>
      </c>
      <c r="G1125">
        <v>728</v>
      </c>
      <c r="H1125" s="141">
        <v>0</v>
      </c>
      <c r="I1125">
        <f t="shared" si="123"/>
        <v>979</v>
      </c>
      <c r="J1125" s="137">
        <v>0</v>
      </c>
      <c r="K1125">
        <f t="shared" si="122"/>
        <v>945</v>
      </c>
      <c r="L1125" s="53">
        <f t="shared" si="124"/>
        <v>983</v>
      </c>
      <c r="M1125" s="189">
        <v>0.79</v>
      </c>
      <c r="N1125" s="186">
        <f>VLOOKUP(5243,季財報!A:M,8,0)</f>
        <v>1</v>
      </c>
    </row>
    <row r="1126" spans="1:14">
      <c r="A1126" s="133">
        <v>5251</v>
      </c>
      <c r="C1126">
        <v>-1</v>
      </c>
      <c r="H1126" s="141">
        <v>0</v>
      </c>
      <c r="I1126">
        <f t="shared" si="123"/>
        <v>979</v>
      </c>
      <c r="J1126" s="137">
        <v>0</v>
      </c>
      <c r="K1126">
        <f t="shared" si="122"/>
        <v>945</v>
      </c>
      <c r="L1126" s="53">
        <f t="shared" si="124"/>
        <v>983</v>
      </c>
      <c r="M1126" s="189">
        <v>0.79</v>
      </c>
      <c r="N1126" s="186">
        <f>VLOOKUP(5251,季財報!A:M,8,0)</f>
        <v>2</v>
      </c>
    </row>
    <row r="1127" spans="1:14">
      <c r="A1127" s="133">
        <v>5259</v>
      </c>
      <c r="C1127">
        <v>-142</v>
      </c>
      <c r="H1127" s="141">
        <v>0</v>
      </c>
      <c r="I1127">
        <f t="shared" si="123"/>
        <v>979</v>
      </c>
      <c r="J1127" s="137">
        <v>0</v>
      </c>
      <c r="K1127">
        <f t="shared" si="122"/>
        <v>945</v>
      </c>
      <c r="L1127" s="53">
        <f t="shared" si="124"/>
        <v>983</v>
      </c>
      <c r="M1127" s="189">
        <v>0.79</v>
      </c>
      <c r="N1127" s="186">
        <f>VLOOKUP(5259,季財報!A:M,8,0)</f>
        <v>0</v>
      </c>
    </row>
    <row r="1128" spans="1:14">
      <c r="A1128" s="133">
        <v>5272</v>
      </c>
      <c r="C1128">
        <v>3</v>
      </c>
      <c r="D1128">
        <v>502</v>
      </c>
      <c r="E1128">
        <v>150</v>
      </c>
      <c r="F1128">
        <v>814</v>
      </c>
      <c r="G1128">
        <v>0</v>
      </c>
      <c r="H1128" s="141">
        <v>0</v>
      </c>
      <c r="I1128">
        <f t="shared" si="123"/>
        <v>979</v>
      </c>
      <c r="J1128" s="137">
        <v>0</v>
      </c>
      <c r="K1128">
        <f t="shared" si="122"/>
        <v>945</v>
      </c>
      <c r="L1128" s="53">
        <f t="shared" si="124"/>
        <v>983</v>
      </c>
      <c r="M1128" s="189">
        <v>1.01</v>
      </c>
      <c r="N1128" s="186">
        <f>VLOOKUP(5272,季財報!A:M,8,0)</f>
        <v>1</v>
      </c>
    </row>
    <row r="1129" spans="1:14">
      <c r="A1129" s="133">
        <v>5278</v>
      </c>
      <c r="C1129">
        <v>-21</v>
      </c>
      <c r="H1129" s="141">
        <v>0</v>
      </c>
      <c r="I1129">
        <f t="shared" si="123"/>
        <v>979</v>
      </c>
      <c r="J1129" s="137">
        <v>0</v>
      </c>
      <c r="K1129">
        <f t="shared" si="122"/>
        <v>945</v>
      </c>
      <c r="L1129" s="53">
        <f t="shared" si="124"/>
        <v>983</v>
      </c>
      <c r="M1129" s="189">
        <v>0.79</v>
      </c>
      <c r="N1129" s="186">
        <f>VLOOKUP(5278,季財報!A:M,8,0)</f>
        <v>2</v>
      </c>
    </row>
    <row r="1130" spans="1:14">
      <c r="A1130" s="133">
        <v>5291</v>
      </c>
      <c r="C1130">
        <v>-12</v>
      </c>
      <c r="H1130" s="141">
        <v>0</v>
      </c>
      <c r="I1130">
        <f t="shared" si="123"/>
        <v>979</v>
      </c>
      <c r="J1130" s="137">
        <v>0</v>
      </c>
      <c r="K1130">
        <f t="shared" si="122"/>
        <v>945</v>
      </c>
      <c r="L1130" s="53">
        <f t="shared" si="124"/>
        <v>983</v>
      </c>
      <c r="M1130" s="189">
        <v>0.79</v>
      </c>
      <c r="N1130" s="186">
        <f>VLOOKUP(5291,季財報!A:M,8,0)</f>
        <v>1</v>
      </c>
    </row>
    <row r="1131" spans="1:14">
      <c r="A1131" s="133">
        <v>5301</v>
      </c>
      <c r="C1131">
        <v>-26</v>
      </c>
      <c r="H1131" s="141">
        <v>0</v>
      </c>
      <c r="I1131">
        <f t="shared" si="123"/>
        <v>979</v>
      </c>
      <c r="J1131" s="137">
        <v>0</v>
      </c>
      <c r="K1131">
        <f t="shared" si="122"/>
        <v>945</v>
      </c>
      <c r="L1131" s="53">
        <f t="shared" si="124"/>
        <v>983</v>
      </c>
      <c r="M1131" s="189">
        <v>0.79</v>
      </c>
      <c r="N1131" s="186">
        <f>VLOOKUP(5301,季財報!A:M,8,0)</f>
        <v>0</v>
      </c>
    </row>
    <row r="1132" spans="1:14">
      <c r="A1132" s="133">
        <v>5302</v>
      </c>
      <c r="C1132">
        <v>-10</v>
      </c>
      <c r="H1132" s="141">
        <v>0</v>
      </c>
      <c r="I1132">
        <f t="shared" si="123"/>
        <v>979</v>
      </c>
      <c r="J1132" s="137">
        <v>0</v>
      </c>
      <c r="K1132">
        <f t="shared" si="122"/>
        <v>945</v>
      </c>
      <c r="L1132" s="53">
        <f t="shared" si="124"/>
        <v>983</v>
      </c>
      <c r="M1132" s="189">
        <v>0.79</v>
      </c>
      <c r="N1132" s="186">
        <f>VLOOKUP(5302,季財報!A:M,8,0)</f>
        <v>2</v>
      </c>
    </row>
    <row r="1133" spans="1:14">
      <c r="A1133" s="133">
        <v>5304</v>
      </c>
      <c r="C1133">
        <v>-20</v>
      </c>
      <c r="H1133" s="141">
        <v>0</v>
      </c>
      <c r="I1133">
        <f t="shared" si="123"/>
        <v>979</v>
      </c>
      <c r="J1133" s="137">
        <v>0</v>
      </c>
      <c r="K1133">
        <f t="shared" si="122"/>
        <v>945</v>
      </c>
      <c r="L1133" s="53">
        <f t="shared" si="124"/>
        <v>983</v>
      </c>
      <c r="M1133" s="189">
        <v>0.79</v>
      </c>
      <c r="N1133" s="186">
        <f>VLOOKUP(5304,季財報!A:M,8,0)</f>
        <v>4</v>
      </c>
    </row>
    <row r="1134" spans="1:14">
      <c r="A1134" s="133">
        <v>5309</v>
      </c>
      <c r="C1134">
        <v>-71</v>
      </c>
      <c r="H1134" s="141">
        <v>0</v>
      </c>
      <c r="I1134">
        <f t="shared" si="123"/>
        <v>979</v>
      </c>
      <c r="J1134" s="137">
        <v>0</v>
      </c>
      <c r="K1134">
        <f t="shared" si="122"/>
        <v>945</v>
      </c>
      <c r="L1134" s="53">
        <f t="shared" si="124"/>
        <v>983</v>
      </c>
      <c r="M1134" s="189">
        <v>0.79</v>
      </c>
      <c r="N1134" s="186">
        <f>VLOOKUP(5309,季財報!A:M,8,0)</f>
        <v>2</v>
      </c>
    </row>
    <row r="1135" spans="1:14">
      <c r="A1135" s="133">
        <v>5310</v>
      </c>
      <c r="C1135">
        <v>0</v>
      </c>
      <c r="H1135" s="141">
        <v>0</v>
      </c>
      <c r="I1135">
        <f t="shared" si="123"/>
        <v>979</v>
      </c>
      <c r="J1135" s="137">
        <v>0</v>
      </c>
      <c r="K1135">
        <f t="shared" si="122"/>
        <v>945</v>
      </c>
      <c r="L1135" s="53">
        <f t="shared" si="124"/>
        <v>983</v>
      </c>
      <c r="M1135" s="189">
        <v>0.79</v>
      </c>
      <c r="N1135" s="186">
        <f>VLOOKUP(5310,季財報!A:M,8,0)</f>
        <v>2</v>
      </c>
    </row>
    <row r="1136" spans="1:14">
      <c r="A1136" s="133">
        <v>5314</v>
      </c>
      <c r="C1136">
        <v>-16</v>
      </c>
      <c r="H1136" s="141">
        <v>0</v>
      </c>
      <c r="I1136">
        <f t="shared" si="123"/>
        <v>979</v>
      </c>
      <c r="J1136" s="137">
        <v>0</v>
      </c>
      <c r="K1136">
        <f t="shared" si="122"/>
        <v>945</v>
      </c>
      <c r="L1136" s="53">
        <f t="shared" si="124"/>
        <v>983</v>
      </c>
      <c r="M1136" s="189">
        <v>0.79</v>
      </c>
      <c r="N1136" s="186">
        <f>VLOOKUP(5314,季財報!A:M,8,0)</f>
        <v>1</v>
      </c>
    </row>
    <row r="1137" spans="1:14">
      <c r="A1137" s="133">
        <v>5324</v>
      </c>
      <c r="C1137">
        <v>-30</v>
      </c>
      <c r="H1137" s="141">
        <v>0</v>
      </c>
      <c r="I1137">
        <f t="shared" si="123"/>
        <v>979</v>
      </c>
      <c r="J1137" s="137">
        <v>0</v>
      </c>
      <c r="K1137">
        <f t="shared" si="122"/>
        <v>945</v>
      </c>
      <c r="L1137" s="53">
        <f t="shared" si="124"/>
        <v>983</v>
      </c>
      <c r="M1137" s="189">
        <v>1.1399999999999999</v>
      </c>
      <c r="N1137" s="186">
        <f>VLOOKUP(5324,季財報!A:M,8,0)</f>
        <v>1</v>
      </c>
    </row>
    <row r="1138" spans="1:14">
      <c r="A1138" s="133">
        <v>5328</v>
      </c>
      <c r="C1138">
        <v>-3</v>
      </c>
      <c r="H1138" s="141">
        <v>0</v>
      </c>
      <c r="I1138">
        <f t="shared" si="123"/>
        <v>979</v>
      </c>
      <c r="J1138" s="137">
        <v>0</v>
      </c>
      <c r="K1138">
        <f t="shared" si="122"/>
        <v>945</v>
      </c>
      <c r="L1138" s="53">
        <f t="shared" si="124"/>
        <v>983</v>
      </c>
      <c r="M1138" s="189">
        <v>0.79</v>
      </c>
      <c r="N1138" s="186">
        <f>VLOOKUP(5328,季財報!A:M,8,0)</f>
        <v>3</v>
      </c>
    </row>
    <row r="1139" spans="1:14">
      <c r="A1139" s="133">
        <v>5340</v>
      </c>
      <c r="C1139">
        <v>-22</v>
      </c>
      <c r="H1139" s="141">
        <v>0</v>
      </c>
      <c r="I1139">
        <f t="shared" si="123"/>
        <v>979</v>
      </c>
      <c r="J1139" s="137">
        <v>0</v>
      </c>
      <c r="K1139">
        <f t="shared" si="122"/>
        <v>945</v>
      </c>
      <c r="L1139" s="53">
        <f t="shared" si="124"/>
        <v>983</v>
      </c>
      <c r="M1139" s="189">
        <v>0.79</v>
      </c>
      <c r="N1139" s="186">
        <f>VLOOKUP(5340,季財報!A:M,8,0)</f>
        <v>1</v>
      </c>
    </row>
    <row r="1140" spans="1:14">
      <c r="A1140" s="133">
        <v>5344</v>
      </c>
      <c r="C1140">
        <v>-22</v>
      </c>
      <c r="H1140" s="141">
        <v>0</v>
      </c>
      <c r="I1140">
        <f t="shared" si="123"/>
        <v>979</v>
      </c>
      <c r="J1140" s="137">
        <v>0</v>
      </c>
      <c r="K1140">
        <f t="shared" si="122"/>
        <v>945</v>
      </c>
      <c r="L1140" s="53">
        <f t="shared" si="124"/>
        <v>983</v>
      </c>
      <c r="M1140" s="189">
        <v>0.79</v>
      </c>
      <c r="N1140" s="186">
        <f>VLOOKUP(5344,季財報!A:M,8,0)</f>
        <v>4</v>
      </c>
    </row>
    <row r="1141" spans="1:14">
      <c r="A1141" s="133">
        <v>5345</v>
      </c>
      <c r="C1141">
        <v>-4</v>
      </c>
      <c r="H1141" s="141">
        <v>0</v>
      </c>
      <c r="I1141">
        <f t="shared" si="123"/>
        <v>979</v>
      </c>
      <c r="J1141" s="137">
        <v>0</v>
      </c>
      <c r="K1141">
        <f t="shared" si="122"/>
        <v>945</v>
      </c>
      <c r="L1141" s="53">
        <f t="shared" si="124"/>
        <v>983</v>
      </c>
      <c r="M1141" s="189">
        <v>0.79</v>
      </c>
      <c r="N1141" s="186">
        <f>VLOOKUP(5345,季財報!A:M,8,0)</f>
        <v>3</v>
      </c>
    </row>
    <row r="1142" spans="1:14">
      <c r="A1142" s="133">
        <v>5348</v>
      </c>
      <c r="C1142">
        <v>-10</v>
      </c>
      <c r="H1142" s="141">
        <v>0</v>
      </c>
      <c r="I1142">
        <f t="shared" si="123"/>
        <v>979</v>
      </c>
      <c r="J1142" s="137">
        <v>0</v>
      </c>
      <c r="K1142">
        <f t="shared" si="122"/>
        <v>945</v>
      </c>
      <c r="L1142" s="53">
        <f t="shared" si="124"/>
        <v>983</v>
      </c>
      <c r="M1142" s="189">
        <v>0.79</v>
      </c>
      <c r="N1142" s="186">
        <f>VLOOKUP(5348,季財報!A:M,8,0)</f>
        <v>5</v>
      </c>
    </row>
    <row r="1143" spans="1:14">
      <c r="A1143" s="133">
        <v>5351</v>
      </c>
      <c r="C1143">
        <v>-84</v>
      </c>
      <c r="H1143" s="141">
        <v>0</v>
      </c>
      <c r="I1143">
        <f t="shared" si="123"/>
        <v>979</v>
      </c>
      <c r="J1143" s="137">
        <v>0</v>
      </c>
      <c r="K1143">
        <f t="shared" si="122"/>
        <v>945</v>
      </c>
      <c r="L1143" s="53">
        <f t="shared" si="124"/>
        <v>983</v>
      </c>
      <c r="M1143" s="189">
        <v>1.1399999999999999</v>
      </c>
      <c r="N1143" s="186">
        <f>VLOOKUP(5351,季財報!A:M,8,0)</f>
        <v>0</v>
      </c>
    </row>
    <row r="1144" spans="1:14">
      <c r="A1144" s="133">
        <v>5355</v>
      </c>
      <c r="C1144">
        <v>-3</v>
      </c>
      <c r="H1144" s="141">
        <v>0</v>
      </c>
      <c r="I1144">
        <f t="shared" si="123"/>
        <v>979</v>
      </c>
      <c r="J1144" s="137">
        <v>0</v>
      </c>
      <c r="K1144">
        <f t="shared" ref="K1144:K1207" si="125">RANK(0,J:J,0)</f>
        <v>945</v>
      </c>
      <c r="L1144" s="53">
        <f t="shared" si="124"/>
        <v>983</v>
      </c>
      <c r="M1144" s="189">
        <v>0.79</v>
      </c>
      <c r="N1144" s="186">
        <f>VLOOKUP(5355,季財報!A:M,8,0)</f>
        <v>2</v>
      </c>
    </row>
    <row r="1145" spans="1:14">
      <c r="A1145" s="133">
        <v>5383</v>
      </c>
      <c r="C1145">
        <v>-31</v>
      </c>
      <c r="H1145" s="141">
        <v>0</v>
      </c>
      <c r="I1145">
        <f t="shared" si="123"/>
        <v>979</v>
      </c>
      <c r="J1145" s="137">
        <v>0</v>
      </c>
      <c r="K1145">
        <f t="shared" si="125"/>
        <v>945</v>
      </c>
      <c r="L1145" s="53">
        <f t="shared" si="124"/>
        <v>983</v>
      </c>
      <c r="M1145" s="189">
        <v>1.01</v>
      </c>
      <c r="N1145" s="186">
        <f>VLOOKUP(5383,季財報!A:M,8,0)</f>
        <v>0</v>
      </c>
    </row>
    <row r="1146" spans="1:14">
      <c r="A1146" s="133">
        <v>5450</v>
      </c>
      <c r="C1146">
        <v>-7</v>
      </c>
      <c r="H1146" s="141">
        <v>0</v>
      </c>
      <c r="I1146">
        <f t="shared" si="123"/>
        <v>979</v>
      </c>
      <c r="J1146" s="137">
        <v>0</v>
      </c>
      <c r="K1146">
        <f t="shared" si="125"/>
        <v>945</v>
      </c>
      <c r="L1146" s="53">
        <f t="shared" si="124"/>
        <v>983</v>
      </c>
      <c r="M1146" s="189">
        <v>0.79</v>
      </c>
      <c r="N1146" s="186">
        <f>VLOOKUP(5450,季財報!A:M,8,0)</f>
        <v>3</v>
      </c>
    </row>
    <row r="1147" spans="1:14">
      <c r="A1147" s="133">
        <v>5455</v>
      </c>
      <c r="C1147">
        <v>-11</v>
      </c>
      <c r="H1147" s="141">
        <v>0</v>
      </c>
      <c r="I1147">
        <f t="shared" si="123"/>
        <v>979</v>
      </c>
      <c r="J1147" s="137">
        <v>0</v>
      </c>
      <c r="K1147">
        <f t="shared" si="125"/>
        <v>945</v>
      </c>
      <c r="L1147" s="53">
        <f t="shared" si="124"/>
        <v>983</v>
      </c>
      <c r="M1147" s="189">
        <v>1.01</v>
      </c>
      <c r="N1147" s="186">
        <f>VLOOKUP(5455,季財報!A:M,8,0)</f>
        <v>0</v>
      </c>
    </row>
    <row r="1148" spans="1:14">
      <c r="A1148" s="133">
        <v>5464</v>
      </c>
      <c r="C1148">
        <v>2</v>
      </c>
      <c r="D1148">
        <v>1003</v>
      </c>
      <c r="E1148">
        <v>396</v>
      </c>
      <c r="F1148">
        <v>1276</v>
      </c>
      <c r="G1148">
        <v>877</v>
      </c>
      <c r="H1148" s="141">
        <v>0</v>
      </c>
      <c r="I1148">
        <f t="shared" si="123"/>
        <v>979</v>
      </c>
      <c r="J1148" s="137">
        <v>0</v>
      </c>
      <c r="K1148">
        <f t="shared" si="125"/>
        <v>945</v>
      </c>
      <c r="L1148" s="53">
        <f t="shared" si="124"/>
        <v>983</v>
      </c>
      <c r="M1148" s="189">
        <v>0.79</v>
      </c>
      <c r="N1148" s="186">
        <f>VLOOKUP(5464,季財報!A:M,8,0)</f>
        <v>2</v>
      </c>
    </row>
    <row r="1149" spans="1:14">
      <c r="A1149" s="133">
        <v>5465</v>
      </c>
      <c r="C1149">
        <v>-11</v>
      </c>
      <c r="H1149" s="141">
        <v>0</v>
      </c>
      <c r="I1149">
        <f t="shared" si="123"/>
        <v>979</v>
      </c>
      <c r="J1149" s="137">
        <v>0</v>
      </c>
      <c r="K1149">
        <f t="shared" si="125"/>
        <v>945</v>
      </c>
      <c r="L1149" s="53">
        <f t="shared" si="124"/>
        <v>983</v>
      </c>
      <c r="M1149" s="189">
        <v>0.79</v>
      </c>
      <c r="N1149" s="186">
        <f>VLOOKUP(5465,季財報!A:M,8,0)</f>
        <v>2</v>
      </c>
    </row>
    <row r="1150" spans="1:14">
      <c r="A1150" s="133">
        <v>5468</v>
      </c>
      <c r="C1150">
        <v>-1</v>
      </c>
      <c r="H1150" s="141">
        <v>0</v>
      </c>
      <c r="I1150">
        <f t="shared" si="123"/>
        <v>979</v>
      </c>
      <c r="J1150" s="137">
        <v>0</v>
      </c>
      <c r="K1150">
        <f t="shared" si="125"/>
        <v>945</v>
      </c>
      <c r="L1150" s="53">
        <f t="shared" si="124"/>
        <v>983</v>
      </c>
      <c r="M1150" s="189">
        <v>5.24</v>
      </c>
      <c r="N1150" s="186">
        <f>VLOOKUP(5468,季財報!A:M,8,0)</f>
        <v>2</v>
      </c>
    </row>
    <row r="1151" spans="1:14">
      <c r="A1151" s="133">
        <v>5475</v>
      </c>
      <c r="C1151">
        <v>-77</v>
      </c>
      <c r="H1151" s="141">
        <v>0</v>
      </c>
      <c r="I1151">
        <f t="shared" si="123"/>
        <v>979</v>
      </c>
      <c r="J1151" s="137">
        <v>0</v>
      </c>
      <c r="K1151">
        <f t="shared" si="125"/>
        <v>945</v>
      </c>
      <c r="L1151" s="53">
        <f t="shared" si="124"/>
        <v>983</v>
      </c>
      <c r="M1151" s="189">
        <v>0.79</v>
      </c>
      <c r="N1151" s="186">
        <f>VLOOKUP(5475,季財報!A:M,8,0)</f>
        <v>1</v>
      </c>
    </row>
    <row r="1152" spans="1:14">
      <c r="A1152" s="133">
        <v>5478</v>
      </c>
      <c r="C1152">
        <v>12</v>
      </c>
      <c r="D1152">
        <v>4903</v>
      </c>
      <c r="E1152">
        <v>266</v>
      </c>
      <c r="F1152">
        <v>6158</v>
      </c>
      <c r="G1152">
        <v>0</v>
      </c>
      <c r="H1152" s="141">
        <v>0</v>
      </c>
      <c r="I1152">
        <f t="shared" si="123"/>
        <v>979</v>
      </c>
      <c r="J1152" s="137">
        <v>0</v>
      </c>
      <c r="K1152">
        <f t="shared" si="125"/>
        <v>945</v>
      </c>
      <c r="L1152" s="53">
        <f t="shared" si="124"/>
        <v>983</v>
      </c>
      <c r="M1152" s="189">
        <v>0.79</v>
      </c>
      <c r="N1152" s="186">
        <f>VLOOKUP(5478,季財報!A:M,8,0)</f>
        <v>3</v>
      </c>
    </row>
    <row r="1153" spans="1:14">
      <c r="A1153" s="133">
        <v>5481</v>
      </c>
      <c r="C1153">
        <v>-30</v>
      </c>
      <c r="H1153" s="141">
        <v>0</v>
      </c>
      <c r="I1153">
        <f t="shared" si="123"/>
        <v>979</v>
      </c>
      <c r="J1153" s="137">
        <v>0</v>
      </c>
      <c r="K1153">
        <f t="shared" si="125"/>
        <v>945</v>
      </c>
      <c r="L1153" s="53">
        <f t="shared" si="124"/>
        <v>983</v>
      </c>
      <c r="M1153" s="189">
        <v>0.79</v>
      </c>
      <c r="N1153" s="186">
        <f>VLOOKUP(5481,季財報!A:M,8,0)</f>
        <v>1</v>
      </c>
    </row>
    <row r="1154" spans="1:14">
      <c r="A1154" s="133">
        <v>5484</v>
      </c>
      <c r="C1154">
        <v>-44</v>
      </c>
      <c r="H1154" s="141">
        <v>0</v>
      </c>
      <c r="I1154">
        <f t="shared" si="123"/>
        <v>979</v>
      </c>
      <c r="J1154" s="137">
        <v>0</v>
      </c>
      <c r="K1154">
        <f t="shared" si="125"/>
        <v>945</v>
      </c>
      <c r="L1154" s="53">
        <f t="shared" si="124"/>
        <v>983</v>
      </c>
      <c r="M1154" s="189">
        <v>2.29</v>
      </c>
      <c r="N1154" s="186">
        <f>VLOOKUP(5484,季財報!A:M,8,0)</f>
        <v>4</v>
      </c>
    </row>
    <row r="1155" spans="1:14">
      <c r="A1155" s="133">
        <v>5488</v>
      </c>
      <c r="C1155">
        <v>-24</v>
      </c>
      <c r="H1155" s="141">
        <v>0</v>
      </c>
      <c r="I1155">
        <f t="shared" si="123"/>
        <v>979</v>
      </c>
      <c r="J1155" s="137">
        <v>0</v>
      </c>
      <c r="K1155">
        <f t="shared" si="125"/>
        <v>945</v>
      </c>
      <c r="L1155" s="53">
        <f t="shared" si="124"/>
        <v>983</v>
      </c>
      <c r="M1155" s="189">
        <v>1.58</v>
      </c>
      <c r="N1155" s="186">
        <f>VLOOKUP(5488,季財報!A:M,8,0)</f>
        <v>2</v>
      </c>
    </row>
    <row r="1156" spans="1:14">
      <c r="A1156" s="133">
        <v>5491</v>
      </c>
      <c r="C1156">
        <v>0</v>
      </c>
      <c r="H1156" s="141">
        <v>0</v>
      </c>
      <c r="I1156">
        <f t="shared" si="123"/>
        <v>979</v>
      </c>
      <c r="J1156" s="137">
        <v>0</v>
      </c>
      <c r="K1156">
        <f t="shared" si="125"/>
        <v>945</v>
      </c>
      <c r="L1156" s="53">
        <f t="shared" si="124"/>
        <v>983</v>
      </c>
      <c r="M1156" s="189">
        <v>0.79</v>
      </c>
      <c r="N1156" s="186">
        <f>VLOOKUP(5491,季財報!A:M,8,0)</f>
        <v>2</v>
      </c>
    </row>
    <row r="1157" spans="1:14">
      <c r="A1157" s="133">
        <v>5498</v>
      </c>
      <c r="C1157">
        <v>4</v>
      </c>
      <c r="D1157">
        <v>687</v>
      </c>
      <c r="E1157">
        <v>1092</v>
      </c>
      <c r="F1157">
        <v>1855</v>
      </c>
      <c r="G1157">
        <v>467</v>
      </c>
      <c r="H1157" s="141">
        <v>0</v>
      </c>
      <c r="I1157">
        <f t="shared" si="123"/>
        <v>979</v>
      </c>
      <c r="J1157" s="137">
        <v>0</v>
      </c>
      <c r="K1157">
        <f t="shared" si="125"/>
        <v>945</v>
      </c>
      <c r="L1157" s="53">
        <f t="shared" si="124"/>
        <v>983</v>
      </c>
      <c r="M1157" s="189">
        <v>0.79</v>
      </c>
      <c r="N1157" s="186">
        <f>VLOOKUP(5498,季財報!A:M,8,0)</f>
        <v>1</v>
      </c>
    </row>
    <row r="1158" spans="1:14">
      <c r="A1158" s="133">
        <v>5506</v>
      </c>
      <c r="C1158">
        <v>-30</v>
      </c>
      <c r="H1158" s="141">
        <v>0</v>
      </c>
      <c r="I1158">
        <f t="shared" si="123"/>
        <v>979</v>
      </c>
      <c r="J1158" s="137">
        <v>0</v>
      </c>
      <c r="K1158">
        <f t="shared" si="125"/>
        <v>945</v>
      </c>
      <c r="L1158" s="53">
        <f t="shared" si="124"/>
        <v>983</v>
      </c>
      <c r="M1158" s="189">
        <v>0.79</v>
      </c>
      <c r="N1158" s="186">
        <f>VLOOKUP(5506,季財報!A:M,8,0)</f>
        <v>0</v>
      </c>
    </row>
    <row r="1159" spans="1:14">
      <c r="A1159" s="133">
        <v>5514</v>
      </c>
      <c r="C1159">
        <v>-9</v>
      </c>
      <c r="H1159" s="141">
        <v>0</v>
      </c>
      <c r="I1159">
        <f t="shared" si="123"/>
        <v>979</v>
      </c>
      <c r="J1159" s="137">
        <v>0</v>
      </c>
      <c r="K1159">
        <f t="shared" si="125"/>
        <v>945</v>
      </c>
      <c r="L1159" s="53">
        <f t="shared" si="124"/>
        <v>983</v>
      </c>
      <c r="M1159" s="189">
        <v>0.79</v>
      </c>
      <c r="N1159" s="186">
        <f>VLOOKUP(5514,季財報!A:M,8,0)</f>
        <v>1</v>
      </c>
    </row>
    <row r="1160" spans="1:14">
      <c r="A1160" s="133">
        <v>5515</v>
      </c>
      <c r="C1160">
        <v>3</v>
      </c>
      <c r="D1160">
        <v>6023</v>
      </c>
      <c r="E1160">
        <v>358</v>
      </c>
      <c r="F1160">
        <v>5625</v>
      </c>
      <c r="G1160">
        <v>220</v>
      </c>
      <c r="H1160" s="141">
        <v>0</v>
      </c>
      <c r="I1160">
        <f t="shared" si="123"/>
        <v>979</v>
      </c>
      <c r="J1160" s="137">
        <v>0</v>
      </c>
      <c r="K1160">
        <f t="shared" si="125"/>
        <v>945</v>
      </c>
      <c r="L1160" s="53">
        <f t="shared" si="124"/>
        <v>983</v>
      </c>
      <c r="M1160" s="189">
        <v>0.79</v>
      </c>
      <c r="N1160" s="186">
        <f>VLOOKUP(5515,季財報!A:M,8,0)</f>
        <v>1</v>
      </c>
    </row>
    <row r="1161" spans="1:14">
      <c r="A1161" s="133">
        <v>5516</v>
      </c>
      <c r="C1161">
        <v>-1</v>
      </c>
      <c r="H1161" s="141">
        <v>0</v>
      </c>
      <c r="I1161">
        <f t="shared" si="123"/>
        <v>979</v>
      </c>
      <c r="J1161" s="137">
        <v>0</v>
      </c>
      <c r="K1161">
        <f t="shared" si="125"/>
        <v>945</v>
      </c>
      <c r="L1161" s="53">
        <f t="shared" si="124"/>
        <v>983</v>
      </c>
      <c r="M1161" s="189">
        <v>2.09</v>
      </c>
      <c r="N1161" s="186">
        <f>VLOOKUP(5516,季財報!A:M,8,0)</f>
        <v>1</v>
      </c>
    </row>
    <row r="1162" spans="1:14">
      <c r="A1162" s="133">
        <v>5521</v>
      </c>
      <c r="C1162">
        <v>-15</v>
      </c>
      <c r="H1162" s="141">
        <v>0</v>
      </c>
      <c r="I1162">
        <f t="shared" si="123"/>
        <v>979</v>
      </c>
      <c r="J1162" s="137">
        <v>0</v>
      </c>
      <c r="K1162">
        <f t="shared" si="125"/>
        <v>945</v>
      </c>
      <c r="L1162" s="53">
        <f t="shared" si="124"/>
        <v>983</v>
      </c>
      <c r="M1162" s="189">
        <v>1.9</v>
      </c>
      <c r="N1162" s="186">
        <f>VLOOKUP(5521,季財報!A:M,8,0)</f>
        <v>0</v>
      </c>
    </row>
    <row r="1163" spans="1:14">
      <c r="A1163" s="133">
        <v>5701</v>
      </c>
      <c r="C1163">
        <v>-85</v>
      </c>
      <c r="H1163" s="141">
        <v>0</v>
      </c>
      <c r="I1163">
        <f t="shared" si="123"/>
        <v>979</v>
      </c>
      <c r="J1163" s="137">
        <v>0</v>
      </c>
      <c r="K1163">
        <f t="shared" si="125"/>
        <v>945</v>
      </c>
      <c r="L1163" s="53">
        <f t="shared" si="124"/>
        <v>983</v>
      </c>
      <c r="M1163" s="189">
        <v>1.01</v>
      </c>
      <c r="N1163" s="186">
        <f>VLOOKUP(5701,季財報!A:M,8,0)</f>
        <v>2</v>
      </c>
    </row>
    <row r="1164" spans="1:14">
      <c r="A1164" s="133">
        <v>5703</v>
      </c>
      <c r="C1164">
        <v>-3</v>
      </c>
      <c r="H1164" s="141">
        <v>0</v>
      </c>
      <c r="I1164">
        <f t="shared" si="123"/>
        <v>979</v>
      </c>
      <c r="J1164" s="137">
        <v>0</v>
      </c>
      <c r="K1164">
        <f t="shared" si="125"/>
        <v>945</v>
      </c>
      <c r="L1164" s="53">
        <f t="shared" si="124"/>
        <v>983</v>
      </c>
      <c r="M1164" s="189">
        <v>0.79</v>
      </c>
      <c r="N1164" s="186">
        <f>VLOOKUP(5703,季財報!A:M,8,0)</f>
        <v>1</v>
      </c>
    </row>
    <row r="1165" spans="1:14">
      <c r="A1165" s="133">
        <v>6160</v>
      </c>
      <c r="C1165">
        <v>-12</v>
      </c>
      <c r="H1165" s="141">
        <v>0</v>
      </c>
      <c r="I1165">
        <f t="shared" si="123"/>
        <v>979</v>
      </c>
      <c r="J1165" s="137">
        <v>0</v>
      </c>
      <c r="K1165">
        <f t="shared" si="125"/>
        <v>945</v>
      </c>
      <c r="L1165" s="53">
        <f t="shared" si="124"/>
        <v>983</v>
      </c>
      <c r="M1165" s="189">
        <v>0.79</v>
      </c>
      <c r="N1165" s="186">
        <f>VLOOKUP(6160,季財報!A:M,8,0)</f>
        <v>3</v>
      </c>
    </row>
    <row r="1166" spans="1:14">
      <c r="A1166" s="133">
        <v>6163</v>
      </c>
      <c r="C1166">
        <v>-96</v>
      </c>
      <c r="H1166" s="141">
        <v>0</v>
      </c>
      <c r="I1166">
        <f t="shared" si="123"/>
        <v>979</v>
      </c>
      <c r="J1166" s="137">
        <v>0</v>
      </c>
      <c r="K1166">
        <f t="shared" si="125"/>
        <v>945</v>
      </c>
      <c r="L1166" s="53">
        <f t="shared" si="124"/>
        <v>983</v>
      </c>
      <c r="M1166" s="189">
        <v>0.79</v>
      </c>
      <c r="N1166" s="186">
        <f>VLOOKUP(6163,季財報!A:M,8,0)</f>
        <v>1</v>
      </c>
    </row>
    <row r="1167" spans="1:14">
      <c r="A1167" s="133">
        <v>6164</v>
      </c>
      <c r="C1167">
        <v>8</v>
      </c>
      <c r="D1167">
        <v>1067</v>
      </c>
      <c r="E1167">
        <v>679</v>
      </c>
      <c r="F1167">
        <v>1639</v>
      </c>
      <c r="G1167">
        <v>355</v>
      </c>
      <c r="H1167" s="141">
        <v>0</v>
      </c>
      <c r="I1167">
        <f t="shared" si="123"/>
        <v>979</v>
      </c>
      <c r="J1167" s="137">
        <v>0</v>
      </c>
      <c r="K1167">
        <f t="shared" si="125"/>
        <v>945</v>
      </c>
      <c r="L1167" s="53">
        <f t="shared" si="124"/>
        <v>983</v>
      </c>
      <c r="M1167" s="189">
        <v>0.79</v>
      </c>
      <c r="N1167" s="186">
        <f>VLOOKUP(6164,季財報!A:M,8,0)</f>
        <v>2</v>
      </c>
    </row>
    <row r="1168" spans="1:14">
      <c r="A1168" s="133">
        <v>6165</v>
      </c>
      <c r="C1168">
        <v>-13</v>
      </c>
      <c r="H1168" s="141">
        <v>0</v>
      </c>
      <c r="I1168">
        <f t="shared" si="123"/>
        <v>979</v>
      </c>
      <c r="J1168" s="137">
        <v>0</v>
      </c>
      <c r="K1168">
        <f t="shared" si="125"/>
        <v>945</v>
      </c>
      <c r="L1168" s="53">
        <f t="shared" si="124"/>
        <v>983</v>
      </c>
      <c r="M1168" s="189">
        <v>2.09</v>
      </c>
      <c r="N1168" s="186">
        <f>VLOOKUP(6165,季財報!A:M,8,0)</f>
        <v>2</v>
      </c>
    </row>
    <row r="1169" spans="1:14">
      <c r="A1169" s="133">
        <v>6219</v>
      </c>
      <c r="C1169">
        <v>0</v>
      </c>
      <c r="H1169" s="141">
        <v>0</v>
      </c>
      <c r="I1169">
        <f t="shared" si="123"/>
        <v>979</v>
      </c>
      <c r="J1169" s="137">
        <v>0</v>
      </c>
      <c r="K1169">
        <f t="shared" si="125"/>
        <v>945</v>
      </c>
      <c r="L1169" s="53">
        <f t="shared" si="124"/>
        <v>983</v>
      </c>
      <c r="M1169" s="189">
        <v>1.1399999999999999</v>
      </c>
      <c r="N1169" s="186">
        <f>VLOOKUP(6219,季財報!A:M,8,0)</f>
        <v>3</v>
      </c>
    </row>
    <row r="1170" spans="1:14">
      <c r="A1170" s="133">
        <v>4128</v>
      </c>
      <c r="C1170">
        <v>-95</v>
      </c>
      <c r="H1170" s="141">
        <v>0</v>
      </c>
      <c r="I1170">
        <f t="shared" si="123"/>
        <v>979</v>
      </c>
      <c r="J1170" s="137">
        <v>0</v>
      </c>
      <c r="K1170">
        <f t="shared" si="125"/>
        <v>945</v>
      </c>
      <c r="L1170" s="53">
        <f t="shared" si="124"/>
        <v>983</v>
      </c>
      <c r="M1170" s="189">
        <v>0.79</v>
      </c>
      <c r="N1170" s="186">
        <f>VLOOKUP(4128,季財報!A:M,8,0)</f>
        <v>2</v>
      </c>
    </row>
    <row r="1171" spans="1:14">
      <c r="A1171" s="133">
        <v>4133</v>
      </c>
      <c r="C1171">
        <v>2</v>
      </c>
      <c r="D1171">
        <v>879</v>
      </c>
      <c r="E1171">
        <v>174</v>
      </c>
      <c r="F1171">
        <v>1157</v>
      </c>
      <c r="G1171">
        <v>0</v>
      </c>
      <c r="H1171" s="141">
        <v>0</v>
      </c>
      <c r="I1171">
        <f t="shared" si="123"/>
        <v>979</v>
      </c>
      <c r="J1171" s="137">
        <v>0</v>
      </c>
      <c r="K1171">
        <f t="shared" si="125"/>
        <v>945</v>
      </c>
      <c r="L1171" s="53">
        <f t="shared" si="124"/>
        <v>983</v>
      </c>
      <c r="M1171" s="189">
        <v>1.01</v>
      </c>
      <c r="N1171" s="186">
        <f>VLOOKUP(4133,季財報!A:M,8,0)</f>
        <v>2</v>
      </c>
    </row>
    <row r="1172" spans="1:14">
      <c r="A1172" s="133">
        <v>4139</v>
      </c>
      <c r="C1172">
        <v>-6</v>
      </c>
      <c r="H1172" s="141">
        <v>0</v>
      </c>
      <c r="I1172">
        <f t="shared" si="123"/>
        <v>979</v>
      </c>
      <c r="J1172" s="137">
        <v>0</v>
      </c>
      <c r="K1172">
        <f t="shared" si="125"/>
        <v>945</v>
      </c>
      <c r="L1172" s="53">
        <f t="shared" si="124"/>
        <v>983</v>
      </c>
      <c r="M1172" s="189">
        <v>0.79</v>
      </c>
      <c r="N1172" s="186">
        <f>VLOOKUP(4139,季財報!A:M,8,0)</f>
        <v>2</v>
      </c>
    </row>
    <row r="1173" spans="1:14">
      <c r="A1173" s="133">
        <v>4142</v>
      </c>
      <c r="C1173">
        <v>-190</v>
      </c>
      <c r="H1173" s="141">
        <v>0</v>
      </c>
      <c r="I1173">
        <f t="shared" si="123"/>
        <v>979</v>
      </c>
      <c r="J1173" s="137">
        <v>0</v>
      </c>
      <c r="K1173">
        <f t="shared" si="125"/>
        <v>945</v>
      </c>
      <c r="L1173" s="53">
        <f t="shared" si="124"/>
        <v>983</v>
      </c>
      <c r="M1173" s="189">
        <v>6.36</v>
      </c>
      <c r="N1173" s="186">
        <f>VLOOKUP(4142,季財報!A:M,8,0)</f>
        <v>2</v>
      </c>
    </row>
    <row r="1174" spans="1:14">
      <c r="A1174" s="133">
        <v>4152</v>
      </c>
      <c r="C1174">
        <v>-195</v>
      </c>
      <c r="H1174" s="141">
        <v>0</v>
      </c>
      <c r="I1174">
        <f t="shared" si="123"/>
        <v>979</v>
      </c>
      <c r="J1174" s="137">
        <v>0</v>
      </c>
      <c r="K1174">
        <f t="shared" si="125"/>
        <v>945</v>
      </c>
      <c r="L1174" s="53">
        <f t="shared" si="124"/>
        <v>983</v>
      </c>
      <c r="M1174" s="189">
        <v>2.29</v>
      </c>
      <c r="N1174" s="186">
        <f>VLOOKUP(4152,季財報!A:M,8,0)</f>
        <v>1</v>
      </c>
    </row>
    <row r="1175" spans="1:14">
      <c r="A1175" s="133">
        <v>4154</v>
      </c>
      <c r="C1175">
        <v>0</v>
      </c>
      <c r="H1175" s="141">
        <v>0</v>
      </c>
      <c r="I1175">
        <f t="shared" si="123"/>
        <v>979</v>
      </c>
      <c r="J1175" s="137">
        <v>0</v>
      </c>
      <c r="K1175">
        <f t="shared" si="125"/>
        <v>945</v>
      </c>
      <c r="L1175" s="53">
        <f t="shared" si="124"/>
        <v>983</v>
      </c>
      <c r="M1175" s="189">
        <v>3.37</v>
      </c>
      <c r="N1175" s="186">
        <f>VLOOKUP(4154,季財報!A:M,8,0)</f>
        <v>2</v>
      </c>
    </row>
    <row r="1176" spans="1:14">
      <c r="A1176" s="133">
        <v>4157</v>
      </c>
      <c r="C1176">
        <v>-112</v>
      </c>
      <c r="H1176" s="141">
        <v>0</v>
      </c>
      <c r="I1176">
        <f t="shared" ref="I1176:I1239" si="126">RANK(0,H:H,0)</f>
        <v>979</v>
      </c>
      <c r="J1176" s="137">
        <v>0</v>
      </c>
      <c r="K1176">
        <f t="shared" si="125"/>
        <v>945</v>
      </c>
      <c r="L1176" s="53">
        <f t="shared" ref="L1176:L1239" si="127">RANK(0.79,M:M,0)</f>
        <v>983</v>
      </c>
      <c r="M1176" s="189">
        <v>1.01</v>
      </c>
      <c r="N1176" s="186">
        <f>VLOOKUP(4157,季財報!A:M,8,0)</f>
        <v>3</v>
      </c>
    </row>
    <row r="1177" spans="1:14">
      <c r="A1177" s="133">
        <v>4160</v>
      </c>
      <c r="C1177">
        <v>-6</v>
      </c>
      <c r="H1177" s="141">
        <v>0</v>
      </c>
      <c r="I1177">
        <f t="shared" si="126"/>
        <v>979</v>
      </c>
      <c r="J1177" s="137">
        <v>0</v>
      </c>
      <c r="K1177">
        <f t="shared" si="125"/>
        <v>945</v>
      </c>
      <c r="L1177" s="53">
        <f t="shared" si="127"/>
        <v>983</v>
      </c>
      <c r="M1177" s="189">
        <v>1.9</v>
      </c>
      <c r="N1177" s="186">
        <f>VLOOKUP(4160,季財報!A:M,8,0)</f>
        <v>1</v>
      </c>
    </row>
    <row r="1178" spans="1:14">
      <c r="A1178" s="133">
        <v>4162</v>
      </c>
      <c r="C1178">
        <v>-38</v>
      </c>
      <c r="H1178" s="141">
        <v>0</v>
      </c>
      <c r="I1178">
        <f t="shared" si="126"/>
        <v>979</v>
      </c>
      <c r="J1178" s="137">
        <v>0</v>
      </c>
      <c r="K1178">
        <f t="shared" si="125"/>
        <v>945</v>
      </c>
      <c r="L1178" s="53">
        <f t="shared" si="127"/>
        <v>983</v>
      </c>
      <c r="M1178" s="189">
        <v>1.01</v>
      </c>
      <c r="N1178" s="186">
        <f>VLOOKUP(4162,季財報!A:M,8,0)</f>
        <v>4</v>
      </c>
    </row>
    <row r="1179" spans="1:14">
      <c r="A1179" s="133">
        <v>4167</v>
      </c>
      <c r="C1179">
        <v>-100</v>
      </c>
      <c r="H1179" s="141">
        <v>0</v>
      </c>
      <c r="I1179">
        <f t="shared" si="126"/>
        <v>979</v>
      </c>
      <c r="J1179" s="137">
        <v>0</v>
      </c>
      <c r="K1179">
        <f t="shared" si="125"/>
        <v>945</v>
      </c>
      <c r="L1179" s="53">
        <f t="shared" si="127"/>
        <v>983</v>
      </c>
      <c r="M1179" s="189">
        <v>1.1399999999999999</v>
      </c>
      <c r="N1179" s="186">
        <f>VLOOKUP(4167,季財報!A:M,8,0)</f>
        <v>1</v>
      </c>
    </row>
    <row r="1180" spans="1:14">
      <c r="A1180" s="133">
        <v>4168</v>
      </c>
      <c r="C1180">
        <v>-25</v>
      </c>
      <c r="H1180" s="141">
        <v>0</v>
      </c>
      <c r="I1180">
        <f t="shared" si="126"/>
        <v>979</v>
      </c>
      <c r="J1180" s="137">
        <v>0</v>
      </c>
      <c r="K1180">
        <f t="shared" si="125"/>
        <v>945</v>
      </c>
      <c r="L1180" s="53">
        <f t="shared" si="127"/>
        <v>983</v>
      </c>
      <c r="M1180" s="189">
        <v>1.36</v>
      </c>
      <c r="N1180" s="186">
        <f>VLOOKUP(4168,季財報!A:M,8,0)</f>
        <v>1</v>
      </c>
    </row>
    <row r="1181" spans="1:14">
      <c r="A1181" s="133">
        <v>4171</v>
      </c>
      <c r="C1181">
        <v>-3</v>
      </c>
      <c r="H1181" s="141">
        <v>0</v>
      </c>
      <c r="I1181">
        <f t="shared" si="126"/>
        <v>979</v>
      </c>
      <c r="J1181" s="137">
        <v>0</v>
      </c>
      <c r="K1181">
        <f t="shared" si="125"/>
        <v>945</v>
      </c>
      <c r="L1181" s="53">
        <f t="shared" si="127"/>
        <v>983</v>
      </c>
      <c r="M1181" s="189">
        <v>0.79</v>
      </c>
      <c r="N1181" s="186">
        <f>VLOOKUP(4171,季財報!A:M,8,0)</f>
        <v>2</v>
      </c>
    </row>
    <row r="1182" spans="1:14">
      <c r="A1182" s="133">
        <v>4174</v>
      </c>
      <c r="C1182">
        <v>-230</v>
      </c>
      <c r="H1182" s="141">
        <v>0</v>
      </c>
      <c r="I1182">
        <f t="shared" si="126"/>
        <v>979</v>
      </c>
      <c r="J1182" s="137">
        <v>0</v>
      </c>
      <c r="K1182">
        <f t="shared" si="125"/>
        <v>945</v>
      </c>
      <c r="L1182" s="53">
        <f t="shared" si="127"/>
        <v>983</v>
      </c>
      <c r="M1182" s="189">
        <v>0.79</v>
      </c>
      <c r="N1182" s="186">
        <f>VLOOKUP(4174,季財報!A:M,8,0)</f>
        <v>1</v>
      </c>
    </row>
    <row r="1183" spans="1:14">
      <c r="A1183" s="133">
        <v>4180</v>
      </c>
      <c r="C1183">
        <v>-167</v>
      </c>
      <c r="H1183" s="141">
        <v>0</v>
      </c>
      <c r="I1183">
        <f t="shared" si="126"/>
        <v>979</v>
      </c>
      <c r="J1183" s="137">
        <v>0</v>
      </c>
      <c r="K1183">
        <f t="shared" si="125"/>
        <v>945</v>
      </c>
      <c r="L1183" s="53">
        <f t="shared" si="127"/>
        <v>983</v>
      </c>
      <c r="M1183" s="189">
        <v>0.79</v>
      </c>
      <c r="N1183" s="186">
        <f>VLOOKUP(4180,季財報!A:M,8,0)</f>
        <v>2</v>
      </c>
    </row>
    <row r="1184" spans="1:14">
      <c r="A1184" s="133">
        <v>4188</v>
      </c>
      <c r="C1184">
        <v>-15</v>
      </c>
      <c r="H1184" s="141">
        <v>0</v>
      </c>
      <c r="I1184">
        <f t="shared" si="126"/>
        <v>979</v>
      </c>
      <c r="J1184" s="137">
        <v>0</v>
      </c>
      <c r="K1184">
        <f t="shared" si="125"/>
        <v>945</v>
      </c>
      <c r="L1184" s="53">
        <f t="shared" si="127"/>
        <v>983</v>
      </c>
      <c r="M1184" s="189">
        <v>0.79</v>
      </c>
      <c r="N1184" s="186">
        <f>VLOOKUP(4188,季財報!A:M,8,0)</f>
        <v>2</v>
      </c>
    </row>
    <row r="1185" spans="1:14">
      <c r="A1185" s="133">
        <v>4192</v>
      </c>
      <c r="C1185">
        <v>-73</v>
      </c>
      <c r="H1185" s="141">
        <v>0</v>
      </c>
      <c r="I1185">
        <f t="shared" si="126"/>
        <v>979</v>
      </c>
      <c r="J1185" s="137">
        <v>0</v>
      </c>
      <c r="K1185">
        <f t="shared" si="125"/>
        <v>945</v>
      </c>
      <c r="L1185" s="53">
        <f t="shared" si="127"/>
        <v>983</v>
      </c>
      <c r="M1185" s="189">
        <v>1.59</v>
      </c>
      <c r="N1185" s="186">
        <f>VLOOKUP(4192,季財報!A:M,8,0)</f>
        <v>2</v>
      </c>
    </row>
    <row r="1186" spans="1:14">
      <c r="A1186" s="133">
        <v>4198</v>
      </c>
      <c r="C1186">
        <v>-137</v>
      </c>
      <c r="H1186" s="141">
        <v>0</v>
      </c>
      <c r="I1186">
        <f t="shared" si="126"/>
        <v>979</v>
      </c>
      <c r="J1186" s="137">
        <v>0</v>
      </c>
      <c r="K1186">
        <f t="shared" si="125"/>
        <v>945</v>
      </c>
      <c r="L1186" s="53">
        <f t="shared" si="127"/>
        <v>983</v>
      </c>
      <c r="M1186" s="189">
        <v>0.79</v>
      </c>
      <c r="N1186" s="186">
        <f>VLOOKUP(4198,季財報!A:M,8,0)</f>
        <v>4</v>
      </c>
    </row>
    <row r="1187" spans="1:14">
      <c r="A1187" s="133">
        <v>4304</v>
      </c>
      <c r="C1187">
        <v>-21</v>
      </c>
      <c r="H1187" s="141">
        <v>0</v>
      </c>
      <c r="I1187">
        <f t="shared" si="126"/>
        <v>979</v>
      </c>
      <c r="J1187" s="137">
        <v>0</v>
      </c>
      <c r="K1187">
        <f t="shared" si="125"/>
        <v>945</v>
      </c>
      <c r="L1187" s="53">
        <f t="shared" si="127"/>
        <v>983</v>
      </c>
      <c r="M1187" s="189">
        <v>0.79</v>
      </c>
      <c r="N1187" s="186">
        <f>VLOOKUP(4304,季財報!A:M,8,0)</f>
        <v>0</v>
      </c>
    </row>
    <row r="1188" spans="1:14">
      <c r="A1188" s="133">
        <v>4402</v>
      </c>
      <c r="C1188">
        <v>-26</v>
      </c>
      <c r="H1188" s="141">
        <v>0</v>
      </c>
      <c r="I1188">
        <f t="shared" si="126"/>
        <v>979</v>
      </c>
      <c r="J1188" s="137">
        <v>0</v>
      </c>
      <c r="K1188">
        <f t="shared" si="125"/>
        <v>945</v>
      </c>
      <c r="L1188" s="53">
        <f t="shared" si="127"/>
        <v>983</v>
      </c>
      <c r="M1188" s="189">
        <v>0.79</v>
      </c>
      <c r="N1188" s="186">
        <f>VLOOKUP(4402,季財報!A:M,8,0)</f>
        <v>2</v>
      </c>
    </row>
    <row r="1189" spans="1:14">
      <c r="A1189" s="133">
        <v>4406</v>
      </c>
      <c r="C1189">
        <v>-4</v>
      </c>
      <c r="H1189" s="141">
        <v>0</v>
      </c>
      <c r="I1189">
        <f t="shared" si="126"/>
        <v>979</v>
      </c>
      <c r="J1189" s="137">
        <v>0</v>
      </c>
      <c r="K1189">
        <f t="shared" si="125"/>
        <v>945</v>
      </c>
      <c r="L1189" s="53">
        <f t="shared" si="127"/>
        <v>983</v>
      </c>
      <c r="M1189" s="189">
        <v>0.79</v>
      </c>
      <c r="N1189" s="186">
        <f>VLOOKUP(4406,季財報!A:M,8,0)</f>
        <v>1</v>
      </c>
    </row>
    <row r="1190" spans="1:14">
      <c r="A1190" s="133">
        <v>4414</v>
      </c>
      <c r="C1190">
        <v>-41</v>
      </c>
      <c r="H1190" s="141">
        <v>0</v>
      </c>
      <c r="I1190">
        <f t="shared" si="126"/>
        <v>979</v>
      </c>
      <c r="J1190" s="137">
        <v>0</v>
      </c>
      <c r="K1190">
        <f t="shared" si="125"/>
        <v>945</v>
      </c>
      <c r="L1190" s="53">
        <f t="shared" si="127"/>
        <v>983</v>
      </c>
      <c r="M1190" s="189">
        <v>0.79</v>
      </c>
      <c r="N1190" s="186">
        <f>VLOOKUP(4414,季財報!A:M,8,0)</f>
        <v>1</v>
      </c>
    </row>
    <row r="1191" spans="1:14">
      <c r="A1191" s="133">
        <v>4415</v>
      </c>
      <c r="C1191">
        <v>0</v>
      </c>
      <c r="H1191" s="141">
        <v>0</v>
      </c>
      <c r="I1191">
        <f t="shared" si="126"/>
        <v>979</v>
      </c>
      <c r="J1191" s="137">
        <v>0</v>
      </c>
      <c r="K1191">
        <f t="shared" si="125"/>
        <v>945</v>
      </c>
      <c r="L1191" s="53">
        <f t="shared" si="127"/>
        <v>983</v>
      </c>
      <c r="M1191" s="189">
        <v>0.79</v>
      </c>
      <c r="N1191" s="186">
        <f>VLOOKUP(4415,季財報!A:M,8,0)</f>
        <v>2</v>
      </c>
    </row>
    <row r="1192" spans="1:14">
      <c r="A1192" s="133">
        <v>4416</v>
      </c>
      <c r="C1192">
        <v>10</v>
      </c>
      <c r="D1192">
        <v>2293</v>
      </c>
      <c r="E1192">
        <v>4</v>
      </c>
      <c r="F1192">
        <v>4106</v>
      </c>
      <c r="G1192">
        <v>1458</v>
      </c>
      <c r="H1192" s="141">
        <v>0</v>
      </c>
      <c r="I1192">
        <f t="shared" si="126"/>
        <v>979</v>
      </c>
      <c r="J1192" s="137">
        <v>0</v>
      </c>
      <c r="K1192">
        <f t="shared" si="125"/>
        <v>945</v>
      </c>
      <c r="L1192" s="53">
        <f t="shared" si="127"/>
        <v>983</v>
      </c>
      <c r="M1192" s="189">
        <v>0.79</v>
      </c>
      <c r="N1192" s="186">
        <f>VLOOKUP(4416,季財報!A:M,8,0)</f>
        <v>0</v>
      </c>
    </row>
    <row r="1193" spans="1:14">
      <c r="A1193" s="133">
        <v>4419</v>
      </c>
      <c r="C1193">
        <v>-3</v>
      </c>
      <c r="H1193" s="141">
        <v>0</v>
      </c>
      <c r="I1193">
        <f t="shared" si="126"/>
        <v>979</v>
      </c>
      <c r="J1193" s="137">
        <v>0</v>
      </c>
      <c r="K1193">
        <f t="shared" si="125"/>
        <v>945</v>
      </c>
      <c r="L1193" s="53">
        <f t="shared" si="127"/>
        <v>983</v>
      </c>
      <c r="M1193" s="189">
        <v>1.18</v>
      </c>
      <c r="N1193" s="186">
        <f>VLOOKUP(4419,季財報!A:M,8,0)</f>
        <v>1</v>
      </c>
    </row>
    <row r="1194" spans="1:14">
      <c r="A1194" s="133">
        <v>4433</v>
      </c>
      <c r="C1194">
        <v>-5</v>
      </c>
      <c r="H1194" s="141">
        <v>0</v>
      </c>
      <c r="I1194">
        <f t="shared" si="126"/>
        <v>979</v>
      </c>
      <c r="J1194" s="137">
        <v>0</v>
      </c>
      <c r="K1194">
        <f t="shared" si="125"/>
        <v>945</v>
      </c>
      <c r="L1194" s="53">
        <f t="shared" si="127"/>
        <v>983</v>
      </c>
      <c r="M1194" s="189">
        <v>0.79</v>
      </c>
      <c r="N1194" s="186">
        <f>VLOOKUP(4433,季財報!A:M,8,0)</f>
        <v>2</v>
      </c>
    </row>
    <row r="1195" spans="1:14">
      <c r="A1195" s="133">
        <v>4502</v>
      </c>
      <c r="C1195">
        <v>1</v>
      </c>
      <c r="D1195">
        <v>0</v>
      </c>
      <c r="E1195">
        <v>1352</v>
      </c>
      <c r="F1195">
        <v>244</v>
      </c>
      <c r="G1195">
        <v>1415</v>
      </c>
      <c r="H1195" s="141">
        <v>0</v>
      </c>
      <c r="I1195">
        <f t="shared" si="126"/>
        <v>979</v>
      </c>
      <c r="J1195" s="137">
        <v>0</v>
      </c>
      <c r="K1195">
        <f t="shared" si="125"/>
        <v>945</v>
      </c>
      <c r="L1195" s="53">
        <f t="shared" si="127"/>
        <v>983</v>
      </c>
      <c r="M1195" s="189">
        <v>0.79</v>
      </c>
      <c r="N1195" s="186">
        <f>VLOOKUP(4502,季財報!A:M,8,0)</f>
        <v>3</v>
      </c>
    </row>
    <row r="1196" spans="1:14">
      <c r="A1196" s="133">
        <v>4503</v>
      </c>
      <c r="C1196">
        <v>1</v>
      </c>
      <c r="D1196">
        <v>50</v>
      </c>
      <c r="E1196">
        <v>198</v>
      </c>
      <c r="F1196">
        <v>239</v>
      </c>
      <c r="G1196">
        <v>29</v>
      </c>
      <c r="H1196" s="141">
        <v>0</v>
      </c>
      <c r="I1196">
        <f t="shared" si="126"/>
        <v>979</v>
      </c>
      <c r="J1196" s="137">
        <v>0</v>
      </c>
      <c r="K1196">
        <f t="shared" si="125"/>
        <v>945</v>
      </c>
      <c r="L1196" s="53">
        <f t="shared" si="127"/>
        <v>983</v>
      </c>
      <c r="M1196" s="189">
        <v>1.01</v>
      </c>
      <c r="N1196" s="186">
        <f>VLOOKUP(4503,季財報!A:M,8,0)</f>
        <v>3</v>
      </c>
    </row>
    <row r="1197" spans="1:14">
      <c r="A1197" s="133">
        <v>4523</v>
      </c>
      <c r="C1197">
        <v>-13</v>
      </c>
      <c r="H1197" s="141">
        <v>0</v>
      </c>
      <c r="I1197">
        <f t="shared" si="126"/>
        <v>979</v>
      </c>
      <c r="J1197" s="137">
        <v>0</v>
      </c>
      <c r="K1197">
        <f t="shared" si="125"/>
        <v>945</v>
      </c>
      <c r="L1197" s="53">
        <f t="shared" si="127"/>
        <v>983</v>
      </c>
      <c r="M1197" s="189">
        <v>1.01</v>
      </c>
      <c r="N1197" s="186">
        <f>VLOOKUP(4523,季財報!A:M,8,0)</f>
        <v>2</v>
      </c>
    </row>
    <row r="1198" spans="1:14">
      <c r="A1198" s="133">
        <v>4529</v>
      </c>
      <c r="C1198">
        <v>-32</v>
      </c>
      <c r="H1198" s="141">
        <v>0</v>
      </c>
      <c r="I1198">
        <f t="shared" si="126"/>
        <v>979</v>
      </c>
      <c r="J1198" s="137">
        <v>0</v>
      </c>
      <c r="K1198">
        <f t="shared" si="125"/>
        <v>945</v>
      </c>
      <c r="L1198" s="53">
        <f t="shared" si="127"/>
        <v>983</v>
      </c>
      <c r="M1198" s="189">
        <v>1.01</v>
      </c>
      <c r="N1198" s="186">
        <f>VLOOKUP(4529,季財報!A:M,8,0)</f>
        <v>4</v>
      </c>
    </row>
    <row r="1199" spans="1:14">
      <c r="A1199" s="133">
        <v>4530</v>
      </c>
      <c r="C1199">
        <v>-15</v>
      </c>
      <c r="H1199" s="141">
        <v>0</v>
      </c>
      <c r="I1199">
        <f t="shared" si="126"/>
        <v>979</v>
      </c>
      <c r="J1199" s="137">
        <v>0</v>
      </c>
      <c r="K1199">
        <f t="shared" si="125"/>
        <v>945</v>
      </c>
      <c r="L1199" s="53">
        <f t="shared" si="127"/>
        <v>983</v>
      </c>
      <c r="M1199" s="189">
        <v>1.9</v>
      </c>
      <c r="N1199" s="186">
        <f>VLOOKUP(4530,季財報!A:M,8,0)</f>
        <v>3</v>
      </c>
    </row>
    <row r="1200" spans="1:14">
      <c r="A1200" s="133">
        <v>4542</v>
      </c>
      <c r="C1200">
        <v>-11</v>
      </c>
      <c r="H1200" s="141">
        <v>0</v>
      </c>
      <c r="I1200">
        <f t="shared" si="126"/>
        <v>979</v>
      </c>
      <c r="J1200" s="137">
        <v>0</v>
      </c>
      <c r="K1200">
        <f t="shared" si="125"/>
        <v>945</v>
      </c>
      <c r="L1200" s="53">
        <f t="shared" si="127"/>
        <v>983</v>
      </c>
      <c r="M1200" s="189">
        <v>0.79</v>
      </c>
      <c r="N1200" s="186">
        <f>VLOOKUP(4542,季財報!A:M,8,0)</f>
        <v>4</v>
      </c>
    </row>
    <row r="1201" spans="1:14">
      <c r="A1201" s="133">
        <v>4702</v>
      </c>
      <c r="C1201">
        <v>-1</v>
      </c>
      <c r="H1201" s="141">
        <v>0</v>
      </c>
      <c r="I1201">
        <f t="shared" si="126"/>
        <v>979</v>
      </c>
      <c r="J1201" s="137">
        <v>0</v>
      </c>
      <c r="K1201">
        <f t="shared" si="125"/>
        <v>945</v>
      </c>
      <c r="L1201" s="53">
        <f t="shared" si="127"/>
        <v>983</v>
      </c>
      <c r="M1201" s="189">
        <v>0.79</v>
      </c>
      <c r="N1201" s="186">
        <f>VLOOKUP(4702,季財報!A:M,8,0)</f>
        <v>1</v>
      </c>
    </row>
    <row r="1202" spans="1:14">
      <c r="A1202" s="133">
        <v>4712</v>
      </c>
      <c r="C1202">
        <v>-11</v>
      </c>
      <c r="H1202" s="141">
        <v>0</v>
      </c>
      <c r="I1202">
        <f t="shared" si="126"/>
        <v>979</v>
      </c>
      <c r="J1202" s="137">
        <v>0</v>
      </c>
      <c r="K1202">
        <f t="shared" si="125"/>
        <v>945</v>
      </c>
      <c r="L1202" s="53">
        <f t="shared" si="127"/>
        <v>983</v>
      </c>
      <c r="M1202" s="189">
        <v>0.79</v>
      </c>
      <c r="N1202" s="186">
        <f>VLOOKUP(4712,季財報!A:M,8,0)</f>
        <v>2</v>
      </c>
    </row>
    <row r="1203" spans="1:14">
      <c r="A1203" s="133">
        <v>4716</v>
      </c>
      <c r="C1203">
        <v>4</v>
      </c>
      <c r="D1203">
        <v>559</v>
      </c>
      <c r="E1203">
        <v>365</v>
      </c>
      <c r="F1203">
        <v>879</v>
      </c>
      <c r="G1203">
        <v>8</v>
      </c>
      <c r="H1203" s="141">
        <v>0</v>
      </c>
      <c r="I1203">
        <f t="shared" si="126"/>
        <v>979</v>
      </c>
      <c r="J1203" s="137">
        <v>0</v>
      </c>
      <c r="K1203">
        <f t="shared" si="125"/>
        <v>945</v>
      </c>
      <c r="L1203" s="53">
        <f t="shared" si="127"/>
        <v>983</v>
      </c>
      <c r="M1203" s="189">
        <v>0.79</v>
      </c>
      <c r="N1203" s="186">
        <f>VLOOKUP(4716,季財報!A:M,8,0)</f>
        <v>2</v>
      </c>
    </row>
    <row r="1204" spans="1:14">
      <c r="A1204" s="133">
        <v>4725</v>
      </c>
      <c r="C1204">
        <v>-305</v>
      </c>
      <c r="H1204" s="141">
        <v>0</v>
      </c>
      <c r="I1204">
        <f t="shared" si="126"/>
        <v>979</v>
      </c>
      <c r="J1204" s="137">
        <v>0</v>
      </c>
      <c r="K1204">
        <f t="shared" si="125"/>
        <v>945</v>
      </c>
      <c r="L1204" s="53">
        <f t="shared" si="127"/>
        <v>983</v>
      </c>
      <c r="M1204" s="189">
        <v>0.79</v>
      </c>
      <c r="N1204" s="186">
        <f>VLOOKUP(4725,季財報!A:M,8,0)</f>
        <v>0</v>
      </c>
    </row>
    <row r="1205" spans="1:14">
      <c r="A1205" s="133">
        <v>4726</v>
      </c>
      <c r="C1205">
        <v>-14</v>
      </c>
      <c r="H1205" s="141">
        <v>0</v>
      </c>
      <c r="I1205">
        <f t="shared" si="126"/>
        <v>979</v>
      </c>
      <c r="J1205" s="137">
        <v>0</v>
      </c>
      <c r="K1205">
        <f t="shared" si="125"/>
        <v>945</v>
      </c>
      <c r="L1205" s="53">
        <f t="shared" si="127"/>
        <v>983</v>
      </c>
      <c r="M1205" s="189">
        <v>1.01</v>
      </c>
      <c r="N1205" s="186">
        <f>VLOOKUP(4726,季財報!A:M,8,0)</f>
        <v>3</v>
      </c>
    </row>
    <row r="1206" spans="1:14">
      <c r="A1206" s="133">
        <v>4728</v>
      </c>
      <c r="C1206">
        <v>-13</v>
      </c>
      <c r="H1206" s="141">
        <v>0</v>
      </c>
      <c r="I1206">
        <f t="shared" si="126"/>
        <v>979</v>
      </c>
      <c r="J1206" s="137">
        <v>0</v>
      </c>
      <c r="K1206">
        <f t="shared" si="125"/>
        <v>945</v>
      </c>
      <c r="L1206" s="53">
        <f t="shared" si="127"/>
        <v>983</v>
      </c>
      <c r="M1206" s="189">
        <v>0.79</v>
      </c>
      <c r="N1206" s="186">
        <f>VLOOKUP(4728,季財報!A:M,8,0)</f>
        <v>4</v>
      </c>
    </row>
    <row r="1207" spans="1:14">
      <c r="A1207" s="133">
        <v>4743</v>
      </c>
      <c r="C1207">
        <v>-21</v>
      </c>
      <c r="H1207" s="141">
        <v>0</v>
      </c>
      <c r="I1207">
        <f t="shared" si="126"/>
        <v>979</v>
      </c>
      <c r="J1207" s="137">
        <v>0</v>
      </c>
      <c r="K1207">
        <f t="shared" si="125"/>
        <v>945</v>
      </c>
      <c r="L1207" s="53">
        <f t="shared" si="127"/>
        <v>983</v>
      </c>
      <c r="M1207" s="189">
        <v>0.79</v>
      </c>
      <c r="N1207" s="186">
        <f>VLOOKUP(4743,季財報!A:M,8,0)</f>
        <v>1</v>
      </c>
    </row>
    <row r="1208" spans="1:14">
      <c r="A1208" s="133">
        <v>4905</v>
      </c>
      <c r="C1208">
        <v>-2</v>
      </c>
      <c r="H1208" s="141">
        <v>0</v>
      </c>
      <c r="I1208">
        <f t="shared" si="126"/>
        <v>979</v>
      </c>
      <c r="J1208" s="137">
        <v>0</v>
      </c>
      <c r="K1208">
        <f t="shared" ref="K1208:K1271" si="128">RANK(0,J:J,0)</f>
        <v>945</v>
      </c>
      <c r="L1208" s="53">
        <f t="shared" si="127"/>
        <v>983</v>
      </c>
      <c r="M1208" s="189">
        <v>0.79</v>
      </c>
      <c r="N1208" s="186">
        <f>VLOOKUP(4905,季財報!A:M,8,0)</f>
        <v>4</v>
      </c>
    </row>
    <row r="1209" spans="1:14">
      <c r="A1209" s="133">
        <v>4906</v>
      </c>
      <c r="C1209">
        <v>16</v>
      </c>
      <c r="D1209">
        <v>2329</v>
      </c>
      <c r="E1209">
        <v>3675</v>
      </c>
      <c r="F1209">
        <v>8555</v>
      </c>
      <c r="G1209">
        <v>3474</v>
      </c>
      <c r="H1209" s="141">
        <v>0</v>
      </c>
      <c r="I1209">
        <f t="shared" si="126"/>
        <v>979</v>
      </c>
      <c r="J1209" s="137">
        <v>0</v>
      </c>
      <c r="K1209">
        <f t="shared" si="128"/>
        <v>945</v>
      </c>
      <c r="L1209" s="53">
        <f t="shared" si="127"/>
        <v>983</v>
      </c>
      <c r="M1209" s="189">
        <v>0.79</v>
      </c>
      <c r="N1209" s="186">
        <f>VLOOKUP(4906,季財報!A:M,8,0)</f>
        <v>4</v>
      </c>
    </row>
    <row r="1210" spans="1:14">
      <c r="A1210" s="133">
        <v>4907</v>
      </c>
      <c r="C1210">
        <v>40</v>
      </c>
      <c r="D1210">
        <v>605</v>
      </c>
      <c r="E1210">
        <v>0</v>
      </c>
      <c r="F1210">
        <v>755</v>
      </c>
      <c r="G1210">
        <v>2298</v>
      </c>
      <c r="H1210" s="141">
        <v>0</v>
      </c>
      <c r="I1210">
        <f t="shared" si="126"/>
        <v>979</v>
      </c>
      <c r="J1210" s="137">
        <v>0</v>
      </c>
      <c r="K1210">
        <f t="shared" si="128"/>
        <v>945</v>
      </c>
      <c r="L1210" s="53">
        <f t="shared" si="127"/>
        <v>983</v>
      </c>
      <c r="M1210" s="189">
        <v>0.79</v>
      </c>
      <c r="N1210" s="186" t="e">
        <f>VLOOKUP(4907,季財報!A:M,8,0)</f>
        <v>#N/A</v>
      </c>
    </row>
    <row r="1211" spans="1:14">
      <c r="A1211" s="133">
        <v>4911</v>
      </c>
      <c r="C1211">
        <v>-9</v>
      </c>
      <c r="H1211" s="141">
        <v>0</v>
      </c>
      <c r="I1211">
        <f t="shared" si="126"/>
        <v>979</v>
      </c>
      <c r="J1211" s="137">
        <v>0</v>
      </c>
      <c r="K1211">
        <f t="shared" si="128"/>
        <v>945</v>
      </c>
      <c r="L1211" s="53">
        <f t="shared" si="127"/>
        <v>983</v>
      </c>
      <c r="M1211" s="189">
        <v>1.36</v>
      </c>
      <c r="N1211" s="186">
        <f>VLOOKUP(4911,季財報!A:M,8,0)</f>
        <v>1</v>
      </c>
    </row>
    <row r="1212" spans="1:14">
      <c r="A1212" s="133">
        <v>4924</v>
      </c>
      <c r="C1212">
        <v>-12</v>
      </c>
      <c r="H1212" s="141">
        <v>0</v>
      </c>
      <c r="I1212">
        <f t="shared" si="126"/>
        <v>979</v>
      </c>
      <c r="J1212" s="137">
        <v>0</v>
      </c>
      <c r="K1212">
        <f t="shared" si="128"/>
        <v>945</v>
      </c>
      <c r="L1212" s="53">
        <f t="shared" si="127"/>
        <v>983</v>
      </c>
      <c r="M1212" s="189">
        <v>0.79</v>
      </c>
      <c r="N1212" s="186">
        <f>VLOOKUP(4924,季財報!A:M,8,0)</f>
        <v>0</v>
      </c>
    </row>
    <row r="1213" spans="1:14">
      <c r="A1213" s="133">
        <v>4939</v>
      </c>
      <c r="C1213">
        <v>-18</v>
      </c>
      <c r="H1213" s="141">
        <v>0</v>
      </c>
      <c r="I1213">
        <f t="shared" si="126"/>
        <v>979</v>
      </c>
      <c r="J1213" s="137">
        <v>0</v>
      </c>
      <c r="K1213">
        <f t="shared" si="128"/>
        <v>945</v>
      </c>
      <c r="L1213" s="53">
        <f t="shared" si="127"/>
        <v>983</v>
      </c>
      <c r="M1213" s="189">
        <v>0.79</v>
      </c>
      <c r="N1213" s="186">
        <f>VLOOKUP(4939,季財報!A:M,8,0)</f>
        <v>2</v>
      </c>
    </row>
    <row r="1214" spans="1:14">
      <c r="A1214" s="133">
        <v>4942</v>
      </c>
      <c r="C1214">
        <v>-103</v>
      </c>
      <c r="H1214" s="141">
        <v>0</v>
      </c>
      <c r="I1214">
        <f t="shared" si="126"/>
        <v>979</v>
      </c>
      <c r="J1214" s="137">
        <v>0</v>
      </c>
      <c r="K1214">
        <f t="shared" si="128"/>
        <v>945</v>
      </c>
      <c r="L1214" s="53">
        <f t="shared" si="127"/>
        <v>983</v>
      </c>
      <c r="M1214" s="189">
        <v>0.79</v>
      </c>
      <c r="N1214" s="186">
        <f>VLOOKUP(4942,季財報!A:M,8,0)</f>
        <v>1</v>
      </c>
    </row>
    <row r="1215" spans="1:14">
      <c r="A1215" s="133">
        <v>4944</v>
      </c>
      <c r="C1215">
        <v>-189</v>
      </c>
      <c r="H1215" s="141">
        <v>0</v>
      </c>
      <c r="I1215">
        <f t="shared" si="126"/>
        <v>979</v>
      </c>
      <c r="J1215" s="137">
        <v>0</v>
      </c>
      <c r="K1215">
        <f t="shared" si="128"/>
        <v>945</v>
      </c>
      <c r="L1215" s="53">
        <f t="shared" si="127"/>
        <v>983</v>
      </c>
      <c r="M1215" s="189">
        <v>0.79</v>
      </c>
      <c r="N1215" s="186">
        <f>VLOOKUP(4944,季財報!A:M,8,0)</f>
        <v>2</v>
      </c>
    </row>
    <row r="1216" spans="1:14">
      <c r="A1216" s="133">
        <v>4946</v>
      </c>
      <c r="C1216">
        <v>-28</v>
      </c>
      <c r="H1216" s="141">
        <v>0</v>
      </c>
      <c r="I1216">
        <f t="shared" si="126"/>
        <v>979</v>
      </c>
      <c r="J1216" s="137">
        <v>0</v>
      </c>
      <c r="K1216">
        <f t="shared" si="128"/>
        <v>945</v>
      </c>
      <c r="L1216" s="53">
        <f t="shared" si="127"/>
        <v>983</v>
      </c>
      <c r="M1216" s="189">
        <v>0.79</v>
      </c>
      <c r="N1216" s="186">
        <f>VLOOKUP(4946,季財報!A:M,8,0)</f>
        <v>2</v>
      </c>
    </row>
    <row r="1217" spans="1:14">
      <c r="A1217" s="133">
        <v>4950</v>
      </c>
      <c r="C1217">
        <v>-1</v>
      </c>
      <c r="H1217" s="141">
        <v>0</v>
      </c>
      <c r="I1217">
        <f t="shared" si="126"/>
        <v>979</v>
      </c>
      <c r="J1217" s="137">
        <v>0</v>
      </c>
      <c r="K1217">
        <f t="shared" si="128"/>
        <v>945</v>
      </c>
      <c r="L1217" s="53">
        <f t="shared" si="127"/>
        <v>983</v>
      </c>
      <c r="M1217" s="189">
        <v>0.79</v>
      </c>
      <c r="N1217" s="186">
        <f>VLOOKUP(4950,季財報!A:M,8,0)</f>
        <v>5</v>
      </c>
    </row>
    <row r="1218" spans="1:14">
      <c r="A1218" s="133">
        <v>4953</v>
      </c>
      <c r="C1218">
        <v>-2</v>
      </c>
      <c r="H1218" s="141">
        <v>0</v>
      </c>
      <c r="I1218">
        <f t="shared" si="126"/>
        <v>979</v>
      </c>
      <c r="J1218" s="137">
        <v>0</v>
      </c>
      <c r="K1218">
        <f t="shared" si="128"/>
        <v>945</v>
      </c>
      <c r="L1218" s="53">
        <f t="shared" si="127"/>
        <v>983</v>
      </c>
      <c r="M1218" s="189">
        <v>0.79</v>
      </c>
      <c r="N1218" s="186">
        <f>VLOOKUP(4953,季財報!A:M,8,0)</f>
        <v>1</v>
      </c>
    </row>
    <row r="1219" spans="1:14">
      <c r="A1219" s="133">
        <v>4956</v>
      </c>
      <c r="C1219">
        <v>3</v>
      </c>
      <c r="D1219">
        <v>919</v>
      </c>
      <c r="E1219">
        <v>1091</v>
      </c>
      <c r="F1219">
        <v>2058</v>
      </c>
      <c r="G1219">
        <v>562</v>
      </c>
      <c r="H1219" s="141">
        <v>0</v>
      </c>
      <c r="I1219">
        <f t="shared" si="126"/>
        <v>979</v>
      </c>
      <c r="J1219" s="137">
        <v>0</v>
      </c>
      <c r="K1219">
        <f t="shared" si="128"/>
        <v>945</v>
      </c>
      <c r="L1219" s="53">
        <f t="shared" si="127"/>
        <v>983</v>
      </c>
      <c r="M1219" s="189">
        <v>1.9</v>
      </c>
      <c r="N1219" s="186">
        <f>VLOOKUP(4956,季財報!A:M,8,0)</f>
        <v>2</v>
      </c>
    </row>
    <row r="1220" spans="1:14">
      <c r="A1220" s="133">
        <v>4973</v>
      </c>
      <c r="C1220">
        <v>-17</v>
      </c>
      <c r="H1220" s="141">
        <v>0</v>
      </c>
      <c r="I1220">
        <f t="shared" si="126"/>
        <v>979</v>
      </c>
      <c r="J1220" s="137">
        <v>0</v>
      </c>
      <c r="K1220">
        <f t="shared" si="128"/>
        <v>945</v>
      </c>
      <c r="L1220" s="53">
        <f t="shared" si="127"/>
        <v>983</v>
      </c>
      <c r="M1220" s="189">
        <v>1.01</v>
      </c>
      <c r="N1220" s="186">
        <f>VLOOKUP(4973,季財報!A:M,8,0)</f>
        <v>4</v>
      </c>
    </row>
    <row r="1221" spans="1:14">
      <c r="A1221" s="133">
        <v>4976</v>
      </c>
      <c r="C1221">
        <v>-12</v>
      </c>
      <c r="H1221" s="141">
        <v>0</v>
      </c>
      <c r="I1221">
        <f t="shared" si="126"/>
        <v>979</v>
      </c>
      <c r="J1221" s="137">
        <v>0</v>
      </c>
      <c r="K1221">
        <f t="shared" si="128"/>
        <v>945</v>
      </c>
      <c r="L1221" s="53">
        <f t="shared" si="127"/>
        <v>983</v>
      </c>
      <c r="M1221" s="189">
        <v>0.79</v>
      </c>
      <c r="N1221" s="186">
        <f>VLOOKUP(4976,季財報!A:M,8,0)</f>
        <v>2</v>
      </c>
    </row>
    <row r="1222" spans="1:14">
      <c r="A1222" s="133">
        <v>6177</v>
      </c>
      <c r="C1222">
        <v>6</v>
      </c>
      <c r="D1222">
        <v>3923</v>
      </c>
      <c r="E1222">
        <v>141</v>
      </c>
      <c r="F1222">
        <v>3276</v>
      </c>
      <c r="G1222">
        <v>3547</v>
      </c>
      <c r="H1222" s="141">
        <v>0</v>
      </c>
      <c r="I1222">
        <f t="shared" si="126"/>
        <v>979</v>
      </c>
      <c r="J1222" s="137">
        <v>0</v>
      </c>
      <c r="K1222">
        <f t="shared" si="128"/>
        <v>945</v>
      </c>
      <c r="L1222" s="53">
        <f t="shared" si="127"/>
        <v>983</v>
      </c>
      <c r="M1222" s="189">
        <v>0.87</v>
      </c>
      <c r="N1222" s="186">
        <f>VLOOKUP(6177,季財報!A:M,8,0)</f>
        <v>0</v>
      </c>
    </row>
    <row r="1223" spans="1:14">
      <c r="A1223" s="133">
        <v>1103</v>
      </c>
      <c r="C1223">
        <v>-84</v>
      </c>
      <c r="H1223" s="141">
        <v>0</v>
      </c>
      <c r="I1223">
        <f t="shared" si="126"/>
        <v>979</v>
      </c>
      <c r="J1223" s="137">
        <v>0</v>
      </c>
      <c r="K1223">
        <f t="shared" si="128"/>
        <v>945</v>
      </c>
      <c r="L1223" s="53">
        <f t="shared" si="127"/>
        <v>983</v>
      </c>
      <c r="M1223" s="189">
        <v>0.79</v>
      </c>
      <c r="N1223" s="186">
        <f>VLOOKUP(1103,季財報!A:M,8,0)</f>
        <v>1</v>
      </c>
    </row>
    <row r="1224" spans="1:14">
      <c r="A1224" s="133">
        <v>1109</v>
      </c>
      <c r="C1224">
        <v>-15</v>
      </c>
      <c r="H1224" s="141">
        <v>0</v>
      </c>
      <c r="I1224">
        <f t="shared" si="126"/>
        <v>979</v>
      </c>
      <c r="J1224" s="137">
        <v>0</v>
      </c>
      <c r="K1224">
        <f t="shared" si="128"/>
        <v>945</v>
      </c>
      <c r="L1224" s="53">
        <f t="shared" si="127"/>
        <v>983</v>
      </c>
      <c r="M1224" s="189">
        <v>0.79</v>
      </c>
      <c r="N1224" s="186">
        <f>VLOOKUP(1109,季財報!A:M,8,0)</f>
        <v>2</v>
      </c>
    </row>
    <row r="1225" spans="1:14">
      <c r="A1225" s="133">
        <v>1201</v>
      </c>
      <c r="C1225">
        <v>-43</v>
      </c>
      <c r="H1225" s="141">
        <v>0</v>
      </c>
      <c r="I1225">
        <f t="shared" si="126"/>
        <v>979</v>
      </c>
      <c r="J1225" s="137">
        <v>0</v>
      </c>
      <c r="K1225">
        <f t="shared" si="128"/>
        <v>945</v>
      </c>
      <c r="L1225" s="53">
        <f t="shared" si="127"/>
        <v>983</v>
      </c>
      <c r="M1225" s="189">
        <v>1.9</v>
      </c>
      <c r="N1225" s="186">
        <f>VLOOKUP(1201,季財報!A:M,8,0)</f>
        <v>0</v>
      </c>
    </row>
    <row r="1226" spans="1:14">
      <c r="A1226" s="133">
        <v>1304</v>
      </c>
      <c r="C1226">
        <v>60</v>
      </c>
      <c r="D1226">
        <v>15037</v>
      </c>
      <c r="E1226">
        <v>22091</v>
      </c>
      <c r="F1226">
        <v>30825</v>
      </c>
      <c r="G1226">
        <v>9707</v>
      </c>
      <c r="H1226" s="141">
        <v>0</v>
      </c>
      <c r="I1226">
        <f t="shared" si="126"/>
        <v>979</v>
      </c>
      <c r="J1226" s="137">
        <v>0</v>
      </c>
      <c r="K1226">
        <f t="shared" si="128"/>
        <v>945</v>
      </c>
      <c r="L1226" s="53">
        <f t="shared" si="127"/>
        <v>983</v>
      </c>
      <c r="M1226" s="189">
        <v>0.79</v>
      </c>
      <c r="N1226" s="186">
        <f>VLOOKUP(1304,季財報!A:M,8,0)</f>
        <v>1</v>
      </c>
    </row>
    <row r="1227" spans="1:14">
      <c r="A1227" s="133">
        <v>1309</v>
      </c>
      <c r="C1227">
        <v>-153</v>
      </c>
      <c r="H1227" s="141">
        <v>0</v>
      </c>
      <c r="I1227">
        <f t="shared" si="126"/>
        <v>979</v>
      </c>
      <c r="J1227" s="137">
        <v>0</v>
      </c>
      <c r="K1227">
        <f t="shared" si="128"/>
        <v>945</v>
      </c>
      <c r="L1227" s="53">
        <f t="shared" si="127"/>
        <v>983</v>
      </c>
      <c r="M1227" s="189">
        <v>1.58</v>
      </c>
      <c r="N1227" s="186">
        <f>VLOOKUP(1309,季財報!A:M,8,0)</f>
        <v>0</v>
      </c>
    </row>
    <row r="1228" spans="1:14">
      <c r="A1228" s="133">
        <v>1313</v>
      </c>
      <c r="C1228">
        <v>-126</v>
      </c>
      <c r="H1228" s="141">
        <v>0</v>
      </c>
      <c r="I1228">
        <f t="shared" si="126"/>
        <v>979</v>
      </c>
      <c r="J1228" s="137">
        <v>0</v>
      </c>
      <c r="K1228">
        <f t="shared" si="128"/>
        <v>945</v>
      </c>
      <c r="L1228" s="53">
        <f t="shared" si="127"/>
        <v>983</v>
      </c>
      <c r="M1228" s="189">
        <v>7.67</v>
      </c>
      <c r="N1228" s="186">
        <f>VLOOKUP(1313,季財報!A:M,8,0)</f>
        <v>0</v>
      </c>
    </row>
    <row r="1229" spans="1:14">
      <c r="A1229" s="133">
        <v>1314</v>
      </c>
      <c r="C1229">
        <v>-561</v>
      </c>
      <c r="H1229" s="141">
        <v>0</v>
      </c>
      <c r="I1229">
        <f t="shared" si="126"/>
        <v>979</v>
      </c>
      <c r="J1229" s="137">
        <v>0</v>
      </c>
      <c r="K1229">
        <f t="shared" si="128"/>
        <v>945</v>
      </c>
      <c r="L1229" s="53">
        <f t="shared" si="127"/>
        <v>983</v>
      </c>
      <c r="M1229" s="189">
        <v>0.79</v>
      </c>
      <c r="N1229" s="186">
        <f>VLOOKUP(1314,季財報!A:M,8,0)</f>
        <v>2</v>
      </c>
    </row>
    <row r="1230" spans="1:14">
      <c r="A1230" s="133">
        <v>1316</v>
      </c>
      <c r="C1230">
        <v>-19</v>
      </c>
      <c r="H1230" s="141">
        <v>0</v>
      </c>
      <c r="I1230">
        <f t="shared" si="126"/>
        <v>979</v>
      </c>
      <c r="J1230" s="137">
        <v>0</v>
      </c>
      <c r="K1230">
        <f t="shared" si="128"/>
        <v>945</v>
      </c>
      <c r="L1230" s="53">
        <f t="shared" si="127"/>
        <v>983</v>
      </c>
      <c r="M1230" s="189">
        <v>0.79</v>
      </c>
      <c r="N1230" s="186">
        <f>VLOOKUP(1316,季財報!A:M,8,0)</f>
        <v>1</v>
      </c>
    </row>
    <row r="1231" spans="1:14">
      <c r="A1231" s="133">
        <v>1321</v>
      </c>
      <c r="C1231">
        <v>3</v>
      </c>
      <c r="D1231">
        <v>297</v>
      </c>
      <c r="E1231">
        <v>7854</v>
      </c>
      <c r="F1231">
        <v>5028</v>
      </c>
      <c r="G1231">
        <v>448</v>
      </c>
      <c r="H1231" s="141">
        <v>0</v>
      </c>
      <c r="I1231">
        <f t="shared" si="126"/>
        <v>979</v>
      </c>
      <c r="J1231" s="137">
        <v>0</v>
      </c>
      <c r="K1231">
        <f t="shared" si="128"/>
        <v>945</v>
      </c>
      <c r="L1231" s="53">
        <f t="shared" si="127"/>
        <v>983</v>
      </c>
      <c r="M1231" s="189">
        <v>0.97</v>
      </c>
      <c r="N1231" s="186">
        <f>VLOOKUP(1321,季財報!A:M,8,0)</f>
        <v>4</v>
      </c>
    </row>
    <row r="1232" spans="1:14">
      <c r="A1232" s="133">
        <v>1336</v>
      </c>
      <c r="C1232">
        <v>-49</v>
      </c>
      <c r="H1232" s="141">
        <v>0</v>
      </c>
      <c r="I1232">
        <f t="shared" si="126"/>
        <v>979</v>
      </c>
      <c r="J1232" s="137">
        <v>0</v>
      </c>
      <c r="K1232">
        <f t="shared" si="128"/>
        <v>945</v>
      </c>
      <c r="L1232" s="53">
        <f t="shared" si="127"/>
        <v>983</v>
      </c>
      <c r="M1232" s="189">
        <v>0.79</v>
      </c>
      <c r="N1232" s="186">
        <f>VLOOKUP(1336,季財報!A:M,8,0)</f>
        <v>2</v>
      </c>
    </row>
    <row r="1233" spans="1:14">
      <c r="A1233" s="133">
        <v>1413</v>
      </c>
      <c r="C1233">
        <v>-46</v>
      </c>
      <c r="H1233" s="141">
        <v>0</v>
      </c>
      <c r="I1233">
        <f t="shared" si="126"/>
        <v>979</v>
      </c>
      <c r="J1233" s="137">
        <v>0</v>
      </c>
      <c r="K1233">
        <f t="shared" si="128"/>
        <v>945</v>
      </c>
      <c r="L1233" s="53">
        <f t="shared" si="127"/>
        <v>983</v>
      </c>
      <c r="M1233" s="189">
        <v>0.79</v>
      </c>
      <c r="N1233" s="186">
        <f>VLOOKUP(1413,季財報!A:M,8,0)</f>
        <v>2</v>
      </c>
    </row>
    <row r="1234" spans="1:14">
      <c r="A1234" s="133">
        <v>1414</v>
      </c>
      <c r="C1234">
        <v>-2</v>
      </c>
      <c r="H1234" s="141">
        <v>0</v>
      </c>
      <c r="I1234">
        <f t="shared" si="126"/>
        <v>979</v>
      </c>
      <c r="J1234" s="137">
        <v>0</v>
      </c>
      <c r="K1234">
        <f t="shared" si="128"/>
        <v>945</v>
      </c>
      <c r="L1234" s="53">
        <f t="shared" si="127"/>
        <v>983</v>
      </c>
      <c r="M1234" s="189">
        <v>2.76</v>
      </c>
      <c r="N1234" s="186">
        <f>VLOOKUP(1414,季財報!A:M,8,0)</f>
        <v>2</v>
      </c>
    </row>
    <row r="1235" spans="1:14">
      <c r="A1235" s="133">
        <v>1416</v>
      </c>
      <c r="C1235">
        <v>-54</v>
      </c>
      <c r="H1235" s="141">
        <v>0</v>
      </c>
      <c r="I1235">
        <f t="shared" si="126"/>
        <v>979</v>
      </c>
      <c r="J1235" s="137">
        <v>0</v>
      </c>
      <c r="K1235">
        <f t="shared" si="128"/>
        <v>945</v>
      </c>
      <c r="L1235" s="53">
        <f t="shared" si="127"/>
        <v>983</v>
      </c>
      <c r="M1235" s="189">
        <v>0.79</v>
      </c>
      <c r="N1235" s="186">
        <f>VLOOKUP(1416,季財報!A:M,8,0)</f>
        <v>0</v>
      </c>
    </row>
    <row r="1236" spans="1:14">
      <c r="A1236" s="133">
        <v>1417</v>
      </c>
      <c r="C1236">
        <v>-158</v>
      </c>
      <c r="H1236" s="141">
        <v>0</v>
      </c>
      <c r="I1236">
        <f t="shared" si="126"/>
        <v>979</v>
      </c>
      <c r="J1236" s="137">
        <v>0</v>
      </c>
      <c r="K1236">
        <f t="shared" si="128"/>
        <v>945</v>
      </c>
      <c r="L1236" s="53">
        <f t="shared" si="127"/>
        <v>983</v>
      </c>
      <c r="M1236" s="189">
        <v>0.79</v>
      </c>
      <c r="N1236" s="186">
        <f>VLOOKUP(1417,季財報!A:M,8,0)</f>
        <v>1</v>
      </c>
    </row>
    <row r="1237" spans="1:14">
      <c r="A1237" s="133">
        <v>1418</v>
      </c>
      <c r="C1237">
        <v>-28</v>
      </c>
      <c r="H1237" s="141">
        <v>0</v>
      </c>
      <c r="I1237">
        <f t="shared" si="126"/>
        <v>979</v>
      </c>
      <c r="J1237" s="137">
        <v>0</v>
      </c>
      <c r="K1237">
        <f t="shared" si="128"/>
        <v>945</v>
      </c>
      <c r="L1237" s="53">
        <f t="shared" si="127"/>
        <v>983</v>
      </c>
      <c r="M1237" s="189">
        <v>0.79</v>
      </c>
      <c r="N1237" s="186">
        <f>VLOOKUP(1418,季財報!A:M,8,0)</f>
        <v>1</v>
      </c>
    </row>
    <row r="1238" spans="1:14">
      <c r="A1238" s="133">
        <v>1419</v>
      </c>
      <c r="C1238">
        <v>-18</v>
      </c>
      <c r="H1238" s="141">
        <v>0</v>
      </c>
      <c r="I1238">
        <f t="shared" si="126"/>
        <v>979</v>
      </c>
      <c r="J1238" s="137">
        <v>0</v>
      </c>
      <c r="K1238">
        <f t="shared" si="128"/>
        <v>945</v>
      </c>
      <c r="L1238" s="53">
        <f t="shared" si="127"/>
        <v>983</v>
      </c>
      <c r="M1238" s="189">
        <v>0.79</v>
      </c>
      <c r="N1238" s="186">
        <f>VLOOKUP(1419,季財報!A:M,8,0)</f>
        <v>2</v>
      </c>
    </row>
    <row r="1239" spans="1:14">
      <c r="A1239" s="133">
        <v>1423</v>
      </c>
      <c r="C1239">
        <v>-16</v>
      </c>
      <c r="H1239" s="141">
        <v>0</v>
      </c>
      <c r="I1239">
        <f t="shared" si="126"/>
        <v>979</v>
      </c>
      <c r="J1239" s="137">
        <v>0</v>
      </c>
      <c r="K1239">
        <f t="shared" si="128"/>
        <v>945</v>
      </c>
      <c r="L1239" s="53">
        <f t="shared" si="127"/>
        <v>983</v>
      </c>
      <c r="M1239" s="189">
        <v>0.79</v>
      </c>
      <c r="N1239" s="186">
        <f>VLOOKUP(1423,季財報!A:M,8,0)</f>
        <v>1</v>
      </c>
    </row>
    <row r="1240" spans="1:14">
      <c r="A1240" s="133">
        <v>1432</v>
      </c>
      <c r="C1240">
        <v>-63</v>
      </c>
      <c r="H1240" s="141">
        <v>0</v>
      </c>
      <c r="I1240">
        <f t="shared" ref="I1240:I1303" si="129">RANK(0,H:H,0)</f>
        <v>979</v>
      </c>
      <c r="J1240" s="137">
        <v>0</v>
      </c>
      <c r="K1240">
        <f t="shared" si="128"/>
        <v>945</v>
      </c>
      <c r="L1240" s="53">
        <f t="shared" ref="L1240:L1303" si="130">RANK(0.79,M:M,0)</f>
        <v>983</v>
      </c>
      <c r="M1240" s="189">
        <v>0.79</v>
      </c>
      <c r="N1240" s="186">
        <f>VLOOKUP(1432,季財報!A:M,8,0)</f>
        <v>2</v>
      </c>
    </row>
    <row r="1241" spans="1:14">
      <c r="A1241" s="133">
        <v>1435</v>
      </c>
      <c r="C1241">
        <v>-1</v>
      </c>
      <c r="H1241" s="141">
        <v>0</v>
      </c>
      <c r="I1241">
        <f t="shared" si="129"/>
        <v>979</v>
      </c>
      <c r="J1241" s="137">
        <v>0</v>
      </c>
      <c r="K1241">
        <f t="shared" si="128"/>
        <v>945</v>
      </c>
      <c r="L1241" s="53">
        <f t="shared" si="130"/>
        <v>983</v>
      </c>
      <c r="M1241" s="189">
        <v>2.76</v>
      </c>
      <c r="N1241" s="186">
        <f>VLOOKUP(1435,季財報!A:M,8,0)</f>
        <v>5</v>
      </c>
    </row>
    <row r="1242" spans="1:14">
      <c r="A1242" s="133">
        <v>1436</v>
      </c>
      <c r="C1242">
        <v>8</v>
      </c>
      <c r="D1242">
        <v>2214</v>
      </c>
      <c r="E1242">
        <v>26</v>
      </c>
      <c r="F1242">
        <v>2234</v>
      </c>
      <c r="G1242">
        <v>3601</v>
      </c>
      <c r="H1242" s="141">
        <v>0</v>
      </c>
      <c r="I1242">
        <f t="shared" si="129"/>
        <v>979</v>
      </c>
      <c r="J1242" s="137">
        <v>0</v>
      </c>
      <c r="K1242">
        <f t="shared" si="128"/>
        <v>945</v>
      </c>
      <c r="L1242" s="53">
        <f t="shared" si="130"/>
        <v>983</v>
      </c>
      <c r="M1242" s="189">
        <v>0.79</v>
      </c>
      <c r="N1242" s="186">
        <f>VLOOKUP(1436,季財報!A:M,8,0)</f>
        <v>2</v>
      </c>
    </row>
    <row r="1243" spans="1:14">
      <c r="A1243" s="133">
        <v>1438</v>
      </c>
      <c r="H1243" s="141">
        <v>0</v>
      </c>
      <c r="I1243">
        <f t="shared" si="129"/>
        <v>979</v>
      </c>
      <c r="J1243" s="137">
        <v>0</v>
      </c>
      <c r="K1243">
        <f t="shared" si="128"/>
        <v>945</v>
      </c>
      <c r="L1243" s="53">
        <f t="shared" si="130"/>
        <v>983</v>
      </c>
      <c r="M1243" s="189">
        <v>1.46</v>
      </c>
      <c r="N1243" s="186">
        <f>VLOOKUP(1438,季財報!A:M,8,0)</f>
        <v>4</v>
      </c>
    </row>
    <row r="1244" spans="1:14">
      <c r="A1244" s="133">
        <v>1439</v>
      </c>
      <c r="C1244">
        <v>-4</v>
      </c>
      <c r="H1244" s="141">
        <v>0</v>
      </c>
      <c r="I1244">
        <f t="shared" si="129"/>
        <v>979</v>
      </c>
      <c r="J1244" s="137">
        <v>0</v>
      </c>
      <c r="K1244">
        <f t="shared" si="128"/>
        <v>945</v>
      </c>
      <c r="L1244" s="53">
        <f t="shared" si="130"/>
        <v>983</v>
      </c>
      <c r="M1244" s="189">
        <v>0.79</v>
      </c>
      <c r="N1244" s="186">
        <f>VLOOKUP(1439,季財報!A:M,8,0)</f>
        <v>0</v>
      </c>
    </row>
    <row r="1245" spans="1:14">
      <c r="A1245" s="133">
        <v>1441</v>
      </c>
      <c r="C1245">
        <v>-6</v>
      </c>
      <c r="H1245" s="141">
        <v>0</v>
      </c>
      <c r="I1245">
        <f t="shared" si="129"/>
        <v>979</v>
      </c>
      <c r="J1245" s="137">
        <v>0</v>
      </c>
      <c r="K1245">
        <f t="shared" si="128"/>
        <v>945</v>
      </c>
      <c r="L1245" s="53">
        <f t="shared" si="130"/>
        <v>983</v>
      </c>
      <c r="M1245" s="189">
        <v>0.79</v>
      </c>
      <c r="N1245" s="186">
        <f>VLOOKUP(1441,季財報!A:M,8,0)</f>
        <v>2</v>
      </c>
    </row>
    <row r="1246" spans="1:14">
      <c r="A1246" s="133">
        <v>1443</v>
      </c>
      <c r="C1246">
        <v>-16</v>
      </c>
      <c r="H1246" s="141">
        <v>0</v>
      </c>
      <c r="I1246">
        <f t="shared" si="129"/>
        <v>979</v>
      </c>
      <c r="J1246" s="137">
        <v>0</v>
      </c>
      <c r="K1246">
        <f t="shared" si="128"/>
        <v>945</v>
      </c>
      <c r="L1246" s="53">
        <f t="shared" si="130"/>
        <v>983</v>
      </c>
      <c r="M1246" s="189">
        <v>2.76</v>
      </c>
      <c r="N1246" s="186">
        <f>VLOOKUP(1443,季財報!A:M,8,0)</f>
        <v>1</v>
      </c>
    </row>
    <row r="1247" spans="1:14">
      <c r="A1247" s="133">
        <v>1444</v>
      </c>
      <c r="C1247">
        <v>-9</v>
      </c>
      <c r="H1247" s="141">
        <v>0</v>
      </c>
      <c r="I1247">
        <f t="shared" si="129"/>
        <v>979</v>
      </c>
      <c r="J1247" s="137">
        <v>0</v>
      </c>
      <c r="K1247">
        <f t="shared" si="128"/>
        <v>945</v>
      </c>
      <c r="L1247" s="53">
        <f t="shared" si="130"/>
        <v>983</v>
      </c>
      <c r="M1247" s="189">
        <v>0.79</v>
      </c>
      <c r="N1247" s="186">
        <f>VLOOKUP(1444,季財報!A:M,8,0)</f>
        <v>2</v>
      </c>
    </row>
    <row r="1248" spans="1:14">
      <c r="A1248" s="133">
        <v>1446</v>
      </c>
      <c r="C1248">
        <v>-16</v>
      </c>
      <c r="H1248" s="141">
        <v>0</v>
      </c>
      <c r="I1248">
        <f t="shared" si="129"/>
        <v>979</v>
      </c>
      <c r="J1248" s="137">
        <v>0</v>
      </c>
      <c r="K1248">
        <f t="shared" si="128"/>
        <v>945</v>
      </c>
      <c r="L1248" s="53">
        <f t="shared" si="130"/>
        <v>983</v>
      </c>
      <c r="M1248" s="189">
        <v>0.79</v>
      </c>
      <c r="N1248" s="186">
        <f>VLOOKUP(1446,季財報!A:M,8,0)</f>
        <v>4</v>
      </c>
    </row>
    <row r="1249" spans="1:14">
      <c r="A1249" s="133">
        <v>1447</v>
      </c>
      <c r="C1249">
        <v>-300</v>
      </c>
      <c r="H1249" s="141">
        <v>0</v>
      </c>
      <c r="I1249">
        <f t="shared" si="129"/>
        <v>979</v>
      </c>
      <c r="J1249" s="137">
        <v>0</v>
      </c>
      <c r="K1249">
        <f t="shared" si="128"/>
        <v>945</v>
      </c>
      <c r="L1249" s="53">
        <f t="shared" si="130"/>
        <v>983</v>
      </c>
      <c r="M1249" s="189">
        <v>0.79</v>
      </c>
      <c r="N1249" s="186">
        <f>VLOOKUP(1447,季財報!A:M,8,0)</f>
        <v>1</v>
      </c>
    </row>
    <row r="1250" spans="1:14">
      <c r="A1250" s="133">
        <v>1449</v>
      </c>
      <c r="C1250">
        <v>-32</v>
      </c>
      <c r="H1250" s="141">
        <v>0</v>
      </c>
      <c r="I1250">
        <f t="shared" si="129"/>
        <v>979</v>
      </c>
      <c r="J1250" s="137">
        <v>0</v>
      </c>
      <c r="K1250">
        <f t="shared" si="128"/>
        <v>945</v>
      </c>
      <c r="L1250" s="53">
        <f t="shared" si="130"/>
        <v>983</v>
      </c>
      <c r="M1250" s="189">
        <v>0.79</v>
      </c>
      <c r="N1250" s="186">
        <f>VLOOKUP(1449,季財報!A:M,8,0)</f>
        <v>1</v>
      </c>
    </row>
    <row r="1251" spans="1:14">
      <c r="A1251" s="133">
        <v>1453</v>
      </c>
      <c r="C1251">
        <v>-14</v>
      </c>
      <c r="H1251" s="141">
        <v>0</v>
      </c>
      <c r="I1251">
        <f t="shared" si="129"/>
        <v>979</v>
      </c>
      <c r="J1251" s="137">
        <v>0</v>
      </c>
      <c r="K1251">
        <f t="shared" si="128"/>
        <v>945</v>
      </c>
      <c r="L1251" s="53">
        <f t="shared" si="130"/>
        <v>983</v>
      </c>
      <c r="M1251" s="189">
        <v>0.79</v>
      </c>
      <c r="N1251" s="186">
        <f>VLOOKUP(1453,季財報!A:M,8,0)</f>
        <v>0</v>
      </c>
    </row>
    <row r="1252" spans="1:14">
      <c r="A1252" s="133">
        <v>1455</v>
      </c>
      <c r="C1252">
        <v>-172</v>
      </c>
      <c r="H1252" s="141">
        <v>0</v>
      </c>
      <c r="I1252">
        <f t="shared" si="129"/>
        <v>979</v>
      </c>
      <c r="J1252" s="137">
        <v>0</v>
      </c>
      <c r="K1252">
        <f t="shared" si="128"/>
        <v>945</v>
      </c>
      <c r="L1252" s="53">
        <f t="shared" si="130"/>
        <v>983</v>
      </c>
      <c r="M1252" s="189">
        <v>0.79</v>
      </c>
      <c r="N1252" s="186">
        <f>VLOOKUP(1455,季財報!A:M,8,0)</f>
        <v>0</v>
      </c>
    </row>
    <row r="1253" spans="1:14">
      <c r="A1253" s="133">
        <v>1457</v>
      </c>
      <c r="C1253">
        <v>8</v>
      </c>
      <c r="D1253">
        <v>0</v>
      </c>
      <c r="E1253">
        <v>6249</v>
      </c>
      <c r="F1253">
        <v>6393</v>
      </c>
      <c r="G1253">
        <v>2190</v>
      </c>
      <c r="H1253" s="141">
        <v>0</v>
      </c>
      <c r="I1253">
        <f t="shared" si="129"/>
        <v>979</v>
      </c>
      <c r="J1253" s="137">
        <v>0</v>
      </c>
      <c r="K1253">
        <f t="shared" si="128"/>
        <v>945</v>
      </c>
      <c r="L1253" s="53">
        <f t="shared" si="130"/>
        <v>983</v>
      </c>
      <c r="M1253" s="189">
        <v>0.79</v>
      </c>
      <c r="N1253" s="186">
        <f>VLOOKUP(1457,季財報!A:M,8,0)</f>
        <v>2</v>
      </c>
    </row>
    <row r="1254" spans="1:14">
      <c r="A1254" s="133">
        <v>1463</v>
      </c>
      <c r="C1254">
        <v>3</v>
      </c>
      <c r="D1254">
        <v>880</v>
      </c>
      <c r="E1254">
        <v>399</v>
      </c>
      <c r="F1254">
        <v>2027</v>
      </c>
      <c r="G1254">
        <v>210</v>
      </c>
      <c r="H1254" s="141">
        <v>0</v>
      </c>
      <c r="I1254">
        <f t="shared" si="129"/>
        <v>979</v>
      </c>
      <c r="J1254" s="137">
        <v>0</v>
      </c>
      <c r="K1254">
        <f t="shared" si="128"/>
        <v>945</v>
      </c>
      <c r="L1254" s="53">
        <f t="shared" si="130"/>
        <v>983</v>
      </c>
      <c r="M1254" s="189">
        <v>0.79</v>
      </c>
      <c r="N1254" s="186">
        <f>VLOOKUP(1463,季財報!A:M,8,0)</f>
        <v>2</v>
      </c>
    </row>
    <row r="1255" spans="1:14">
      <c r="A1255" s="133">
        <v>1466</v>
      </c>
      <c r="C1255">
        <v>-2</v>
      </c>
      <c r="H1255" s="141">
        <v>0</v>
      </c>
      <c r="I1255">
        <f t="shared" si="129"/>
        <v>979</v>
      </c>
      <c r="J1255" s="137">
        <v>0</v>
      </c>
      <c r="K1255">
        <f t="shared" si="128"/>
        <v>945</v>
      </c>
      <c r="L1255" s="53">
        <f t="shared" si="130"/>
        <v>983</v>
      </c>
      <c r="M1255" s="189">
        <v>0.79</v>
      </c>
      <c r="N1255" s="186">
        <f>VLOOKUP(1466,季財報!A:M,8,0)</f>
        <v>1</v>
      </c>
    </row>
    <row r="1256" spans="1:14">
      <c r="A1256" s="133">
        <v>1468</v>
      </c>
      <c r="C1256">
        <v>-26</v>
      </c>
      <c r="H1256" s="141">
        <v>0</v>
      </c>
      <c r="I1256">
        <f t="shared" si="129"/>
        <v>979</v>
      </c>
      <c r="J1256" s="137">
        <v>0</v>
      </c>
      <c r="K1256">
        <f t="shared" si="128"/>
        <v>945</v>
      </c>
      <c r="L1256" s="53">
        <f t="shared" si="130"/>
        <v>983</v>
      </c>
      <c r="M1256" s="189">
        <v>1.84</v>
      </c>
      <c r="N1256" s="186">
        <f>VLOOKUP(1468,季財報!A:M,8,0)</f>
        <v>1</v>
      </c>
    </row>
    <row r="1257" spans="1:14">
      <c r="A1257" s="133">
        <v>1469</v>
      </c>
      <c r="C1257">
        <v>-5</v>
      </c>
      <c r="H1257" s="141">
        <v>0</v>
      </c>
      <c r="I1257">
        <f t="shared" si="129"/>
        <v>979</v>
      </c>
      <c r="J1257" s="137">
        <v>0</v>
      </c>
      <c r="K1257">
        <f t="shared" si="128"/>
        <v>945</v>
      </c>
      <c r="L1257" s="53">
        <f t="shared" si="130"/>
        <v>983</v>
      </c>
      <c r="M1257" s="189">
        <v>0.79</v>
      </c>
      <c r="N1257" s="186">
        <f>VLOOKUP(1469,季財報!A:M,8,0)</f>
        <v>1</v>
      </c>
    </row>
    <row r="1258" spans="1:14">
      <c r="A1258" s="133">
        <v>1471</v>
      </c>
      <c r="C1258">
        <v>-88</v>
      </c>
      <c r="H1258" s="141">
        <v>0</v>
      </c>
      <c r="I1258">
        <f t="shared" si="129"/>
        <v>979</v>
      </c>
      <c r="J1258" s="137">
        <v>0</v>
      </c>
      <c r="K1258">
        <f t="shared" si="128"/>
        <v>945</v>
      </c>
      <c r="L1258" s="53">
        <f t="shared" si="130"/>
        <v>983</v>
      </c>
      <c r="M1258" s="189">
        <v>0.79</v>
      </c>
      <c r="N1258" s="186">
        <f>VLOOKUP(1471,季財報!A:M,8,0)</f>
        <v>1</v>
      </c>
    </row>
    <row r="1259" spans="1:14">
      <c r="A1259" s="133">
        <v>1472</v>
      </c>
      <c r="C1259">
        <v>-7</v>
      </c>
      <c r="H1259" s="141">
        <v>0</v>
      </c>
      <c r="I1259">
        <f t="shared" si="129"/>
        <v>979</v>
      </c>
      <c r="J1259" s="137">
        <v>0</v>
      </c>
      <c r="K1259">
        <f t="shared" si="128"/>
        <v>945</v>
      </c>
      <c r="L1259" s="53">
        <f t="shared" si="130"/>
        <v>983</v>
      </c>
      <c r="M1259" s="189">
        <v>10.33</v>
      </c>
      <c r="N1259" s="186">
        <f>VLOOKUP(1472,季財報!A:M,8,0)</f>
        <v>0</v>
      </c>
    </row>
    <row r="1260" spans="1:14">
      <c r="A1260" s="133">
        <v>1473</v>
      </c>
      <c r="C1260">
        <v>-71</v>
      </c>
      <c r="H1260" s="141">
        <v>0</v>
      </c>
      <c r="I1260">
        <f t="shared" si="129"/>
        <v>979</v>
      </c>
      <c r="J1260" s="137">
        <v>0</v>
      </c>
      <c r="K1260">
        <f t="shared" si="128"/>
        <v>945</v>
      </c>
      <c r="L1260" s="53">
        <f t="shared" si="130"/>
        <v>983</v>
      </c>
      <c r="M1260" s="189">
        <v>0.79</v>
      </c>
      <c r="N1260" s="186">
        <f>VLOOKUP(1473,季財報!A:M,8,0)</f>
        <v>4</v>
      </c>
    </row>
    <row r="1261" spans="1:14">
      <c r="A1261" s="133">
        <v>1475</v>
      </c>
      <c r="C1261">
        <v>-13</v>
      </c>
      <c r="H1261" s="141">
        <v>0</v>
      </c>
      <c r="I1261">
        <f t="shared" si="129"/>
        <v>979</v>
      </c>
      <c r="J1261" s="137">
        <v>0</v>
      </c>
      <c r="K1261">
        <f t="shared" si="128"/>
        <v>945</v>
      </c>
      <c r="L1261" s="53">
        <f t="shared" si="130"/>
        <v>983</v>
      </c>
      <c r="M1261" s="189">
        <v>4.1500000000000004</v>
      </c>
      <c r="N1261" s="186">
        <f>VLOOKUP(1475,季財報!A:M,8,0)</f>
        <v>1</v>
      </c>
    </row>
    <row r="1262" spans="1:14">
      <c r="A1262" s="133">
        <v>1512</v>
      </c>
      <c r="C1262">
        <v>-32</v>
      </c>
      <c r="H1262" s="141">
        <v>0</v>
      </c>
      <c r="I1262">
        <f t="shared" si="129"/>
        <v>979</v>
      </c>
      <c r="J1262" s="137">
        <v>0</v>
      </c>
      <c r="K1262">
        <f t="shared" si="128"/>
        <v>945</v>
      </c>
      <c r="L1262" s="53">
        <f t="shared" si="130"/>
        <v>983</v>
      </c>
      <c r="M1262" s="189">
        <v>0.79</v>
      </c>
      <c r="N1262" s="186">
        <f>VLOOKUP(1512,季財報!A:M,8,0)</f>
        <v>5</v>
      </c>
    </row>
    <row r="1263" spans="1:14">
      <c r="A1263" s="133">
        <v>1516</v>
      </c>
      <c r="C1263">
        <v>-2</v>
      </c>
      <c r="H1263" s="141">
        <v>0</v>
      </c>
      <c r="I1263">
        <f t="shared" si="129"/>
        <v>979</v>
      </c>
      <c r="J1263" s="137">
        <v>0</v>
      </c>
      <c r="K1263">
        <f t="shared" si="128"/>
        <v>945</v>
      </c>
      <c r="L1263" s="53">
        <f t="shared" si="130"/>
        <v>983</v>
      </c>
      <c r="M1263" s="189">
        <v>1.1399999999999999</v>
      </c>
      <c r="N1263" s="186">
        <f>VLOOKUP(1516,季財報!A:M,8,0)</f>
        <v>2</v>
      </c>
    </row>
    <row r="1264" spans="1:14">
      <c r="A1264" s="133">
        <v>1517</v>
      </c>
      <c r="C1264">
        <v>17</v>
      </c>
      <c r="D1264">
        <v>2526</v>
      </c>
      <c r="E1264">
        <v>1547</v>
      </c>
      <c r="F1264">
        <v>3711</v>
      </c>
      <c r="G1264">
        <v>0</v>
      </c>
      <c r="H1264" s="141">
        <v>0</v>
      </c>
      <c r="I1264">
        <f t="shared" si="129"/>
        <v>979</v>
      </c>
      <c r="J1264" s="137">
        <v>0</v>
      </c>
      <c r="K1264">
        <f t="shared" si="128"/>
        <v>945</v>
      </c>
      <c r="L1264" s="53">
        <f t="shared" si="130"/>
        <v>983</v>
      </c>
      <c r="M1264" s="189">
        <v>0.79</v>
      </c>
      <c r="N1264" s="186">
        <f>VLOOKUP(1517,季財報!A:M,8,0)</f>
        <v>2</v>
      </c>
    </row>
    <row r="1265" spans="1:14">
      <c r="A1265" s="133">
        <v>1528</v>
      </c>
      <c r="C1265">
        <v>-21</v>
      </c>
      <c r="H1265" s="141">
        <v>0</v>
      </c>
      <c r="I1265">
        <f t="shared" si="129"/>
        <v>979</v>
      </c>
      <c r="J1265" s="137">
        <v>0</v>
      </c>
      <c r="K1265">
        <f t="shared" si="128"/>
        <v>945</v>
      </c>
      <c r="L1265" s="53">
        <f t="shared" si="130"/>
        <v>983</v>
      </c>
      <c r="M1265" s="189">
        <v>0.87</v>
      </c>
      <c r="N1265" s="186">
        <f>VLOOKUP(1528,季財報!A:M,8,0)</f>
        <v>1</v>
      </c>
    </row>
    <row r="1266" spans="1:14">
      <c r="A1266" s="133">
        <v>1529</v>
      </c>
      <c r="C1266">
        <v>-5</v>
      </c>
      <c r="H1266" s="141">
        <v>0</v>
      </c>
      <c r="I1266">
        <f t="shared" si="129"/>
        <v>979</v>
      </c>
      <c r="J1266" s="137">
        <v>0</v>
      </c>
      <c r="K1266">
        <f t="shared" si="128"/>
        <v>945</v>
      </c>
      <c r="L1266" s="53">
        <f t="shared" si="130"/>
        <v>983</v>
      </c>
      <c r="M1266" s="189">
        <v>0.79</v>
      </c>
      <c r="N1266" s="186">
        <f>VLOOKUP(1529,季財報!A:M,8,0)</f>
        <v>0</v>
      </c>
    </row>
    <row r="1267" spans="1:14">
      <c r="A1267" s="133">
        <v>1531</v>
      </c>
      <c r="C1267">
        <v>-6</v>
      </c>
      <c r="H1267" s="141">
        <v>0</v>
      </c>
      <c r="I1267">
        <f t="shared" si="129"/>
        <v>979</v>
      </c>
      <c r="J1267" s="137">
        <v>0</v>
      </c>
      <c r="K1267">
        <f t="shared" si="128"/>
        <v>945</v>
      </c>
      <c r="L1267" s="53">
        <f t="shared" si="130"/>
        <v>983</v>
      </c>
      <c r="M1267" s="189">
        <v>1.58</v>
      </c>
      <c r="N1267" s="186">
        <f>VLOOKUP(1531,季財報!A:M,8,0)</f>
        <v>3</v>
      </c>
    </row>
    <row r="1268" spans="1:14">
      <c r="A1268" s="133">
        <v>1538</v>
      </c>
      <c r="C1268">
        <v>-12</v>
      </c>
      <c r="H1268" s="141">
        <v>0</v>
      </c>
      <c r="I1268">
        <f t="shared" si="129"/>
        <v>979</v>
      </c>
      <c r="J1268" s="137">
        <v>0</v>
      </c>
      <c r="K1268">
        <f t="shared" si="128"/>
        <v>945</v>
      </c>
      <c r="L1268" s="53">
        <f t="shared" si="130"/>
        <v>983</v>
      </c>
      <c r="M1268" s="189">
        <v>0.79</v>
      </c>
      <c r="N1268" s="186">
        <f>VLOOKUP(1538,季財報!A:M,8,0)</f>
        <v>2</v>
      </c>
    </row>
    <row r="1269" spans="1:14">
      <c r="A1269" s="133">
        <v>1540</v>
      </c>
      <c r="C1269">
        <v>1</v>
      </c>
      <c r="D1269">
        <v>1009</v>
      </c>
      <c r="E1269">
        <v>369</v>
      </c>
      <c r="F1269">
        <v>1393</v>
      </c>
      <c r="G1269">
        <v>0</v>
      </c>
      <c r="H1269" s="141">
        <v>0</v>
      </c>
      <c r="I1269">
        <f t="shared" si="129"/>
        <v>979</v>
      </c>
      <c r="J1269" s="137">
        <v>0</v>
      </c>
      <c r="K1269">
        <f t="shared" si="128"/>
        <v>945</v>
      </c>
      <c r="L1269" s="53">
        <f t="shared" si="130"/>
        <v>983</v>
      </c>
      <c r="M1269" s="189">
        <v>0.79</v>
      </c>
      <c r="N1269" s="186">
        <f>VLOOKUP(1540,季財報!A:M,8,0)</f>
        <v>1</v>
      </c>
    </row>
    <row r="1270" spans="1:14">
      <c r="A1270" s="133">
        <v>1569</v>
      </c>
      <c r="C1270">
        <v>-52</v>
      </c>
      <c r="H1270" s="141">
        <v>0</v>
      </c>
      <c r="I1270">
        <f t="shared" si="129"/>
        <v>979</v>
      </c>
      <c r="J1270" s="137">
        <v>0</v>
      </c>
      <c r="K1270">
        <f t="shared" si="128"/>
        <v>945</v>
      </c>
      <c r="L1270" s="53">
        <f t="shared" si="130"/>
        <v>983</v>
      </c>
      <c r="M1270" s="189">
        <v>0.79</v>
      </c>
      <c r="N1270" s="186">
        <f>VLOOKUP(1569,季財報!A:M,8,0)</f>
        <v>1</v>
      </c>
    </row>
    <row r="1271" spans="1:14">
      <c r="A1271" s="133">
        <v>1584</v>
      </c>
      <c r="C1271">
        <v>-13</v>
      </c>
      <c r="H1271" s="141">
        <v>0</v>
      </c>
      <c r="I1271">
        <f t="shared" si="129"/>
        <v>979</v>
      </c>
      <c r="J1271" s="137">
        <v>0</v>
      </c>
      <c r="K1271">
        <f t="shared" si="128"/>
        <v>945</v>
      </c>
      <c r="L1271" s="53">
        <f t="shared" si="130"/>
        <v>983</v>
      </c>
      <c r="M1271" s="189">
        <v>6.28</v>
      </c>
      <c r="N1271" s="186">
        <f>VLOOKUP(1584,季財報!A:M,8,0)</f>
        <v>1</v>
      </c>
    </row>
    <row r="1272" spans="1:14">
      <c r="A1272" s="133">
        <v>1586</v>
      </c>
      <c r="C1272">
        <v>-12</v>
      </c>
      <c r="H1272" s="141">
        <v>0</v>
      </c>
      <c r="I1272">
        <f t="shared" si="129"/>
        <v>979</v>
      </c>
      <c r="J1272" s="137">
        <v>0</v>
      </c>
      <c r="K1272">
        <f t="shared" ref="K1272:K1335" si="131">RANK(0,J:J,0)</f>
        <v>945</v>
      </c>
      <c r="L1272" s="53">
        <f t="shared" si="130"/>
        <v>983</v>
      </c>
      <c r="M1272" s="189">
        <v>0.79</v>
      </c>
      <c r="N1272" s="186">
        <f>VLOOKUP(1586,季財報!A:M,8,0)</f>
        <v>0</v>
      </c>
    </row>
    <row r="1273" spans="1:14">
      <c r="A1273" s="133">
        <v>1608</v>
      </c>
      <c r="C1273">
        <v>-135</v>
      </c>
      <c r="H1273" s="141">
        <v>0</v>
      </c>
      <c r="I1273">
        <f t="shared" si="129"/>
        <v>979</v>
      </c>
      <c r="J1273" s="137">
        <v>0</v>
      </c>
      <c r="K1273">
        <f t="shared" si="131"/>
        <v>945</v>
      </c>
      <c r="L1273" s="53">
        <f t="shared" si="130"/>
        <v>983</v>
      </c>
      <c r="M1273" s="189">
        <v>0.79</v>
      </c>
      <c r="N1273" s="186">
        <f>VLOOKUP(1608,季財報!A:M,8,0)</f>
        <v>1</v>
      </c>
    </row>
    <row r="1274" spans="1:14">
      <c r="A1274" s="133">
        <v>1609</v>
      </c>
      <c r="C1274">
        <v>-23</v>
      </c>
      <c r="H1274" s="141">
        <v>0</v>
      </c>
      <c r="I1274">
        <f t="shared" si="129"/>
        <v>979</v>
      </c>
      <c r="J1274" s="137">
        <v>0</v>
      </c>
      <c r="K1274">
        <f t="shared" si="131"/>
        <v>945</v>
      </c>
      <c r="L1274" s="53">
        <f t="shared" si="130"/>
        <v>983</v>
      </c>
      <c r="M1274" s="189">
        <v>0.79</v>
      </c>
      <c r="N1274" s="186">
        <f>VLOOKUP(1609,季財報!A:M,8,0)</f>
        <v>0</v>
      </c>
    </row>
    <row r="1275" spans="1:14">
      <c r="A1275" s="133">
        <v>1611</v>
      </c>
      <c r="C1275">
        <v>-23</v>
      </c>
      <c r="H1275" s="141">
        <v>0</v>
      </c>
      <c r="I1275">
        <f t="shared" si="129"/>
        <v>979</v>
      </c>
      <c r="J1275" s="137">
        <v>0</v>
      </c>
      <c r="K1275">
        <f t="shared" si="131"/>
        <v>945</v>
      </c>
      <c r="L1275" s="53">
        <f t="shared" si="130"/>
        <v>983</v>
      </c>
      <c r="M1275" s="189">
        <v>0.79</v>
      </c>
      <c r="N1275" s="186">
        <f>VLOOKUP(1611,季財報!A:M,8,0)</f>
        <v>5</v>
      </c>
    </row>
    <row r="1276" spans="1:14">
      <c r="A1276" s="133">
        <v>1612</v>
      </c>
      <c r="C1276">
        <v>-30</v>
      </c>
      <c r="H1276" s="141">
        <v>0</v>
      </c>
      <c r="I1276">
        <f t="shared" si="129"/>
        <v>979</v>
      </c>
      <c r="J1276" s="137">
        <v>0</v>
      </c>
      <c r="K1276">
        <f t="shared" si="131"/>
        <v>945</v>
      </c>
      <c r="L1276" s="53">
        <f t="shared" si="130"/>
        <v>983</v>
      </c>
      <c r="M1276" s="189">
        <v>0.79</v>
      </c>
      <c r="N1276" s="186">
        <f>VLOOKUP(1612,季財報!A:M,8,0)</f>
        <v>1</v>
      </c>
    </row>
    <row r="1277" spans="1:14">
      <c r="A1277" s="133">
        <v>1616</v>
      </c>
      <c r="C1277">
        <v>3</v>
      </c>
      <c r="D1277">
        <v>990</v>
      </c>
      <c r="E1277">
        <v>836</v>
      </c>
      <c r="F1277">
        <v>1806</v>
      </c>
      <c r="G1277">
        <v>1550</v>
      </c>
      <c r="H1277" s="141">
        <v>0</v>
      </c>
      <c r="I1277">
        <f t="shared" si="129"/>
        <v>979</v>
      </c>
      <c r="J1277" s="137">
        <v>0</v>
      </c>
      <c r="K1277">
        <f t="shared" si="131"/>
        <v>945</v>
      </c>
      <c r="L1277" s="53">
        <f t="shared" si="130"/>
        <v>983</v>
      </c>
      <c r="M1277" s="189">
        <v>0.79</v>
      </c>
      <c r="N1277" s="186">
        <f>VLOOKUP(1616,季財報!A:M,8,0)</f>
        <v>1</v>
      </c>
    </row>
    <row r="1278" spans="1:14">
      <c r="A1278" s="133">
        <v>1626</v>
      </c>
      <c r="C1278">
        <v>-177</v>
      </c>
      <c r="H1278" s="141">
        <v>0</v>
      </c>
      <c r="I1278">
        <f t="shared" si="129"/>
        <v>979</v>
      </c>
      <c r="J1278" s="137">
        <v>0</v>
      </c>
      <c r="K1278">
        <f t="shared" si="131"/>
        <v>945</v>
      </c>
      <c r="L1278" s="53">
        <f t="shared" si="130"/>
        <v>983</v>
      </c>
      <c r="M1278" s="189">
        <v>1.36</v>
      </c>
      <c r="N1278" s="186">
        <f>VLOOKUP(1626,季財報!A:M,8,0)</f>
        <v>0</v>
      </c>
    </row>
    <row r="1279" spans="1:14">
      <c r="A1279" s="133">
        <v>1729</v>
      </c>
      <c r="C1279">
        <v>-15</v>
      </c>
      <c r="H1279" s="141">
        <v>0</v>
      </c>
      <c r="I1279">
        <f t="shared" si="129"/>
        <v>979</v>
      </c>
      <c r="J1279" s="137">
        <v>0</v>
      </c>
      <c r="K1279">
        <f t="shared" si="131"/>
        <v>945</v>
      </c>
      <c r="L1279" s="53">
        <f t="shared" si="130"/>
        <v>983</v>
      </c>
      <c r="M1279" s="189">
        <v>0.79</v>
      </c>
      <c r="N1279" s="186">
        <f>VLOOKUP(1729,季財報!A:M,8,0)</f>
        <v>4</v>
      </c>
    </row>
    <row r="1280" spans="1:14">
      <c r="A1280" s="133">
        <v>1732</v>
      </c>
      <c r="C1280">
        <v>0</v>
      </c>
      <c r="H1280" s="141">
        <v>0</v>
      </c>
      <c r="I1280">
        <f t="shared" si="129"/>
        <v>979</v>
      </c>
      <c r="J1280" s="137">
        <v>0</v>
      </c>
      <c r="K1280">
        <f t="shared" si="131"/>
        <v>945</v>
      </c>
      <c r="L1280" s="53">
        <f t="shared" si="130"/>
        <v>983</v>
      </c>
      <c r="M1280" s="189">
        <v>1.1399999999999999</v>
      </c>
      <c r="N1280" s="186">
        <f>VLOOKUP(1732,季財報!A:M,8,0)</f>
        <v>3</v>
      </c>
    </row>
    <row r="1281" spans="1:14">
      <c r="A1281" s="133">
        <v>1734</v>
      </c>
      <c r="C1281">
        <v>-65</v>
      </c>
      <c r="H1281" s="141">
        <v>0</v>
      </c>
      <c r="I1281">
        <f t="shared" si="129"/>
        <v>979</v>
      </c>
      <c r="J1281" s="137">
        <v>0</v>
      </c>
      <c r="K1281">
        <f t="shared" si="131"/>
        <v>945</v>
      </c>
      <c r="L1281" s="53">
        <f t="shared" si="130"/>
        <v>983</v>
      </c>
      <c r="M1281" s="189">
        <v>0.79</v>
      </c>
      <c r="N1281" s="186">
        <f>VLOOKUP(1734,季財報!A:M,8,0)</f>
        <v>2</v>
      </c>
    </row>
    <row r="1282" spans="1:14">
      <c r="A1282" s="133">
        <v>1742</v>
      </c>
      <c r="C1282">
        <v>-28</v>
      </c>
      <c r="H1282" s="141">
        <v>0</v>
      </c>
      <c r="I1282">
        <f t="shared" si="129"/>
        <v>979</v>
      </c>
      <c r="J1282" s="137">
        <v>0</v>
      </c>
      <c r="K1282">
        <f t="shared" si="131"/>
        <v>945</v>
      </c>
      <c r="L1282" s="53">
        <f t="shared" si="130"/>
        <v>983</v>
      </c>
      <c r="M1282" s="189">
        <v>0.79</v>
      </c>
      <c r="N1282" s="186">
        <f>VLOOKUP(1742,季財報!A:M,8,0)</f>
        <v>0</v>
      </c>
    </row>
    <row r="1283" spans="1:14">
      <c r="A1283" s="133">
        <v>1781</v>
      </c>
      <c r="C1283">
        <v>-16</v>
      </c>
      <c r="H1283" s="141">
        <v>0</v>
      </c>
      <c r="I1283">
        <f t="shared" si="129"/>
        <v>979</v>
      </c>
      <c r="J1283" s="137">
        <v>0</v>
      </c>
      <c r="K1283">
        <f t="shared" si="131"/>
        <v>945</v>
      </c>
      <c r="L1283" s="53">
        <f t="shared" si="130"/>
        <v>983</v>
      </c>
      <c r="M1283" s="189">
        <v>0.79</v>
      </c>
      <c r="N1283" s="186">
        <f>VLOOKUP(1781,季財報!A:M,8,0)</f>
        <v>4</v>
      </c>
    </row>
    <row r="1284" spans="1:14">
      <c r="A1284" s="133">
        <v>1783</v>
      </c>
      <c r="C1284">
        <v>-6</v>
      </c>
      <c r="H1284" s="141">
        <v>0</v>
      </c>
      <c r="I1284">
        <f t="shared" si="129"/>
        <v>979</v>
      </c>
      <c r="J1284" s="137">
        <v>0</v>
      </c>
      <c r="K1284">
        <f t="shared" si="131"/>
        <v>945</v>
      </c>
      <c r="L1284" s="53">
        <f t="shared" si="130"/>
        <v>983</v>
      </c>
      <c r="M1284" s="189">
        <v>1.1399999999999999</v>
      </c>
      <c r="N1284" s="186">
        <f>VLOOKUP(1783,季財報!A:M,8,0)</f>
        <v>2</v>
      </c>
    </row>
    <row r="1285" spans="1:14">
      <c r="A1285" s="133">
        <v>1784</v>
      </c>
      <c r="C1285">
        <v>-11</v>
      </c>
      <c r="H1285" s="141">
        <v>0</v>
      </c>
      <c r="I1285">
        <f t="shared" si="129"/>
        <v>979</v>
      </c>
      <c r="J1285" s="137">
        <v>0</v>
      </c>
      <c r="K1285">
        <f t="shared" si="131"/>
        <v>945</v>
      </c>
      <c r="L1285" s="53">
        <f t="shared" si="130"/>
        <v>983</v>
      </c>
      <c r="M1285" s="189">
        <v>1.36</v>
      </c>
      <c r="N1285" s="186">
        <f>VLOOKUP(1784,季財報!A:M,8,0)</f>
        <v>0</v>
      </c>
    </row>
    <row r="1286" spans="1:14">
      <c r="A1286" s="133">
        <v>1799</v>
      </c>
      <c r="C1286">
        <v>-31</v>
      </c>
      <c r="H1286" s="141">
        <v>0</v>
      </c>
      <c r="I1286">
        <f t="shared" si="129"/>
        <v>979</v>
      </c>
      <c r="J1286" s="137">
        <v>0</v>
      </c>
      <c r="K1286">
        <f t="shared" si="131"/>
        <v>945</v>
      </c>
      <c r="L1286" s="53">
        <f t="shared" si="130"/>
        <v>983</v>
      </c>
      <c r="M1286" s="189">
        <v>0.79</v>
      </c>
      <c r="N1286" s="186">
        <f>VLOOKUP(1799,季財報!A:M,8,0)</f>
        <v>3</v>
      </c>
    </row>
    <row r="1287" spans="1:14">
      <c r="A1287" s="133">
        <v>1802</v>
      </c>
      <c r="C1287">
        <v>-403</v>
      </c>
      <c r="H1287" s="141">
        <v>0</v>
      </c>
      <c r="I1287">
        <f t="shared" si="129"/>
        <v>979</v>
      </c>
      <c r="J1287" s="137">
        <v>0</v>
      </c>
      <c r="K1287">
        <f t="shared" si="131"/>
        <v>945</v>
      </c>
      <c r="L1287" s="53">
        <f t="shared" si="130"/>
        <v>983</v>
      </c>
      <c r="M1287" s="189">
        <v>0.79</v>
      </c>
      <c r="N1287" s="186">
        <f>VLOOKUP(1802,季財報!A:M,8,0)</f>
        <v>3</v>
      </c>
    </row>
    <row r="1288" spans="1:14">
      <c r="A1288" s="133">
        <v>1805</v>
      </c>
      <c r="C1288">
        <v>-24</v>
      </c>
      <c r="H1288" s="141">
        <v>0</v>
      </c>
      <c r="I1288">
        <f t="shared" si="129"/>
        <v>979</v>
      </c>
      <c r="J1288" s="137">
        <v>0</v>
      </c>
      <c r="K1288">
        <f t="shared" si="131"/>
        <v>945</v>
      </c>
      <c r="L1288" s="53">
        <f t="shared" si="130"/>
        <v>983</v>
      </c>
      <c r="M1288" s="189">
        <v>0.79</v>
      </c>
      <c r="N1288" s="186">
        <f>VLOOKUP(1805,季財報!A:M,8,0)</f>
        <v>1</v>
      </c>
    </row>
    <row r="1289" spans="1:14">
      <c r="A1289" s="133">
        <v>1809</v>
      </c>
      <c r="C1289">
        <v>6</v>
      </c>
      <c r="D1289">
        <v>2852</v>
      </c>
      <c r="E1289">
        <v>1746</v>
      </c>
      <c r="F1289">
        <v>4533</v>
      </c>
      <c r="G1289">
        <v>462</v>
      </c>
      <c r="H1289" s="141">
        <v>0</v>
      </c>
      <c r="I1289">
        <f t="shared" si="129"/>
        <v>979</v>
      </c>
      <c r="J1289" s="137">
        <v>0</v>
      </c>
      <c r="K1289">
        <f t="shared" si="131"/>
        <v>945</v>
      </c>
      <c r="L1289" s="53">
        <f t="shared" si="130"/>
        <v>983</v>
      </c>
      <c r="M1289" s="189">
        <v>0.79</v>
      </c>
      <c r="N1289" s="186">
        <f>VLOOKUP(1809,季財報!A:M,8,0)</f>
        <v>1</v>
      </c>
    </row>
    <row r="1290" spans="1:14">
      <c r="A1290" s="133">
        <v>1902</v>
      </c>
      <c r="C1290">
        <v>32</v>
      </c>
      <c r="D1290">
        <v>3050</v>
      </c>
      <c r="E1290">
        <v>4318</v>
      </c>
      <c r="F1290">
        <v>6431</v>
      </c>
      <c r="G1290">
        <v>764</v>
      </c>
      <c r="H1290" s="141">
        <v>0</v>
      </c>
      <c r="I1290">
        <f t="shared" si="129"/>
        <v>979</v>
      </c>
      <c r="J1290" s="137">
        <v>0</v>
      </c>
      <c r="K1290">
        <f t="shared" si="131"/>
        <v>945</v>
      </c>
      <c r="L1290" s="53">
        <f t="shared" si="130"/>
        <v>983</v>
      </c>
      <c r="M1290" s="189">
        <v>0.79</v>
      </c>
      <c r="N1290" s="186">
        <f>VLOOKUP(1902,季財報!A:M,8,0)</f>
        <v>3</v>
      </c>
    </row>
    <row r="1291" spans="1:14">
      <c r="A1291" s="133">
        <v>1903</v>
      </c>
      <c r="C1291">
        <v>-61</v>
      </c>
      <c r="H1291" s="141">
        <v>0</v>
      </c>
      <c r="I1291">
        <f t="shared" si="129"/>
        <v>979</v>
      </c>
      <c r="J1291" s="137">
        <v>0</v>
      </c>
      <c r="K1291">
        <f t="shared" si="131"/>
        <v>945</v>
      </c>
      <c r="L1291" s="53">
        <f t="shared" si="130"/>
        <v>983</v>
      </c>
      <c r="M1291" s="189">
        <v>0.79</v>
      </c>
      <c r="N1291" s="186">
        <f>VLOOKUP(1903,季財報!A:M,8,0)</f>
        <v>2</v>
      </c>
    </row>
    <row r="1292" spans="1:14">
      <c r="A1292" s="133">
        <v>2002</v>
      </c>
      <c r="C1292">
        <v>1785</v>
      </c>
      <c r="D1292">
        <v>0</v>
      </c>
      <c r="E1292">
        <v>451880</v>
      </c>
      <c r="F1292">
        <v>321673</v>
      </c>
      <c r="G1292">
        <v>110473</v>
      </c>
      <c r="H1292" s="141">
        <v>0</v>
      </c>
      <c r="I1292">
        <f t="shared" si="129"/>
        <v>979</v>
      </c>
      <c r="J1292" s="137">
        <v>0</v>
      </c>
      <c r="K1292">
        <f t="shared" si="131"/>
        <v>945</v>
      </c>
      <c r="L1292" s="53">
        <f t="shared" si="130"/>
        <v>983</v>
      </c>
      <c r="M1292" s="189">
        <v>0.79</v>
      </c>
      <c r="N1292" s="186">
        <f>VLOOKUP(2002,季財報!A:M,8,0)</f>
        <v>1</v>
      </c>
    </row>
    <row r="1293" spans="1:14">
      <c r="A1293" s="133">
        <v>2007</v>
      </c>
      <c r="C1293">
        <v>-36</v>
      </c>
      <c r="H1293" s="141">
        <v>0</v>
      </c>
      <c r="I1293">
        <f t="shared" si="129"/>
        <v>979</v>
      </c>
      <c r="J1293" s="137">
        <v>0</v>
      </c>
      <c r="K1293">
        <f t="shared" si="131"/>
        <v>945</v>
      </c>
      <c r="L1293" s="53">
        <f t="shared" si="130"/>
        <v>983</v>
      </c>
      <c r="M1293" s="189">
        <v>0.79</v>
      </c>
      <c r="N1293" s="186">
        <f>VLOOKUP(2007,季財報!A:M,8,0)</f>
        <v>1</v>
      </c>
    </row>
    <row r="1294" spans="1:14">
      <c r="A1294" s="133">
        <v>2008</v>
      </c>
      <c r="C1294">
        <v>-37</v>
      </c>
      <c r="H1294" s="141">
        <v>0</v>
      </c>
      <c r="I1294">
        <f t="shared" si="129"/>
        <v>979</v>
      </c>
      <c r="J1294" s="137">
        <v>0</v>
      </c>
      <c r="K1294">
        <f t="shared" si="131"/>
        <v>945</v>
      </c>
      <c r="L1294" s="53">
        <f t="shared" si="130"/>
        <v>983</v>
      </c>
      <c r="M1294" s="189">
        <v>0.79</v>
      </c>
      <c r="N1294" s="186">
        <f>VLOOKUP(2008,季財報!A:M,8,0)</f>
        <v>1</v>
      </c>
    </row>
    <row r="1295" spans="1:14">
      <c r="A1295" s="133">
        <v>2009</v>
      </c>
      <c r="C1295">
        <v>-105</v>
      </c>
      <c r="H1295" s="141">
        <v>0</v>
      </c>
      <c r="I1295">
        <f t="shared" si="129"/>
        <v>979</v>
      </c>
      <c r="J1295" s="137">
        <v>0</v>
      </c>
      <c r="K1295">
        <f t="shared" si="131"/>
        <v>945</v>
      </c>
      <c r="L1295" s="53">
        <f t="shared" si="130"/>
        <v>983</v>
      </c>
      <c r="M1295" s="189">
        <v>0.87</v>
      </c>
      <c r="N1295" s="186">
        <f>VLOOKUP(2009,季財報!A:M,8,0)</f>
        <v>1</v>
      </c>
    </row>
    <row r="1296" spans="1:14">
      <c r="A1296" s="133">
        <v>2014</v>
      </c>
      <c r="C1296">
        <v>-1</v>
      </c>
      <c r="H1296" s="141">
        <v>0</v>
      </c>
      <c r="I1296">
        <f t="shared" si="129"/>
        <v>979</v>
      </c>
      <c r="J1296" s="137">
        <v>0</v>
      </c>
      <c r="K1296">
        <f t="shared" si="131"/>
        <v>945</v>
      </c>
      <c r="L1296" s="53">
        <f t="shared" si="130"/>
        <v>983</v>
      </c>
      <c r="M1296" s="189">
        <v>0.79</v>
      </c>
      <c r="N1296" s="186">
        <f>VLOOKUP(2014,季財報!A:M,8,0)</f>
        <v>4</v>
      </c>
    </row>
    <row r="1297" spans="1:14">
      <c r="A1297" s="133">
        <v>2020</v>
      </c>
      <c r="C1297">
        <v>-91</v>
      </c>
      <c r="H1297" s="141">
        <v>0</v>
      </c>
      <c r="I1297">
        <f t="shared" si="129"/>
        <v>979</v>
      </c>
      <c r="J1297" s="137">
        <v>0</v>
      </c>
      <c r="K1297">
        <f t="shared" si="131"/>
        <v>945</v>
      </c>
      <c r="L1297" s="53">
        <f t="shared" si="130"/>
        <v>983</v>
      </c>
      <c r="M1297" s="189">
        <v>0.79</v>
      </c>
      <c r="N1297" s="186">
        <f>VLOOKUP(2020,季財報!A:M,8,0)</f>
        <v>0</v>
      </c>
    </row>
    <row r="1298" spans="1:14">
      <c r="A1298" s="133">
        <v>2022</v>
      </c>
      <c r="C1298">
        <v>-82</v>
      </c>
      <c r="H1298" s="141">
        <v>0</v>
      </c>
      <c r="I1298">
        <f t="shared" si="129"/>
        <v>979</v>
      </c>
      <c r="J1298" s="137">
        <v>0</v>
      </c>
      <c r="K1298">
        <f t="shared" si="131"/>
        <v>945</v>
      </c>
      <c r="L1298" s="53">
        <f t="shared" si="130"/>
        <v>983</v>
      </c>
      <c r="M1298" s="189">
        <v>0.79</v>
      </c>
      <c r="N1298" s="186">
        <f>VLOOKUP(2022,季財報!A:M,8,0)</f>
        <v>1</v>
      </c>
    </row>
    <row r="1299" spans="1:14">
      <c r="A1299" s="133">
        <v>2025</v>
      </c>
      <c r="C1299">
        <v>-70</v>
      </c>
      <c r="H1299" s="141">
        <v>0</v>
      </c>
      <c r="I1299">
        <f t="shared" si="129"/>
        <v>979</v>
      </c>
      <c r="J1299" s="137">
        <v>0</v>
      </c>
      <c r="K1299">
        <f t="shared" si="131"/>
        <v>945</v>
      </c>
      <c r="L1299" s="53">
        <f t="shared" si="130"/>
        <v>983</v>
      </c>
      <c r="M1299" s="189">
        <v>0.79</v>
      </c>
      <c r="N1299" s="186">
        <f>VLOOKUP(2025,季財報!A:M,8,0)</f>
        <v>1</v>
      </c>
    </row>
    <row r="1300" spans="1:14">
      <c r="A1300" s="133">
        <v>2027</v>
      </c>
      <c r="C1300">
        <v>-233</v>
      </c>
      <c r="H1300" s="141">
        <v>0</v>
      </c>
      <c r="I1300">
        <f t="shared" si="129"/>
        <v>979</v>
      </c>
      <c r="J1300" s="137">
        <v>0</v>
      </c>
      <c r="K1300">
        <f t="shared" si="131"/>
        <v>945</v>
      </c>
      <c r="L1300" s="53">
        <f t="shared" si="130"/>
        <v>983</v>
      </c>
      <c r="M1300" s="189">
        <v>0.79</v>
      </c>
      <c r="N1300" s="186">
        <f>VLOOKUP(2027,季財報!A:M,8,0)</f>
        <v>1</v>
      </c>
    </row>
    <row r="1301" spans="1:14">
      <c r="A1301" s="133">
        <v>2028</v>
      </c>
      <c r="C1301">
        <v>-300</v>
      </c>
      <c r="H1301" s="141">
        <v>0</v>
      </c>
      <c r="I1301">
        <f t="shared" si="129"/>
        <v>979</v>
      </c>
      <c r="J1301" s="137">
        <v>0</v>
      </c>
      <c r="K1301">
        <f t="shared" si="131"/>
        <v>945</v>
      </c>
      <c r="L1301" s="53">
        <f t="shared" si="130"/>
        <v>983</v>
      </c>
      <c r="M1301" s="189">
        <v>0.79</v>
      </c>
      <c r="N1301" s="186">
        <f>VLOOKUP(2028,季財報!A:M,8,0)</f>
        <v>1</v>
      </c>
    </row>
    <row r="1302" spans="1:14">
      <c r="A1302" s="133">
        <v>2030</v>
      </c>
      <c r="C1302">
        <v>-38</v>
      </c>
      <c r="H1302" s="141">
        <v>0</v>
      </c>
      <c r="I1302">
        <f t="shared" si="129"/>
        <v>979</v>
      </c>
      <c r="J1302" s="137">
        <v>0</v>
      </c>
      <c r="K1302">
        <f t="shared" si="131"/>
        <v>945</v>
      </c>
      <c r="L1302" s="53">
        <f t="shared" si="130"/>
        <v>983</v>
      </c>
      <c r="M1302" s="189">
        <v>0.79</v>
      </c>
      <c r="N1302" s="186">
        <f>VLOOKUP(2030,季財報!A:M,8,0)</f>
        <v>2</v>
      </c>
    </row>
    <row r="1303" spans="1:14">
      <c r="A1303" s="133">
        <v>2031</v>
      </c>
      <c r="C1303">
        <v>-92</v>
      </c>
      <c r="H1303" s="141">
        <v>0</v>
      </c>
      <c r="I1303">
        <f t="shared" si="129"/>
        <v>979</v>
      </c>
      <c r="J1303" s="137">
        <v>0</v>
      </c>
      <c r="K1303">
        <f t="shared" si="131"/>
        <v>945</v>
      </c>
      <c r="L1303" s="53">
        <f t="shared" si="130"/>
        <v>983</v>
      </c>
      <c r="M1303" s="189">
        <v>0.79</v>
      </c>
      <c r="N1303" s="186">
        <f>VLOOKUP(2031,季財報!A:M,8,0)</f>
        <v>0</v>
      </c>
    </row>
    <row r="1304" spans="1:14">
      <c r="A1304" s="133">
        <v>2032</v>
      </c>
      <c r="C1304">
        <v>-11</v>
      </c>
      <c r="H1304" s="141">
        <v>0</v>
      </c>
      <c r="I1304">
        <f t="shared" ref="I1304:I1367" si="132">RANK(0,H:H,0)</f>
        <v>979</v>
      </c>
      <c r="J1304" s="137">
        <v>0</v>
      </c>
      <c r="K1304">
        <f t="shared" si="131"/>
        <v>945</v>
      </c>
      <c r="L1304" s="53">
        <f t="shared" ref="L1304:L1367" si="133">RANK(0.79,M:M,0)</f>
        <v>983</v>
      </c>
      <c r="M1304" s="189">
        <v>1.58</v>
      </c>
      <c r="N1304" s="186">
        <f>VLOOKUP(2032,季財報!A:M,8,0)</f>
        <v>3</v>
      </c>
    </row>
    <row r="1305" spans="1:14">
      <c r="A1305" s="133">
        <v>2033</v>
      </c>
      <c r="C1305">
        <v>-2</v>
      </c>
      <c r="H1305" s="141">
        <v>0</v>
      </c>
      <c r="I1305">
        <f t="shared" si="132"/>
        <v>979</v>
      </c>
      <c r="J1305" s="137">
        <v>0</v>
      </c>
      <c r="K1305">
        <f t="shared" si="131"/>
        <v>945</v>
      </c>
      <c r="L1305" s="53">
        <f t="shared" si="133"/>
        <v>983</v>
      </c>
      <c r="M1305" s="189">
        <v>0.79</v>
      </c>
      <c r="N1305" s="186">
        <f>VLOOKUP(2033,季財報!A:M,8,0)</f>
        <v>1</v>
      </c>
    </row>
    <row r="1306" spans="1:14">
      <c r="A1306" s="133">
        <v>2035</v>
      </c>
      <c r="C1306">
        <v>-404</v>
      </c>
      <c r="H1306" s="141">
        <v>0</v>
      </c>
      <c r="I1306">
        <f t="shared" si="132"/>
        <v>979</v>
      </c>
      <c r="J1306" s="137">
        <v>0</v>
      </c>
      <c r="K1306">
        <f t="shared" si="131"/>
        <v>945</v>
      </c>
      <c r="L1306" s="53">
        <f t="shared" si="133"/>
        <v>983</v>
      </c>
      <c r="M1306" s="189">
        <v>0.79</v>
      </c>
      <c r="N1306" s="186">
        <f>VLOOKUP(2035,季財報!A:M,8,0)</f>
        <v>2</v>
      </c>
    </row>
    <row r="1307" spans="1:14">
      <c r="A1307" s="133">
        <v>2038</v>
      </c>
      <c r="C1307">
        <v>-62</v>
      </c>
      <c r="H1307" s="141">
        <v>0</v>
      </c>
      <c r="I1307">
        <f t="shared" si="132"/>
        <v>979</v>
      </c>
      <c r="J1307" s="137">
        <v>0</v>
      </c>
      <c r="K1307">
        <f t="shared" si="131"/>
        <v>945</v>
      </c>
      <c r="L1307" s="53">
        <f t="shared" si="133"/>
        <v>983</v>
      </c>
      <c r="M1307" s="189">
        <v>1.01</v>
      </c>
      <c r="N1307" s="186">
        <f>VLOOKUP(2038,季財報!A:M,8,0)</f>
        <v>2</v>
      </c>
    </row>
    <row r="1308" spans="1:14">
      <c r="A1308" s="133">
        <v>2061</v>
      </c>
      <c r="C1308">
        <v>-19</v>
      </c>
      <c r="H1308" s="141">
        <v>0</v>
      </c>
      <c r="I1308">
        <f t="shared" si="132"/>
        <v>979</v>
      </c>
      <c r="J1308" s="137">
        <v>0</v>
      </c>
      <c r="K1308">
        <f t="shared" si="131"/>
        <v>945</v>
      </c>
      <c r="L1308" s="53">
        <f t="shared" si="133"/>
        <v>983</v>
      </c>
      <c r="M1308" s="189">
        <v>0.79</v>
      </c>
      <c r="N1308" s="186">
        <f>VLOOKUP(2061,季財報!A:M,8,0)</f>
        <v>0</v>
      </c>
    </row>
    <row r="1309" spans="1:14">
      <c r="A1309" s="133">
        <v>2067</v>
      </c>
      <c r="C1309">
        <v>-11</v>
      </c>
      <c r="H1309" s="141">
        <v>0</v>
      </c>
      <c r="I1309">
        <f t="shared" si="132"/>
        <v>979</v>
      </c>
      <c r="J1309" s="137">
        <v>0</v>
      </c>
      <c r="K1309">
        <f t="shared" si="131"/>
        <v>945</v>
      </c>
      <c r="L1309" s="53">
        <f t="shared" si="133"/>
        <v>983</v>
      </c>
      <c r="M1309" s="189">
        <v>0.79</v>
      </c>
      <c r="N1309" s="186">
        <f>VLOOKUP(2067,季財報!A:M,8,0)</f>
        <v>2</v>
      </c>
    </row>
    <row r="1310" spans="1:14">
      <c r="A1310" s="133">
        <v>2206</v>
      </c>
      <c r="C1310">
        <v>71</v>
      </c>
      <c r="D1310">
        <v>3342</v>
      </c>
      <c r="E1310">
        <v>11388</v>
      </c>
      <c r="F1310">
        <v>19472</v>
      </c>
      <c r="G1310">
        <v>15426</v>
      </c>
      <c r="H1310" s="141">
        <v>0</v>
      </c>
      <c r="I1310">
        <f t="shared" si="132"/>
        <v>979</v>
      </c>
      <c r="J1310" s="137">
        <v>0</v>
      </c>
      <c r="K1310">
        <f t="shared" si="131"/>
        <v>945</v>
      </c>
      <c r="L1310" s="53">
        <f t="shared" si="133"/>
        <v>983</v>
      </c>
      <c r="M1310" s="189">
        <v>0.79</v>
      </c>
      <c r="N1310" s="186">
        <f>VLOOKUP(2206,季財報!A:M,8,0)</f>
        <v>2</v>
      </c>
    </row>
    <row r="1311" spans="1:14">
      <c r="A1311" s="133">
        <v>2208</v>
      </c>
      <c r="C1311">
        <v>60</v>
      </c>
      <c r="D1311">
        <v>3421</v>
      </c>
      <c r="E1311">
        <v>10934</v>
      </c>
      <c r="F1311">
        <v>13663</v>
      </c>
      <c r="G1311">
        <v>79</v>
      </c>
      <c r="H1311" s="141">
        <v>0</v>
      </c>
      <c r="I1311">
        <f t="shared" si="132"/>
        <v>979</v>
      </c>
      <c r="J1311" s="137">
        <v>0</v>
      </c>
      <c r="K1311">
        <f t="shared" si="131"/>
        <v>945</v>
      </c>
      <c r="L1311" s="53">
        <f t="shared" si="133"/>
        <v>983</v>
      </c>
      <c r="M1311" s="189">
        <v>0.87</v>
      </c>
      <c r="N1311" s="186">
        <f>VLOOKUP(2208,季財報!A:M,8,0)</f>
        <v>4</v>
      </c>
    </row>
    <row r="1312" spans="1:14">
      <c r="A1312" s="133">
        <v>2230</v>
      </c>
      <c r="C1312">
        <v>2</v>
      </c>
      <c r="D1312">
        <v>280</v>
      </c>
      <c r="E1312">
        <v>270</v>
      </c>
      <c r="F1312">
        <v>539</v>
      </c>
      <c r="G1312">
        <v>132</v>
      </c>
      <c r="H1312" s="141">
        <v>0</v>
      </c>
      <c r="I1312">
        <f t="shared" si="132"/>
        <v>979</v>
      </c>
      <c r="J1312" s="137">
        <v>0</v>
      </c>
      <c r="K1312">
        <f t="shared" si="131"/>
        <v>945</v>
      </c>
      <c r="L1312" s="53">
        <f t="shared" si="133"/>
        <v>983</v>
      </c>
      <c r="M1312" s="189">
        <v>0.79</v>
      </c>
      <c r="N1312" s="186">
        <f>VLOOKUP(2230,季財報!A:M,8,0)</f>
        <v>1</v>
      </c>
    </row>
    <row r="1313" spans="1:14">
      <c r="A1313" s="133">
        <v>2303</v>
      </c>
      <c r="C1313">
        <v>1117</v>
      </c>
      <c r="D1313">
        <v>48373</v>
      </c>
      <c r="E1313">
        <v>183891</v>
      </c>
      <c r="F1313">
        <v>223998</v>
      </c>
      <c r="G1313">
        <v>8836</v>
      </c>
      <c r="H1313" s="141">
        <v>0</v>
      </c>
      <c r="I1313">
        <f t="shared" si="132"/>
        <v>979</v>
      </c>
      <c r="J1313" s="137">
        <v>0</v>
      </c>
      <c r="K1313">
        <f t="shared" si="131"/>
        <v>945</v>
      </c>
      <c r="L1313" s="53">
        <f t="shared" si="133"/>
        <v>983</v>
      </c>
      <c r="M1313" s="189">
        <v>0.79</v>
      </c>
      <c r="N1313" s="186">
        <f>VLOOKUP(2303,季財報!A:M,8,0)</f>
        <v>2</v>
      </c>
    </row>
    <row r="1314" spans="1:14">
      <c r="A1314" s="133">
        <v>2305</v>
      </c>
      <c r="C1314">
        <v>-25</v>
      </c>
      <c r="H1314" s="141">
        <v>0</v>
      </c>
      <c r="I1314">
        <f t="shared" si="132"/>
        <v>979</v>
      </c>
      <c r="J1314" s="137">
        <v>0</v>
      </c>
      <c r="K1314">
        <f t="shared" si="131"/>
        <v>945</v>
      </c>
      <c r="L1314" s="53">
        <f t="shared" si="133"/>
        <v>983</v>
      </c>
      <c r="M1314" s="189">
        <v>0.9</v>
      </c>
      <c r="N1314" s="186">
        <f>VLOOKUP(2305,季財報!A:M,8,0)</f>
        <v>1</v>
      </c>
    </row>
    <row r="1315" spans="1:14">
      <c r="A1315" s="133">
        <v>2314</v>
      </c>
      <c r="C1315">
        <v>-18</v>
      </c>
      <c r="H1315" s="141">
        <v>0</v>
      </c>
      <c r="I1315">
        <f t="shared" si="132"/>
        <v>979</v>
      </c>
      <c r="J1315" s="137">
        <v>0</v>
      </c>
      <c r="K1315">
        <f t="shared" si="131"/>
        <v>945</v>
      </c>
      <c r="L1315" s="53">
        <f t="shared" si="133"/>
        <v>983</v>
      </c>
      <c r="M1315" s="189">
        <v>0.79</v>
      </c>
      <c r="N1315" s="186">
        <f>VLOOKUP(2314,季財報!A:M,8,0)</f>
        <v>4</v>
      </c>
    </row>
    <row r="1316" spans="1:14">
      <c r="A1316" s="133">
        <v>2316</v>
      </c>
      <c r="C1316">
        <v>44</v>
      </c>
      <c r="D1316">
        <v>8617</v>
      </c>
      <c r="E1316">
        <v>1873</v>
      </c>
      <c r="F1316">
        <v>10833</v>
      </c>
      <c r="G1316">
        <v>1134</v>
      </c>
      <c r="H1316" s="141">
        <v>0</v>
      </c>
      <c r="I1316">
        <f t="shared" si="132"/>
        <v>979</v>
      </c>
      <c r="J1316" s="137">
        <v>0</v>
      </c>
      <c r="K1316">
        <f t="shared" si="131"/>
        <v>945</v>
      </c>
      <c r="L1316" s="53">
        <f t="shared" si="133"/>
        <v>983</v>
      </c>
      <c r="M1316" s="189">
        <v>2.09</v>
      </c>
      <c r="N1316" s="186">
        <f>VLOOKUP(2316,季財報!A:M,8,0)</f>
        <v>2</v>
      </c>
    </row>
    <row r="1317" spans="1:14">
      <c r="A1317" s="133">
        <v>2321</v>
      </c>
      <c r="C1317">
        <v>-4</v>
      </c>
      <c r="H1317" s="141">
        <v>0</v>
      </c>
      <c r="I1317">
        <f t="shared" si="132"/>
        <v>979</v>
      </c>
      <c r="J1317" s="137">
        <v>0</v>
      </c>
      <c r="K1317">
        <f t="shared" si="131"/>
        <v>945</v>
      </c>
      <c r="L1317" s="53">
        <f t="shared" si="133"/>
        <v>983</v>
      </c>
      <c r="M1317" s="189">
        <v>3.37</v>
      </c>
      <c r="N1317" s="186">
        <f>VLOOKUP(2321,季財報!A:M,8,0)</f>
        <v>2</v>
      </c>
    </row>
    <row r="1318" spans="1:14">
      <c r="A1318" s="133">
        <v>2323</v>
      </c>
      <c r="C1318">
        <v>-557</v>
      </c>
      <c r="H1318" s="141">
        <v>0</v>
      </c>
      <c r="I1318">
        <f t="shared" si="132"/>
        <v>979</v>
      </c>
      <c r="J1318" s="137">
        <v>0</v>
      </c>
      <c r="K1318">
        <f t="shared" si="131"/>
        <v>945</v>
      </c>
      <c r="L1318" s="53">
        <f t="shared" si="133"/>
        <v>983</v>
      </c>
      <c r="M1318" s="189">
        <v>3.83</v>
      </c>
      <c r="N1318" s="186">
        <f>VLOOKUP(2323,季財報!A:M,8,0)</f>
        <v>0</v>
      </c>
    </row>
    <row r="1319" spans="1:14">
      <c r="A1319" s="133">
        <v>2332</v>
      </c>
      <c r="C1319">
        <v>-250</v>
      </c>
      <c r="H1319" s="141">
        <v>0</v>
      </c>
      <c r="I1319">
        <f t="shared" si="132"/>
        <v>979</v>
      </c>
      <c r="J1319" s="137">
        <v>0</v>
      </c>
      <c r="K1319">
        <f t="shared" si="131"/>
        <v>945</v>
      </c>
      <c r="L1319" s="53">
        <f t="shared" si="133"/>
        <v>983</v>
      </c>
      <c r="M1319" s="189">
        <v>0.79</v>
      </c>
      <c r="N1319" s="186">
        <f>VLOOKUP(2332,季財報!A:M,8,0)</f>
        <v>2</v>
      </c>
    </row>
    <row r="1320" spans="1:14">
      <c r="A1320" s="133">
        <v>2337</v>
      </c>
      <c r="C1320">
        <v>-970</v>
      </c>
      <c r="H1320" s="141">
        <v>0</v>
      </c>
      <c r="I1320">
        <f t="shared" si="132"/>
        <v>979</v>
      </c>
      <c r="J1320" s="137">
        <v>0</v>
      </c>
      <c r="K1320">
        <f t="shared" si="131"/>
        <v>945</v>
      </c>
      <c r="L1320" s="53">
        <f t="shared" si="133"/>
        <v>983</v>
      </c>
      <c r="M1320" s="189">
        <v>1.01</v>
      </c>
      <c r="N1320" s="186">
        <f>VLOOKUP(2337,季財報!A:M,8,0)</f>
        <v>3</v>
      </c>
    </row>
    <row r="1321" spans="1:14">
      <c r="A1321" s="133">
        <v>2338</v>
      </c>
      <c r="C1321">
        <v>0</v>
      </c>
      <c r="H1321" s="141">
        <v>0</v>
      </c>
      <c r="I1321">
        <f t="shared" si="132"/>
        <v>979</v>
      </c>
      <c r="J1321" s="137">
        <v>0</v>
      </c>
      <c r="K1321">
        <f t="shared" si="131"/>
        <v>945</v>
      </c>
      <c r="L1321" s="53">
        <f t="shared" si="133"/>
        <v>983</v>
      </c>
      <c r="M1321" s="189">
        <v>1.1399999999999999</v>
      </c>
      <c r="N1321" s="186">
        <f>VLOOKUP(2338,季財報!A:M,8,0)</f>
        <v>3</v>
      </c>
    </row>
    <row r="1322" spans="1:14">
      <c r="A1322" s="133">
        <v>2342</v>
      </c>
      <c r="C1322">
        <v>-104</v>
      </c>
      <c r="H1322" s="141">
        <v>0</v>
      </c>
      <c r="I1322">
        <f t="shared" si="132"/>
        <v>979</v>
      </c>
      <c r="J1322" s="137">
        <v>0</v>
      </c>
      <c r="K1322">
        <f t="shared" si="131"/>
        <v>945</v>
      </c>
      <c r="L1322" s="53">
        <f t="shared" si="133"/>
        <v>983</v>
      </c>
      <c r="M1322" s="189">
        <v>0.79</v>
      </c>
      <c r="N1322" s="186">
        <f>VLOOKUP(2342,季財報!A:M,8,0)</f>
        <v>1</v>
      </c>
    </row>
    <row r="1323" spans="1:14">
      <c r="A1323" s="133">
        <v>2349</v>
      </c>
      <c r="C1323">
        <v>-476</v>
      </c>
      <c r="H1323" s="141">
        <v>0</v>
      </c>
      <c r="I1323">
        <f t="shared" si="132"/>
        <v>979</v>
      </c>
      <c r="J1323" s="137">
        <v>0</v>
      </c>
      <c r="K1323">
        <f t="shared" si="131"/>
        <v>945</v>
      </c>
      <c r="L1323" s="53">
        <f t="shared" si="133"/>
        <v>983</v>
      </c>
      <c r="M1323" s="189">
        <v>0.79</v>
      </c>
      <c r="N1323" s="186">
        <f>VLOOKUP(2349,季財報!A:M,8,0)</f>
        <v>0</v>
      </c>
    </row>
    <row r="1324" spans="1:14">
      <c r="A1324" s="133">
        <v>2353</v>
      </c>
      <c r="C1324">
        <v>-641</v>
      </c>
      <c r="H1324" s="141">
        <v>0</v>
      </c>
      <c r="I1324">
        <f t="shared" si="132"/>
        <v>979</v>
      </c>
      <c r="J1324" s="137">
        <v>0</v>
      </c>
      <c r="K1324">
        <f t="shared" si="131"/>
        <v>945</v>
      </c>
      <c r="L1324" s="53">
        <f t="shared" si="133"/>
        <v>983</v>
      </c>
      <c r="M1324" s="189">
        <v>0.79</v>
      </c>
      <c r="N1324" s="186">
        <f>VLOOKUP(2353,季財報!A:M,8,0)</f>
        <v>1</v>
      </c>
    </row>
    <row r="1325" spans="1:14">
      <c r="A1325" s="133">
        <v>2358</v>
      </c>
      <c r="C1325">
        <v>-62</v>
      </c>
      <c r="H1325" s="141">
        <v>0</v>
      </c>
      <c r="I1325">
        <f t="shared" si="132"/>
        <v>979</v>
      </c>
      <c r="J1325" s="137">
        <v>0</v>
      </c>
      <c r="K1325">
        <f t="shared" si="131"/>
        <v>945</v>
      </c>
      <c r="L1325" s="53">
        <f t="shared" si="133"/>
        <v>983</v>
      </c>
      <c r="M1325" s="189">
        <v>0.79</v>
      </c>
      <c r="N1325" s="186">
        <f>VLOOKUP(2358,季財報!A:M,8,0)</f>
        <v>2</v>
      </c>
    </row>
    <row r="1326" spans="1:14">
      <c r="A1326" s="133">
        <v>2361</v>
      </c>
      <c r="C1326">
        <v>-23</v>
      </c>
      <c r="H1326" s="141">
        <v>0</v>
      </c>
      <c r="I1326">
        <f t="shared" si="132"/>
        <v>979</v>
      </c>
      <c r="J1326" s="137">
        <v>0</v>
      </c>
      <c r="K1326">
        <f t="shared" si="131"/>
        <v>945</v>
      </c>
      <c r="L1326" s="53">
        <f t="shared" si="133"/>
        <v>983</v>
      </c>
      <c r="M1326" s="189">
        <v>1.01</v>
      </c>
      <c r="N1326" s="186">
        <f>VLOOKUP(2361,季財報!A:M,8,0)</f>
        <v>3</v>
      </c>
    </row>
    <row r="1327" spans="1:14">
      <c r="A1327" s="133">
        <v>2363</v>
      </c>
      <c r="C1327">
        <v>-86</v>
      </c>
      <c r="H1327" s="141">
        <v>0</v>
      </c>
      <c r="I1327">
        <f t="shared" si="132"/>
        <v>979</v>
      </c>
      <c r="J1327" s="137">
        <v>0</v>
      </c>
      <c r="K1327">
        <f t="shared" si="131"/>
        <v>945</v>
      </c>
      <c r="L1327" s="53">
        <f t="shared" si="133"/>
        <v>983</v>
      </c>
      <c r="M1327" s="189">
        <v>1.36</v>
      </c>
      <c r="N1327" s="186">
        <f>VLOOKUP(2363,季財報!A:M,8,0)</f>
        <v>2</v>
      </c>
    </row>
    <row r="1328" spans="1:14">
      <c r="A1328" s="133">
        <v>2364</v>
      </c>
      <c r="C1328">
        <v>-58</v>
      </c>
      <c r="H1328" s="141">
        <v>0</v>
      </c>
      <c r="I1328">
        <f t="shared" si="132"/>
        <v>979</v>
      </c>
      <c r="J1328" s="137">
        <v>0</v>
      </c>
      <c r="K1328">
        <f t="shared" si="131"/>
        <v>945</v>
      </c>
      <c r="L1328" s="53">
        <f t="shared" si="133"/>
        <v>983</v>
      </c>
      <c r="M1328" s="189">
        <v>1.58</v>
      </c>
      <c r="N1328" s="186">
        <f>VLOOKUP(2364,季財報!A:M,8,0)</f>
        <v>4</v>
      </c>
    </row>
    <row r="1329" spans="1:14">
      <c r="A1329" s="133">
        <v>2365</v>
      </c>
      <c r="C1329">
        <v>-6</v>
      </c>
      <c r="H1329" s="141">
        <v>0</v>
      </c>
      <c r="I1329">
        <f t="shared" si="132"/>
        <v>979</v>
      </c>
      <c r="J1329" s="137">
        <v>0</v>
      </c>
      <c r="K1329">
        <f t="shared" si="131"/>
        <v>945</v>
      </c>
      <c r="L1329" s="53">
        <f t="shared" si="133"/>
        <v>983</v>
      </c>
      <c r="M1329" s="189">
        <v>0.79</v>
      </c>
      <c r="N1329" s="186">
        <f>VLOOKUP(2365,季財報!A:M,8,0)</f>
        <v>2</v>
      </c>
    </row>
    <row r="1330" spans="1:14">
      <c r="A1330" s="133">
        <v>2369</v>
      </c>
      <c r="C1330">
        <v>-23</v>
      </c>
      <c r="H1330" s="141">
        <v>0</v>
      </c>
      <c r="I1330">
        <f t="shared" si="132"/>
        <v>979</v>
      </c>
      <c r="J1330" s="137">
        <v>0</v>
      </c>
      <c r="K1330">
        <f t="shared" si="131"/>
        <v>945</v>
      </c>
      <c r="L1330" s="53">
        <f t="shared" si="133"/>
        <v>983</v>
      </c>
      <c r="M1330" s="189">
        <v>0.79</v>
      </c>
      <c r="N1330" s="186">
        <f>VLOOKUP(2369,季財報!A:M,8,0)</f>
        <v>2</v>
      </c>
    </row>
    <row r="1331" spans="1:14">
      <c r="A1331" s="133">
        <v>2371</v>
      </c>
      <c r="C1331">
        <v>-1427</v>
      </c>
      <c r="H1331" s="141">
        <v>0</v>
      </c>
      <c r="I1331">
        <f t="shared" si="132"/>
        <v>979</v>
      </c>
      <c r="J1331" s="137">
        <v>0</v>
      </c>
      <c r="K1331">
        <f t="shared" si="131"/>
        <v>945</v>
      </c>
      <c r="L1331" s="53">
        <f t="shared" si="133"/>
        <v>983</v>
      </c>
      <c r="M1331" s="189">
        <v>0.79</v>
      </c>
      <c r="N1331" s="186">
        <f>VLOOKUP(2371,季財報!A:M,8,0)</f>
        <v>2</v>
      </c>
    </row>
    <row r="1332" spans="1:14">
      <c r="A1332" s="133">
        <v>2380</v>
      </c>
      <c r="C1332">
        <v>-48</v>
      </c>
      <c r="H1332" s="141">
        <v>0</v>
      </c>
      <c r="I1332">
        <f t="shared" si="132"/>
        <v>979</v>
      </c>
      <c r="J1332" s="137">
        <v>0</v>
      </c>
      <c r="K1332">
        <f t="shared" si="131"/>
        <v>945</v>
      </c>
      <c r="L1332" s="53">
        <f t="shared" si="133"/>
        <v>983</v>
      </c>
      <c r="M1332" s="189">
        <v>0.79</v>
      </c>
      <c r="N1332" s="186">
        <f>VLOOKUP(2380,季財報!A:M,8,0)</f>
        <v>2</v>
      </c>
    </row>
    <row r="1333" spans="1:14">
      <c r="A1333" s="133">
        <v>2388</v>
      </c>
      <c r="C1333">
        <v>-419</v>
      </c>
      <c r="H1333" s="141">
        <v>0</v>
      </c>
      <c r="I1333">
        <f t="shared" si="132"/>
        <v>979</v>
      </c>
      <c r="J1333" s="137">
        <v>0</v>
      </c>
      <c r="K1333">
        <f t="shared" si="131"/>
        <v>945</v>
      </c>
      <c r="L1333" s="53">
        <f t="shared" si="133"/>
        <v>983</v>
      </c>
      <c r="M1333" s="189">
        <v>1.84</v>
      </c>
      <c r="N1333" s="186">
        <f>VLOOKUP(2388,季財報!A:M,8,0)</f>
        <v>4</v>
      </c>
    </row>
    <row r="1334" spans="1:14">
      <c r="A1334" s="133">
        <v>2390</v>
      </c>
      <c r="C1334">
        <v>-59</v>
      </c>
      <c r="H1334" s="141">
        <v>0</v>
      </c>
      <c r="I1334">
        <f t="shared" si="132"/>
        <v>979</v>
      </c>
      <c r="J1334" s="137">
        <v>0</v>
      </c>
      <c r="K1334">
        <f t="shared" si="131"/>
        <v>945</v>
      </c>
      <c r="L1334" s="53">
        <f t="shared" si="133"/>
        <v>983</v>
      </c>
      <c r="M1334" s="189">
        <v>0.79</v>
      </c>
      <c r="N1334" s="186">
        <f>VLOOKUP(2390,季財報!A:M,8,0)</f>
        <v>3</v>
      </c>
    </row>
    <row r="1335" spans="1:14">
      <c r="A1335" s="133">
        <v>2399</v>
      </c>
      <c r="C1335">
        <v>-48</v>
      </c>
      <c r="H1335" s="141">
        <v>0</v>
      </c>
      <c r="I1335">
        <f t="shared" si="132"/>
        <v>979</v>
      </c>
      <c r="J1335" s="137">
        <v>0</v>
      </c>
      <c r="K1335">
        <f t="shared" si="131"/>
        <v>945</v>
      </c>
      <c r="L1335" s="53">
        <f t="shared" si="133"/>
        <v>983</v>
      </c>
      <c r="M1335" s="189">
        <v>0.79</v>
      </c>
      <c r="N1335" s="186">
        <f>VLOOKUP(2399,季財報!A:M,8,0)</f>
        <v>3</v>
      </c>
    </row>
    <row r="1336" spans="1:14">
      <c r="A1336" s="133">
        <v>2402</v>
      </c>
      <c r="C1336">
        <v>-37</v>
      </c>
      <c r="H1336" s="141">
        <v>0</v>
      </c>
      <c r="I1336">
        <f t="shared" si="132"/>
        <v>979</v>
      </c>
      <c r="J1336" s="137">
        <v>0</v>
      </c>
      <c r="K1336">
        <f t="shared" ref="K1336:K1399" si="134">RANK(0,J:J,0)</f>
        <v>945</v>
      </c>
      <c r="L1336" s="53">
        <f t="shared" si="133"/>
        <v>983</v>
      </c>
      <c r="M1336" s="189">
        <v>0.79</v>
      </c>
      <c r="N1336" s="186">
        <f>VLOOKUP(2402,季財報!A:M,8,0)</f>
        <v>2</v>
      </c>
    </row>
    <row r="1337" spans="1:14">
      <c r="A1337" s="133">
        <v>2405</v>
      </c>
      <c r="C1337">
        <v>-42</v>
      </c>
      <c r="H1337" s="141">
        <v>0</v>
      </c>
      <c r="I1337">
        <f t="shared" si="132"/>
        <v>979</v>
      </c>
      <c r="J1337" s="137">
        <v>0</v>
      </c>
      <c r="K1337">
        <f t="shared" si="134"/>
        <v>945</v>
      </c>
      <c r="L1337" s="53">
        <f t="shared" si="133"/>
        <v>983</v>
      </c>
      <c r="M1337" s="189">
        <v>1.36</v>
      </c>
      <c r="N1337" s="186">
        <f>VLOOKUP(2405,季財報!A:M,8,0)</f>
        <v>4</v>
      </c>
    </row>
    <row r="1338" spans="1:14">
      <c r="A1338" s="133">
        <v>2417</v>
      </c>
      <c r="C1338">
        <v>-67</v>
      </c>
      <c r="H1338" s="141">
        <v>0</v>
      </c>
      <c r="I1338">
        <f t="shared" si="132"/>
        <v>979</v>
      </c>
      <c r="J1338" s="137">
        <v>0</v>
      </c>
      <c r="K1338">
        <f t="shared" si="134"/>
        <v>945</v>
      </c>
      <c r="L1338" s="53">
        <f t="shared" si="133"/>
        <v>983</v>
      </c>
      <c r="M1338" s="189">
        <v>0.79</v>
      </c>
      <c r="N1338" s="186">
        <f>VLOOKUP(2417,季財報!A:M,8,0)</f>
        <v>1</v>
      </c>
    </row>
    <row r="1339" spans="1:14">
      <c r="A1339" s="133">
        <v>2424</v>
      </c>
      <c r="C1339">
        <v>-6</v>
      </c>
      <c r="H1339" s="141">
        <v>0</v>
      </c>
      <c r="I1339">
        <f t="shared" si="132"/>
        <v>979</v>
      </c>
      <c r="J1339" s="137">
        <v>0</v>
      </c>
      <c r="K1339">
        <f t="shared" si="134"/>
        <v>945</v>
      </c>
      <c r="L1339" s="53">
        <f t="shared" si="133"/>
        <v>983</v>
      </c>
      <c r="M1339" s="189">
        <v>0.79</v>
      </c>
      <c r="N1339" s="186">
        <f>VLOOKUP(2424,季財報!A:M,8,0)</f>
        <v>0</v>
      </c>
    </row>
    <row r="1340" spans="1:14">
      <c r="A1340" s="133">
        <v>2429</v>
      </c>
      <c r="C1340">
        <v>-16</v>
      </c>
      <c r="H1340" s="141">
        <v>0</v>
      </c>
      <c r="I1340">
        <f t="shared" si="132"/>
        <v>979</v>
      </c>
      <c r="J1340" s="137">
        <v>0</v>
      </c>
      <c r="K1340">
        <f t="shared" si="134"/>
        <v>945</v>
      </c>
      <c r="L1340" s="53">
        <f t="shared" si="133"/>
        <v>983</v>
      </c>
      <c r="M1340" s="189">
        <v>0.79</v>
      </c>
      <c r="N1340" s="186">
        <f>VLOOKUP(2429,季財報!A:M,8,0)</f>
        <v>3</v>
      </c>
    </row>
    <row r="1341" spans="1:14">
      <c r="A1341" s="133">
        <v>2431</v>
      </c>
      <c r="C1341">
        <v>-35</v>
      </c>
      <c r="H1341" s="141">
        <v>0</v>
      </c>
      <c r="I1341">
        <f t="shared" si="132"/>
        <v>979</v>
      </c>
      <c r="J1341" s="137">
        <v>0</v>
      </c>
      <c r="K1341">
        <f t="shared" si="134"/>
        <v>945</v>
      </c>
      <c r="L1341" s="53">
        <f t="shared" si="133"/>
        <v>983</v>
      </c>
      <c r="M1341" s="189">
        <v>1.29</v>
      </c>
      <c r="N1341" s="186">
        <f>VLOOKUP(2431,季財報!A:M,8,0)</f>
        <v>3</v>
      </c>
    </row>
    <row r="1342" spans="1:14">
      <c r="A1342" s="133">
        <v>2434</v>
      </c>
      <c r="C1342">
        <v>-195</v>
      </c>
      <c r="H1342" s="141">
        <v>0</v>
      </c>
      <c r="I1342">
        <f t="shared" si="132"/>
        <v>979</v>
      </c>
      <c r="J1342" s="137">
        <v>0</v>
      </c>
      <c r="K1342">
        <f t="shared" si="134"/>
        <v>945</v>
      </c>
      <c r="L1342" s="53">
        <f t="shared" si="133"/>
        <v>983</v>
      </c>
      <c r="M1342" s="189">
        <v>0.79</v>
      </c>
      <c r="N1342" s="186">
        <f>VLOOKUP(2434,季財報!A:M,8,0)</f>
        <v>3</v>
      </c>
    </row>
    <row r="1343" spans="1:14">
      <c r="A1343" s="133">
        <v>2436</v>
      </c>
      <c r="C1343">
        <v>1</v>
      </c>
      <c r="D1343">
        <v>2336</v>
      </c>
      <c r="E1343">
        <v>228</v>
      </c>
      <c r="F1343">
        <v>2587</v>
      </c>
      <c r="G1343">
        <v>190</v>
      </c>
      <c r="H1343" s="141">
        <v>0</v>
      </c>
      <c r="I1343">
        <f t="shared" si="132"/>
        <v>979</v>
      </c>
      <c r="J1343" s="137">
        <v>0</v>
      </c>
      <c r="K1343">
        <f t="shared" si="134"/>
        <v>945</v>
      </c>
      <c r="L1343" s="53">
        <f t="shared" si="133"/>
        <v>983</v>
      </c>
      <c r="M1343" s="189">
        <v>2.29</v>
      </c>
      <c r="N1343" s="186">
        <f>VLOOKUP(2436,季財報!A:M,8,0)</f>
        <v>1</v>
      </c>
    </row>
    <row r="1344" spans="1:14">
      <c r="A1344" s="133">
        <v>2440</v>
      </c>
      <c r="C1344">
        <v>-5</v>
      </c>
      <c r="H1344" s="141">
        <v>0</v>
      </c>
      <c r="I1344">
        <f t="shared" si="132"/>
        <v>979</v>
      </c>
      <c r="J1344" s="137">
        <v>0</v>
      </c>
      <c r="K1344">
        <f t="shared" si="134"/>
        <v>945</v>
      </c>
      <c r="L1344" s="53">
        <f t="shared" si="133"/>
        <v>983</v>
      </c>
      <c r="M1344" s="189">
        <v>0.79</v>
      </c>
      <c r="N1344" s="186">
        <f>VLOOKUP(2440,季財報!A:M,8,0)</f>
        <v>0</v>
      </c>
    </row>
    <row r="1345" spans="1:14">
      <c r="A1345" s="133">
        <v>2443</v>
      </c>
      <c r="C1345">
        <v>-69</v>
      </c>
      <c r="H1345" s="141">
        <v>0</v>
      </c>
      <c r="I1345">
        <f t="shared" si="132"/>
        <v>979</v>
      </c>
      <c r="J1345" s="137">
        <v>0</v>
      </c>
      <c r="K1345">
        <f t="shared" si="134"/>
        <v>945</v>
      </c>
      <c r="L1345" s="53">
        <f t="shared" si="133"/>
        <v>983</v>
      </c>
      <c r="M1345" s="189">
        <v>0.79</v>
      </c>
      <c r="N1345" s="186">
        <f>VLOOKUP(2443,季財報!A:M,8,0)</f>
        <v>2</v>
      </c>
    </row>
    <row r="1346" spans="1:14">
      <c r="A1346" s="133">
        <v>2448</v>
      </c>
      <c r="C1346">
        <v>-351</v>
      </c>
      <c r="H1346" s="141">
        <v>0</v>
      </c>
      <c r="I1346">
        <f t="shared" si="132"/>
        <v>979</v>
      </c>
      <c r="J1346" s="137">
        <v>0</v>
      </c>
      <c r="K1346">
        <f t="shared" si="134"/>
        <v>945</v>
      </c>
      <c r="L1346" s="53">
        <f t="shared" si="133"/>
        <v>983</v>
      </c>
      <c r="M1346" s="189">
        <v>0.79</v>
      </c>
      <c r="N1346" s="186">
        <f>VLOOKUP(2448,季財報!A:M,8,0)</f>
        <v>1</v>
      </c>
    </row>
    <row r="1347" spans="1:14">
      <c r="A1347" s="133">
        <v>2450</v>
      </c>
      <c r="C1347">
        <v>8</v>
      </c>
      <c r="D1347">
        <v>2667</v>
      </c>
      <c r="E1347">
        <v>1093</v>
      </c>
      <c r="F1347">
        <v>5419</v>
      </c>
      <c r="G1347">
        <v>108</v>
      </c>
      <c r="H1347" s="141">
        <v>0</v>
      </c>
      <c r="I1347">
        <f t="shared" si="132"/>
        <v>979</v>
      </c>
      <c r="J1347" s="137">
        <v>0</v>
      </c>
      <c r="K1347">
        <f t="shared" si="134"/>
        <v>945</v>
      </c>
      <c r="L1347" s="53">
        <f t="shared" si="133"/>
        <v>983</v>
      </c>
      <c r="M1347" s="189">
        <v>0.79</v>
      </c>
      <c r="N1347" s="186">
        <f>VLOOKUP(2450,季財報!A:M,8,0)</f>
        <v>3</v>
      </c>
    </row>
    <row r="1348" spans="1:14">
      <c r="A1348" s="133">
        <v>2457</v>
      </c>
      <c r="C1348">
        <v>-141</v>
      </c>
      <c r="H1348" s="141">
        <v>0</v>
      </c>
      <c r="I1348">
        <f t="shared" si="132"/>
        <v>979</v>
      </c>
      <c r="J1348" s="137">
        <v>0</v>
      </c>
      <c r="K1348">
        <f t="shared" si="134"/>
        <v>945</v>
      </c>
      <c r="L1348" s="53">
        <f t="shared" si="133"/>
        <v>983</v>
      </c>
      <c r="M1348" s="189">
        <v>0.87</v>
      </c>
      <c r="N1348" s="186">
        <f>VLOOKUP(2457,季財報!A:M,8,0)</f>
        <v>2</v>
      </c>
    </row>
    <row r="1349" spans="1:14">
      <c r="A1349" s="133">
        <v>2460</v>
      </c>
      <c r="C1349">
        <v>-14</v>
      </c>
      <c r="H1349" s="141">
        <v>0</v>
      </c>
      <c r="I1349">
        <f t="shared" si="132"/>
        <v>979</v>
      </c>
      <c r="J1349" s="137">
        <v>0</v>
      </c>
      <c r="K1349">
        <f t="shared" si="134"/>
        <v>945</v>
      </c>
      <c r="L1349" s="53">
        <f t="shared" si="133"/>
        <v>983</v>
      </c>
      <c r="M1349" s="189">
        <v>1.9</v>
      </c>
      <c r="N1349" s="186">
        <f>VLOOKUP(2460,季財報!A:M,8,0)</f>
        <v>3</v>
      </c>
    </row>
    <row r="1350" spans="1:14">
      <c r="A1350" s="133">
        <v>2465</v>
      </c>
      <c r="C1350">
        <v>-38</v>
      </c>
      <c r="H1350" s="141">
        <v>0</v>
      </c>
      <c r="I1350">
        <f t="shared" si="132"/>
        <v>979</v>
      </c>
      <c r="J1350" s="137">
        <v>0</v>
      </c>
      <c r="K1350">
        <f t="shared" si="134"/>
        <v>945</v>
      </c>
      <c r="L1350" s="53">
        <f t="shared" si="133"/>
        <v>983</v>
      </c>
      <c r="M1350" s="189">
        <v>0.79</v>
      </c>
      <c r="N1350" s="186">
        <f>VLOOKUP(2465,季財報!A:M,8,0)</f>
        <v>2</v>
      </c>
    </row>
    <row r="1351" spans="1:14">
      <c r="A1351" s="133">
        <v>2467</v>
      </c>
      <c r="C1351">
        <v>-8</v>
      </c>
      <c r="H1351" s="141">
        <v>0</v>
      </c>
      <c r="I1351">
        <f t="shared" si="132"/>
        <v>979</v>
      </c>
      <c r="J1351" s="137">
        <v>0</v>
      </c>
      <c r="K1351">
        <f t="shared" si="134"/>
        <v>945</v>
      </c>
      <c r="L1351" s="53">
        <f t="shared" si="133"/>
        <v>983</v>
      </c>
      <c r="M1351" s="189">
        <v>0.79</v>
      </c>
      <c r="N1351" s="186">
        <f>VLOOKUP(2467,季財報!A:M,8,0)</f>
        <v>0</v>
      </c>
    </row>
    <row r="1352" spans="1:14">
      <c r="A1352" s="133">
        <v>2471</v>
      </c>
      <c r="C1352">
        <v>-2</v>
      </c>
      <c r="H1352" s="141">
        <v>0</v>
      </c>
      <c r="I1352">
        <f t="shared" si="132"/>
        <v>979</v>
      </c>
      <c r="J1352" s="137">
        <v>0</v>
      </c>
      <c r="K1352">
        <f t="shared" si="134"/>
        <v>945</v>
      </c>
      <c r="L1352" s="53">
        <f t="shared" si="133"/>
        <v>983</v>
      </c>
      <c r="M1352" s="189">
        <v>0.79</v>
      </c>
      <c r="N1352" s="186">
        <f>VLOOKUP(2471,季財報!A:M,8,0)</f>
        <v>3</v>
      </c>
    </row>
    <row r="1353" spans="1:14">
      <c r="A1353" s="133">
        <v>2475</v>
      </c>
      <c r="C1353">
        <v>-1595</v>
      </c>
      <c r="H1353" s="141">
        <v>0</v>
      </c>
      <c r="I1353">
        <f t="shared" si="132"/>
        <v>979</v>
      </c>
      <c r="J1353" s="137">
        <v>0</v>
      </c>
      <c r="K1353">
        <f t="shared" si="134"/>
        <v>945</v>
      </c>
      <c r="L1353" s="53">
        <f t="shared" si="133"/>
        <v>983</v>
      </c>
      <c r="M1353" s="189">
        <v>0.79</v>
      </c>
      <c r="N1353" s="186">
        <f>VLOOKUP(2475,季財報!A:M,8,0)</f>
        <v>2</v>
      </c>
    </row>
    <row r="1354" spans="1:14">
      <c r="A1354" s="133">
        <v>2486</v>
      </c>
      <c r="C1354">
        <v>-58</v>
      </c>
      <c r="H1354" s="141">
        <v>0</v>
      </c>
      <c r="I1354">
        <f t="shared" si="132"/>
        <v>979</v>
      </c>
      <c r="J1354" s="137">
        <v>0</v>
      </c>
      <c r="K1354">
        <f t="shared" si="134"/>
        <v>945</v>
      </c>
      <c r="L1354" s="53">
        <f t="shared" si="133"/>
        <v>983</v>
      </c>
      <c r="M1354" s="189">
        <v>0.79</v>
      </c>
      <c r="N1354" s="186">
        <f>VLOOKUP(2486,季財報!A:M,8,0)</f>
        <v>2</v>
      </c>
    </row>
    <row r="1355" spans="1:14">
      <c r="A1355" s="133">
        <v>2489</v>
      </c>
      <c r="C1355">
        <v>-98</v>
      </c>
      <c r="H1355" s="141">
        <v>0</v>
      </c>
      <c r="I1355">
        <f t="shared" si="132"/>
        <v>979</v>
      </c>
      <c r="J1355" s="137">
        <v>0</v>
      </c>
      <c r="K1355">
        <f t="shared" si="134"/>
        <v>945</v>
      </c>
      <c r="L1355" s="53">
        <f t="shared" si="133"/>
        <v>983</v>
      </c>
      <c r="M1355" s="189">
        <v>0.79</v>
      </c>
      <c r="N1355" s="186">
        <f>VLOOKUP(2489,季財報!A:M,8,0)</f>
        <v>2</v>
      </c>
    </row>
    <row r="1356" spans="1:14">
      <c r="A1356" s="133">
        <v>2491</v>
      </c>
      <c r="C1356">
        <v>-13</v>
      </c>
      <c r="H1356" s="141">
        <v>0</v>
      </c>
      <c r="I1356">
        <f t="shared" si="132"/>
        <v>979</v>
      </c>
      <c r="J1356" s="137">
        <v>0</v>
      </c>
      <c r="K1356">
        <f t="shared" si="134"/>
        <v>945</v>
      </c>
      <c r="L1356" s="53">
        <f t="shared" si="133"/>
        <v>983</v>
      </c>
      <c r="M1356" s="189">
        <v>0.79</v>
      </c>
      <c r="N1356" s="186">
        <f>VLOOKUP(2491,季財報!A:M,8,0)</f>
        <v>1</v>
      </c>
    </row>
    <row r="1357" spans="1:14">
      <c r="A1357" s="133">
        <v>2496</v>
      </c>
      <c r="C1357">
        <v>-3</v>
      </c>
      <c r="H1357" s="141">
        <v>0</v>
      </c>
      <c r="I1357">
        <f t="shared" si="132"/>
        <v>979</v>
      </c>
      <c r="J1357" s="137">
        <v>0</v>
      </c>
      <c r="K1357">
        <f t="shared" si="134"/>
        <v>945</v>
      </c>
      <c r="L1357" s="53">
        <f t="shared" si="133"/>
        <v>983</v>
      </c>
      <c r="M1357" s="189">
        <v>0.79</v>
      </c>
      <c r="N1357" s="186">
        <f>VLOOKUP(2496,季財報!A:M,8,0)</f>
        <v>2</v>
      </c>
    </row>
    <row r="1358" spans="1:14">
      <c r="A1358" s="133">
        <v>2498</v>
      </c>
      <c r="C1358">
        <v>-4943</v>
      </c>
      <c r="H1358" s="141">
        <v>0</v>
      </c>
      <c r="I1358">
        <f t="shared" si="132"/>
        <v>979</v>
      </c>
      <c r="J1358" s="137">
        <v>0</v>
      </c>
      <c r="K1358">
        <f t="shared" si="134"/>
        <v>945</v>
      </c>
      <c r="L1358" s="53">
        <f t="shared" si="133"/>
        <v>983</v>
      </c>
      <c r="M1358" s="189">
        <v>0.79</v>
      </c>
      <c r="N1358" s="186">
        <f>VLOOKUP(2498,季財報!A:M,8,0)</f>
        <v>1</v>
      </c>
    </row>
    <row r="1359" spans="1:14">
      <c r="A1359" s="133">
        <v>2499</v>
      </c>
      <c r="C1359">
        <v>15</v>
      </c>
      <c r="D1359">
        <v>1530</v>
      </c>
      <c r="E1359">
        <v>3367</v>
      </c>
      <c r="F1359">
        <v>6592</v>
      </c>
      <c r="G1359">
        <v>4921</v>
      </c>
      <c r="H1359" s="141">
        <v>0</v>
      </c>
      <c r="I1359">
        <f t="shared" si="132"/>
        <v>979</v>
      </c>
      <c r="J1359" s="137">
        <v>0</v>
      </c>
      <c r="K1359">
        <f t="shared" si="134"/>
        <v>945</v>
      </c>
      <c r="L1359" s="53">
        <f t="shared" si="133"/>
        <v>983</v>
      </c>
      <c r="M1359" s="189">
        <v>0.79</v>
      </c>
      <c r="N1359" s="186">
        <f>VLOOKUP(2499,季財報!A:M,8,0)</f>
        <v>1</v>
      </c>
    </row>
    <row r="1360" spans="1:14">
      <c r="A1360" s="133">
        <v>2501</v>
      </c>
      <c r="C1360">
        <v>-58</v>
      </c>
      <c r="H1360" s="141">
        <v>0</v>
      </c>
      <c r="I1360">
        <f t="shared" si="132"/>
        <v>979</v>
      </c>
      <c r="J1360" s="137">
        <v>0</v>
      </c>
      <c r="K1360">
        <f t="shared" si="134"/>
        <v>945</v>
      </c>
      <c r="L1360" s="53">
        <f t="shared" si="133"/>
        <v>983</v>
      </c>
      <c r="M1360" s="189">
        <v>0.79</v>
      </c>
      <c r="N1360" s="186">
        <f>VLOOKUP(2501,季財報!A:M,8,0)</f>
        <v>0</v>
      </c>
    </row>
    <row r="1361" spans="1:14">
      <c r="A1361" s="133">
        <v>2504</v>
      </c>
      <c r="C1361">
        <v>-584</v>
      </c>
      <c r="H1361" s="141">
        <v>0</v>
      </c>
      <c r="I1361">
        <f t="shared" si="132"/>
        <v>979</v>
      </c>
      <c r="J1361" s="137">
        <v>0</v>
      </c>
      <c r="K1361">
        <f t="shared" si="134"/>
        <v>945</v>
      </c>
      <c r="L1361" s="53">
        <f t="shared" si="133"/>
        <v>983</v>
      </c>
      <c r="M1361" s="189">
        <v>0.79</v>
      </c>
      <c r="N1361" s="186">
        <f>VLOOKUP(2504,季財報!A:M,8,0)</f>
        <v>0</v>
      </c>
    </row>
    <row r="1362" spans="1:14">
      <c r="A1362" s="133">
        <v>2505</v>
      </c>
      <c r="C1362">
        <v>-10</v>
      </c>
      <c r="H1362" s="141">
        <v>0</v>
      </c>
      <c r="I1362">
        <f t="shared" si="132"/>
        <v>979</v>
      </c>
      <c r="J1362" s="137">
        <v>0</v>
      </c>
      <c r="K1362">
        <f t="shared" si="134"/>
        <v>945</v>
      </c>
      <c r="L1362" s="53">
        <f t="shared" si="133"/>
        <v>983</v>
      </c>
      <c r="M1362" s="189">
        <v>0.79</v>
      </c>
      <c r="N1362" s="186">
        <f>VLOOKUP(2505,季財報!A:M,8,0)</f>
        <v>0</v>
      </c>
    </row>
    <row r="1363" spans="1:14">
      <c r="A1363" s="133">
        <v>2515</v>
      </c>
      <c r="C1363">
        <v>-632</v>
      </c>
      <c r="H1363" s="141">
        <v>0</v>
      </c>
      <c r="I1363">
        <f t="shared" si="132"/>
        <v>979</v>
      </c>
      <c r="J1363" s="137">
        <v>0</v>
      </c>
      <c r="K1363">
        <f t="shared" si="134"/>
        <v>945</v>
      </c>
      <c r="L1363" s="53">
        <f t="shared" si="133"/>
        <v>983</v>
      </c>
      <c r="M1363" s="189">
        <v>5.24</v>
      </c>
      <c r="N1363" s="186">
        <f>VLOOKUP(2515,季財報!A:M,8,0)</f>
        <v>0</v>
      </c>
    </row>
    <row r="1364" spans="1:14">
      <c r="A1364" s="133">
        <v>2524</v>
      </c>
      <c r="C1364">
        <v>173</v>
      </c>
      <c r="D1364">
        <v>11128</v>
      </c>
      <c r="E1364">
        <v>0</v>
      </c>
      <c r="F1364">
        <v>10617</v>
      </c>
      <c r="G1364">
        <v>15073</v>
      </c>
      <c r="H1364" s="141">
        <v>0</v>
      </c>
      <c r="I1364">
        <f t="shared" si="132"/>
        <v>979</v>
      </c>
      <c r="J1364" s="137">
        <v>0</v>
      </c>
      <c r="K1364">
        <f t="shared" si="134"/>
        <v>945</v>
      </c>
      <c r="L1364" s="53">
        <f t="shared" si="133"/>
        <v>983</v>
      </c>
      <c r="M1364" s="189">
        <v>1.58</v>
      </c>
      <c r="N1364" s="186">
        <f>VLOOKUP(2524,季財報!A:M,8,0)</f>
        <v>2</v>
      </c>
    </row>
    <row r="1365" spans="1:14">
      <c r="A1365" s="133">
        <v>2527</v>
      </c>
      <c r="C1365">
        <v>-23</v>
      </c>
      <c r="H1365" s="141">
        <v>0</v>
      </c>
      <c r="I1365">
        <f t="shared" si="132"/>
        <v>979</v>
      </c>
      <c r="J1365" s="137">
        <v>0</v>
      </c>
      <c r="K1365">
        <f t="shared" si="134"/>
        <v>945</v>
      </c>
      <c r="L1365" s="53">
        <f t="shared" si="133"/>
        <v>983</v>
      </c>
      <c r="M1365" s="189">
        <v>0.79</v>
      </c>
      <c r="N1365" s="186">
        <f>VLOOKUP(2527,季財報!A:M,8,0)</f>
        <v>1</v>
      </c>
    </row>
    <row r="1366" spans="1:14">
      <c r="A1366" s="133">
        <v>2528</v>
      </c>
      <c r="C1366">
        <v>-7</v>
      </c>
      <c r="H1366" s="141">
        <v>0</v>
      </c>
      <c r="I1366">
        <f t="shared" si="132"/>
        <v>979</v>
      </c>
      <c r="J1366" s="137">
        <v>0</v>
      </c>
      <c r="K1366">
        <f t="shared" si="134"/>
        <v>945</v>
      </c>
      <c r="L1366" s="53">
        <f t="shared" si="133"/>
        <v>983</v>
      </c>
      <c r="M1366" s="189">
        <v>0.79</v>
      </c>
      <c r="N1366" s="186">
        <f>VLOOKUP(2528,季財報!A:M,8,0)</f>
        <v>0</v>
      </c>
    </row>
    <row r="1367" spans="1:14">
      <c r="A1367" s="133">
        <v>2534</v>
      </c>
      <c r="C1367">
        <v>6</v>
      </c>
      <c r="D1367">
        <v>9167</v>
      </c>
      <c r="E1367">
        <v>5</v>
      </c>
      <c r="F1367">
        <v>8869</v>
      </c>
      <c r="G1367">
        <v>9163</v>
      </c>
      <c r="H1367" s="141">
        <v>0</v>
      </c>
      <c r="I1367">
        <f t="shared" si="132"/>
        <v>979</v>
      </c>
      <c r="J1367" s="137">
        <v>0</v>
      </c>
      <c r="K1367">
        <f t="shared" si="134"/>
        <v>945</v>
      </c>
      <c r="L1367" s="53">
        <f t="shared" si="133"/>
        <v>983</v>
      </c>
      <c r="M1367" s="189">
        <v>0.79</v>
      </c>
      <c r="N1367" s="186">
        <f>VLOOKUP(2534,季財報!A:M,8,0)</f>
        <v>1</v>
      </c>
    </row>
    <row r="1368" spans="1:14">
      <c r="A1368" s="133">
        <v>2537</v>
      </c>
      <c r="C1368">
        <v>-5</v>
      </c>
      <c r="H1368" s="141">
        <v>0</v>
      </c>
      <c r="I1368">
        <f t="shared" ref="I1368:I1431" si="135">RANK(0,H:H,0)</f>
        <v>979</v>
      </c>
      <c r="J1368" s="137">
        <v>0</v>
      </c>
      <c r="K1368">
        <f t="shared" si="134"/>
        <v>945</v>
      </c>
      <c r="L1368" s="53">
        <f t="shared" ref="L1368:L1431" si="136">RANK(0.79,M:M,0)</f>
        <v>983</v>
      </c>
      <c r="M1368" s="189">
        <v>0.79</v>
      </c>
      <c r="N1368" s="186">
        <f>VLOOKUP(2537,季財報!A:M,8,0)</f>
        <v>3</v>
      </c>
    </row>
    <row r="1369" spans="1:14">
      <c r="A1369" s="133">
        <v>2538</v>
      </c>
      <c r="C1369">
        <v>9</v>
      </c>
      <c r="D1369">
        <v>6556</v>
      </c>
      <c r="E1369">
        <v>1</v>
      </c>
      <c r="F1369">
        <v>9016</v>
      </c>
      <c r="G1369">
        <v>3315</v>
      </c>
      <c r="H1369" s="141">
        <v>0</v>
      </c>
      <c r="I1369">
        <f t="shared" si="135"/>
        <v>979</v>
      </c>
      <c r="J1369" s="137">
        <v>0</v>
      </c>
      <c r="K1369">
        <f t="shared" si="134"/>
        <v>945</v>
      </c>
      <c r="L1369" s="53">
        <f t="shared" si="136"/>
        <v>983</v>
      </c>
      <c r="M1369" s="189">
        <v>12.66</v>
      </c>
      <c r="N1369" s="186">
        <f>VLOOKUP(2538,季財報!A:M,8,0)</f>
        <v>2</v>
      </c>
    </row>
    <row r="1370" spans="1:14">
      <c r="A1370" s="133">
        <v>2539</v>
      </c>
      <c r="C1370">
        <v>-7</v>
      </c>
      <c r="H1370" s="141">
        <v>0</v>
      </c>
      <c r="I1370">
        <f t="shared" si="135"/>
        <v>979</v>
      </c>
      <c r="J1370" s="137">
        <v>0</v>
      </c>
      <c r="K1370">
        <f t="shared" si="134"/>
        <v>945</v>
      </c>
      <c r="L1370" s="53">
        <f t="shared" si="136"/>
        <v>983</v>
      </c>
      <c r="M1370" s="189">
        <v>0.79</v>
      </c>
      <c r="N1370" s="186">
        <f>VLOOKUP(2539,季財報!A:M,8,0)</f>
        <v>0</v>
      </c>
    </row>
    <row r="1371" spans="1:14">
      <c r="A1371" s="133">
        <v>2545</v>
      </c>
      <c r="C1371">
        <v>9</v>
      </c>
      <c r="D1371">
        <v>5394</v>
      </c>
      <c r="E1371">
        <v>158</v>
      </c>
      <c r="F1371">
        <v>9656</v>
      </c>
      <c r="G1371">
        <v>22365</v>
      </c>
      <c r="H1371" s="141">
        <v>0</v>
      </c>
      <c r="I1371">
        <f t="shared" si="135"/>
        <v>979</v>
      </c>
      <c r="J1371" s="137">
        <v>0</v>
      </c>
      <c r="K1371">
        <f t="shared" si="134"/>
        <v>945</v>
      </c>
      <c r="L1371" s="53">
        <f t="shared" si="136"/>
        <v>983</v>
      </c>
      <c r="M1371" s="189">
        <v>0.79</v>
      </c>
      <c r="N1371" s="186">
        <f>VLOOKUP(2545,季財報!A:M,8,0)</f>
        <v>0</v>
      </c>
    </row>
    <row r="1372" spans="1:14">
      <c r="A1372" s="133">
        <v>2547</v>
      </c>
      <c r="C1372">
        <v>-478</v>
      </c>
      <c r="H1372" s="141">
        <v>0</v>
      </c>
      <c r="I1372">
        <f t="shared" si="135"/>
        <v>979</v>
      </c>
      <c r="J1372" s="137">
        <v>0</v>
      </c>
      <c r="K1372">
        <f t="shared" si="134"/>
        <v>945</v>
      </c>
      <c r="L1372" s="53">
        <f t="shared" si="136"/>
        <v>983</v>
      </c>
      <c r="M1372" s="189">
        <v>1.01</v>
      </c>
      <c r="N1372" s="186">
        <f>VLOOKUP(2547,季財報!A:M,8,0)</f>
        <v>0</v>
      </c>
    </row>
    <row r="1373" spans="1:14">
      <c r="A1373" s="133">
        <v>2603</v>
      </c>
      <c r="C1373">
        <v>-2409</v>
      </c>
      <c r="H1373" s="141">
        <v>0</v>
      </c>
      <c r="I1373">
        <f t="shared" si="135"/>
        <v>979</v>
      </c>
      <c r="J1373" s="137">
        <v>0</v>
      </c>
      <c r="K1373">
        <f t="shared" si="134"/>
        <v>945</v>
      </c>
      <c r="L1373" s="53">
        <f t="shared" si="136"/>
        <v>983</v>
      </c>
      <c r="M1373" s="189">
        <v>1.9</v>
      </c>
      <c r="N1373" s="186">
        <f>VLOOKUP(2603,季財報!A:M,8,0)</f>
        <v>1</v>
      </c>
    </row>
    <row r="1374" spans="1:14">
      <c r="A1374" s="133">
        <v>2606</v>
      </c>
      <c r="C1374">
        <v>150</v>
      </c>
      <c r="D1374">
        <v>15126</v>
      </c>
      <c r="E1374">
        <v>29965</v>
      </c>
      <c r="F1374">
        <v>27897</v>
      </c>
      <c r="G1374">
        <v>11929</v>
      </c>
      <c r="H1374" s="141">
        <v>0</v>
      </c>
      <c r="I1374">
        <f t="shared" si="135"/>
        <v>979</v>
      </c>
      <c r="J1374" s="137">
        <v>0</v>
      </c>
      <c r="K1374">
        <f t="shared" si="134"/>
        <v>945</v>
      </c>
      <c r="L1374" s="53">
        <f t="shared" si="136"/>
        <v>983</v>
      </c>
      <c r="M1374" s="189">
        <v>2.29</v>
      </c>
      <c r="N1374" s="186">
        <f>VLOOKUP(2606,季財報!A:M,8,0)</f>
        <v>3</v>
      </c>
    </row>
    <row r="1375" spans="1:14">
      <c r="A1375" s="133">
        <v>2609</v>
      </c>
      <c r="C1375">
        <v>-3026</v>
      </c>
      <c r="H1375" s="141">
        <v>0</v>
      </c>
      <c r="I1375">
        <f t="shared" si="135"/>
        <v>979</v>
      </c>
      <c r="J1375" s="137">
        <v>0</v>
      </c>
      <c r="K1375">
        <f t="shared" si="134"/>
        <v>945</v>
      </c>
      <c r="L1375" s="53">
        <f t="shared" si="136"/>
        <v>983</v>
      </c>
      <c r="M1375" s="189">
        <v>0.79</v>
      </c>
      <c r="N1375" s="186">
        <f>VLOOKUP(2609,季財報!A:M,8,0)</f>
        <v>1</v>
      </c>
    </row>
    <row r="1376" spans="1:14">
      <c r="A1376" s="133">
        <v>2613</v>
      </c>
      <c r="C1376">
        <v>7</v>
      </c>
      <c r="D1376">
        <v>0</v>
      </c>
      <c r="E1376">
        <v>4002</v>
      </c>
      <c r="F1376">
        <v>2641</v>
      </c>
      <c r="G1376">
        <v>712</v>
      </c>
      <c r="H1376" s="141">
        <v>0</v>
      </c>
      <c r="I1376">
        <f t="shared" si="135"/>
        <v>979</v>
      </c>
      <c r="J1376" s="137">
        <v>0</v>
      </c>
      <c r="K1376">
        <f t="shared" si="134"/>
        <v>945</v>
      </c>
      <c r="L1376" s="53">
        <f t="shared" si="136"/>
        <v>983</v>
      </c>
      <c r="M1376" s="189">
        <v>0.79</v>
      </c>
      <c r="N1376" s="186">
        <f>VLOOKUP(2613,季財報!A:M,8,0)</f>
        <v>0</v>
      </c>
    </row>
    <row r="1377" spans="1:14">
      <c r="A1377" s="133">
        <v>2614</v>
      </c>
      <c r="C1377">
        <v>-275</v>
      </c>
      <c r="H1377" s="141">
        <v>0</v>
      </c>
      <c r="I1377">
        <f t="shared" si="135"/>
        <v>979</v>
      </c>
      <c r="J1377" s="137">
        <v>0</v>
      </c>
      <c r="K1377">
        <f t="shared" si="134"/>
        <v>945</v>
      </c>
      <c r="L1377" s="53">
        <f t="shared" si="136"/>
        <v>983</v>
      </c>
      <c r="M1377" s="189">
        <v>0.79</v>
      </c>
      <c r="N1377" s="186">
        <f>VLOOKUP(2614,季財報!A:M,8,0)</f>
        <v>3</v>
      </c>
    </row>
    <row r="1378" spans="1:14">
      <c r="A1378" s="133">
        <v>2617</v>
      </c>
      <c r="C1378">
        <v>38</v>
      </c>
      <c r="D1378">
        <v>648</v>
      </c>
      <c r="E1378">
        <v>8479</v>
      </c>
      <c r="F1378">
        <v>10067</v>
      </c>
      <c r="G1378">
        <v>255</v>
      </c>
      <c r="H1378" s="141">
        <v>0</v>
      </c>
      <c r="I1378">
        <f t="shared" si="135"/>
        <v>979</v>
      </c>
      <c r="J1378" s="137">
        <v>0</v>
      </c>
      <c r="K1378">
        <f t="shared" si="134"/>
        <v>945</v>
      </c>
      <c r="L1378" s="53">
        <f t="shared" si="136"/>
        <v>983</v>
      </c>
      <c r="M1378" s="189">
        <v>0.79</v>
      </c>
      <c r="N1378" s="186">
        <f>VLOOKUP(2617,季財報!A:M,8,0)</f>
        <v>3</v>
      </c>
    </row>
    <row r="1379" spans="1:14">
      <c r="A1379" s="133">
        <v>2642</v>
      </c>
      <c r="C1379">
        <v>5</v>
      </c>
      <c r="D1379">
        <v>925</v>
      </c>
      <c r="E1379">
        <v>368</v>
      </c>
      <c r="F1379">
        <v>1610</v>
      </c>
      <c r="G1379">
        <v>0</v>
      </c>
      <c r="H1379" s="141">
        <v>0</v>
      </c>
      <c r="I1379">
        <f t="shared" si="135"/>
        <v>979</v>
      </c>
      <c r="J1379" s="137">
        <v>0</v>
      </c>
      <c r="K1379">
        <f t="shared" si="134"/>
        <v>945</v>
      </c>
      <c r="L1379" s="53">
        <f t="shared" si="136"/>
        <v>983</v>
      </c>
      <c r="M1379" s="189">
        <v>108.5</v>
      </c>
      <c r="N1379" s="186">
        <f>VLOOKUP(2642,季財報!A:M,8,0)</f>
        <v>3</v>
      </c>
    </row>
    <row r="1380" spans="1:14">
      <c r="A1380" s="133">
        <v>2719</v>
      </c>
      <c r="C1380">
        <v>-12</v>
      </c>
      <c r="H1380" s="141">
        <v>0</v>
      </c>
      <c r="I1380">
        <f t="shared" si="135"/>
        <v>979</v>
      </c>
      <c r="J1380" s="137">
        <v>0</v>
      </c>
      <c r="K1380">
        <f t="shared" si="134"/>
        <v>945</v>
      </c>
      <c r="L1380" s="53">
        <f t="shared" si="136"/>
        <v>983</v>
      </c>
      <c r="M1380" s="189">
        <v>0.79</v>
      </c>
      <c r="N1380" s="186">
        <f>VLOOKUP(2719,季財報!A:M,8,0)</f>
        <v>0</v>
      </c>
    </row>
    <row r="1381" spans="1:14">
      <c r="A1381" s="133">
        <v>2724</v>
      </c>
      <c r="C1381">
        <v>-11</v>
      </c>
      <c r="H1381" s="141">
        <v>0</v>
      </c>
      <c r="I1381">
        <f t="shared" si="135"/>
        <v>979</v>
      </c>
      <c r="J1381" s="137">
        <v>0</v>
      </c>
      <c r="K1381">
        <f t="shared" si="134"/>
        <v>945</v>
      </c>
      <c r="L1381" s="53">
        <f t="shared" si="136"/>
        <v>983</v>
      </c>
      <c r="M1381" s="189">
        <v>1.58</v>
      </c>
      <c r="N1381" s="186">
        <f>VLOOKUP(2724,季財報!A:M,8,0)</f>
        <v>3</v>
      </c>
    </row>
    <row r="1382" spans="1:14">
      <c r="A1382" s="133">
        <v>2734</v>
      </c>
      <c r="C1382">
        <v>-5</v>
      </c>
      <c r="H1382" s="141">
        <v>0</v>
      </c>
      <c r="I1382">
        <f t="shared" si="135"/>
        <v>979</v>
      </c>
      <c r="J1382" s="137">
        <v>0</v>
      </c>
      <c r="K1382">
        <f t="shared" si="134"/>
        <v>945</v>
      </c>
      <c r="L1382" s="53">
        <f t="shared" si="136"/>
        <v>983</v>
      </c>
      <c r="M1382" s="189">
        <v>1.36</v>
      </c>
      <c r="N1382" s="186">
        <f>VLOOKUP(2734,季財報!A:M,8,0)</f>
        <v>3</v>
      </c>
    </row>
    <row r="1383" spans="1:14">
      <c r="A1383" s="133">
        <v>2841</v>
      </c>
      <c r="C1383">
        <v>-74</v>
      </c>
      <c r="H1383" s="141">
        <v>0</v>
      </c>
      <c r="I1383">
        <f t="shared" si="135"/>
        <v>979</v>
      </c>
      <c r="J1383" s="137">
        <v>0</v>
      </c>
      <c r="K1383">
        <f t="shared" si="134"/>
        <v>945</v>
      </c>
      <c r="L1383" s="53">
        <f t="shared" si="136"/>
        <v>983</v>
      </c>
      <c r="M1383" s="189">
        <v>1.01</v>
      </c>
      <c r="N1383" s="186">
        <f>VLOOKUP(2841,季財報!A:M,8,0)</f>
        <v>1</v>
      </c>
    </row>
    <row r="1384" spans="1:14">
      <c r="A1384" s="133">
        <v>2911</v>
      </c>
      <c r="C1384">
        <v>-30</v>
      </c>
      <c r="H1384" s="141">
        <v>0</v>
      </c>
      <c r="I1384">
        <f t="shared" si="135"/>
        <v>979</v>
      </c>
      <c r="J1384" s="137">
        <v>0</v>
      </c>
      <c r="K1384">
        <f t="shared" si="134"/>
        <v>945</v>
      </c>
      <c r="L1384" s="53">
        <f t="shared" si="136"/>
        <v>983</v>
      </c>
      <c r="M1384" s="189">
        <v>1.01</v>
      </c>
      <c r="N1384" s="186">
        <f>VLOOKUP(2911,季財報!A:M,8,0)</f>
        <v>1</v>
      </c>
    </row>
    <row r="1385" spans="1:14">
      <c r="A1385" s="133">
        <v>2915</v>
      </c>
      <c r="C1385">
        <v>-181</v>
      </c>
      <c r="H1385" s="141">
        <v>0</v>
      </c>
      <c r="I1385">
        <f t="shared" si="135"/>
        <v>979</v>
      </c>
      <c r="J1385" s="137">
        <v>0</v>
      </c>
      <c r="K1385">
        <f t="shared" si="134"/>
        <v>945</v>
      </c>
      <c r="L1385" s="53">
        <f t="shared" si="136"/>
        <v>983</v>
      </c>
      <c r="M1385" s="189">
        <v>0.79</v>
      </c>
      <c r="N1385" s="186">
        <f>VLOOKUP(2915,季財報!A:M,8,0)</f>
        <v>3</v>
      </c>
    </row>
    <row r="1386" spans="1:14">
      <c r="A1386" s="133">
        <v>2916</v>
      </c>
      <c r="C1386">
        <v>-10</v>
      </c>
      <c r="H1386" s="141">
        <v>0</v>
      </c>
      <c r="I1386">
        <f t="shared" si="135"/>
        <v>979</v>
      </c>
      <c r="J1386" s="137">
        <v>0</v>
      </c>
      <c r="K1386">
        <f t="shared" si="134"/>
        <v>945</v>
      </c>
      <c r="L1386" s="53">
        <f t="shared" si="136"/>
        <v>983</v>
      </c>
      <c r="M1386" s="189">
        <v>0.79</v>
      </c>
      <c r="N1386" s="186">
        <f>VLOOKUP(2916,季財報!A:M,8,0)</f>
        <v>1</v>
      </c>
    </row>
    <row r="1387" spans="1:14">
      <c r="A1387" s="133">
        <v>3006</v>
      </c>
      <c r="C1387">
        <v>0</v>
      </c>
      <c r="H1387" s="141">
        <v>0</v>
      </c>
      <c r="I1387">
        <f t="shared" si="135"/>
        <v>979</v>
      </c>
      <c r="J1387" s="137">
        <v>0</v>
      </c>
      <c r="K1387">
        <f t="shared" si="134"/>
        <v>945</v>
      </c>
      <c r="L1387" s="53">
        <f t="shared" si="136"/>
        <v>983</v>
      </c>
      <c r="M1387" s="189">
        <v>0.79</v>
      </c>
      <c r="N1387" s="186">
        <f>VLOOKUP(3006,季財報!A:M,8,0)</f>
        <v>2</v>
      </c>
    </row>
    <row r="1388" spans="1:14">
      <c r="A1388" s="133">
        <v>3011</v>
      </c>
      <c r="C1388">
        <v>-39</v>
      </c>
      <c r="H1388" s="141">
        <v>0</v>
      </c>
      <c r="I1388">
        <f t="shared" si="135"/>
        <v>979</v>
      </c>
      <c r="J1388" s="137">
        <v>0</v>
      </c>
      <c r="K1388">
        <f t="shared" si="134"/>
        <v>945</v>
      </c>
      <c r="L1388" s="53">
        <f t="shared" si="136"/>
        <v>983</v>
      </c>
      <c r="M1388" s="189">
        <v>0.79</v>
      </c>
      <c r="N1388" s="186">
        <f>VLOOKUP(3011,季財報!A:M,8,0)</f>
        <v>1</v>
      </c>
    </row>
    <row r="1389" spans="1:14">
      <c r="A1389" s="133">
        <v>3015</v>
      </c>
      <c r="C1389">
        <v>-16</v>
      </c>
      <c r="H1389" s="141">
        <v>0</v>
      </c>
      <c r="I1389">
        <f t="shared" si="135"/>
        <v>979</v>
      </c>
      <c r="J1389" s="137">
        <v>0</v>
      </c>
      <c r="K1389">
        <f t="shared" si="134"/>
        <v>945</v>
      </c>
      <c r="L1389" s="53">
        <f t="shared" si="136"/>
        <v>983</v>
      </c>
      <c r="M1389" s="189">
        <v>1.01</v>
      </c>
      <c r="N1389" s="186">
        <f>VLOOKUP(3015,季財報!A:M,8,0)</f>
        <v>3</v>
      </c>
    </row>
    <row r="1390" spans="1:14">
      <c r="A1390" s="133">
        <v>3016</v>
      </c>
      <c r="C1390">
        <v>3</v>
      </c>
      <c r="D1390">
        <v>521</v>
      </c>
      <c r="E1390">
        <v>469</v>
      </c>
      <c r="F1390">
        <v>1076</v>
      </c>
      <c r="G1390">
        <v>0</v>
      </c>
      <c r="H1390" s="141">
        <v>0</v>
      </c>
      <c r="I1390">
        <f t="shared" si="135"/>
        <v>979</v>
      </c>
      <c r="J1390" s="137">
        <v>0</v>
      </c>
      <c r="K1390">
        <f t="shared" si="134"/>
        <v>945</v>
      </c>
      <c r="L1390" s="53">
        <f t="shared" si="136"/>
        <v>983</v>
      </c>
      <c r="M1390" s="189">
        <v>1.6</v>
      </c>
      <c r="N1390" s="186">
        <f>VLOOKUP(3016,季財報!A:M,8,0)</f>
        <v>2</v>
      </c>
    </row>
    <row r="1391" spans="1:14">
      <c r="A1391" s="133">
        <v>3024</v>
      </c>
      <c r="C1391">
        <v>-135</v>
      </c>
      <c r="H1391" s="141">
        <v>0</v>
      </c>
      <c r="I1391">
        <f t="shared" si="135"/>
        <v>979</v>
      </c>
      <c r="J1391" s="137">
        <v>0</v>
      </c>
      <c r="K1391">
        <f t="shared" si="134"/>
        <v>945</v>
      </c>
      <c r="L1391" s="53">
        <f t="shared" si="136"/>
        <v>983</v>
      </c>
      <c r="M1391" s="189">
        <v>0.79</v>
      </c>
      <c r="N1391" s="186">
        <f>VLOOKUP(3024,季財報!A:M,8,0)</f>
        <v>0</v>
      </c>
    </row>
    <row r="1392" spans="1:14">
      <c r="A1392" s="133">
        <v>3025</v>
      </c>
      <c r="C1392">
        <v>-13</v>
      </c>
      <c r="H1392" s="141">
        <v>0</v>
      </c>
      <c r="I1392">
        <f t="shared" si="135"/>
        <v>979</v>
      </c>
      <c r="J1392" s="137">
        <v>0</v>
      </c>
      <c r="K1392">
        <f t="shared" si="134"/>
        <v>945</v>
      </c>
      <c r="L1392" s="53">
        <f t="shared" si="136"/>
        <v>983</v>
      </c>
      <c r="M1392" s="189">
        <v>0.79</v>
      </c>
      <c r="N1392" s="186">
        <f>VLOOKUP(3025,季財報!A:M,8,0)</f>
        <v>0</v>
      </c>
    </row>
    <row r="1393" spans="1:14">
      <c r="A1393" s="133">
        <v>3027</v>
      </c>
      <c r="C1393">
        <v>3</v>
      </c>
      <c r="D1393">
        <v>871</v>
      </c>
      <c r="E1393">
        <v>538</v>
      </c>
      <c r="F1393">
        <v>1606</v>
      </c>
      <c r="G1393">
        <v>721</v>
      </c>
      <c r="H1393" s="141">
        <v>0</v>
      </c>
      <c r="I1393">
        <f t="shared" si="135"/>
        <v>979</v>
      </c>
      <c r="J1393" s="137">
        <v>0</v>
      </c>
      <c r="K1393">
        <f t="shared" si="134"/>
        <v>945</v>
      </c>
      <c r="L1393" s="53">
        <f t="shared" si="136"/>
        <v>983</v>
      </c>
      <c r="M1393" s="189">
        <v>1.9</v>
      </c>
      <c r="N1393" s="186">
        <f>VLOOKUP(3027,季財報!A:M,8,0)</f>
        <v>2</v>
      </c>
    </row>
    <row r="1394" spans="1:14">
      <c r="A1394" s="133">
        <v>3031</v>
      </c>
      <c r="C1394">
        <v>-44</v>
      </c>
      <c r="H1394" s="141">
        <v>0</v>
      </c>
      <c r="I1394">
        <f t="shared" si="135"/>
        <v>979</v>
      </c>
      <c r="J1394" s="137">
        <v>0</v>
      </c>
      <c r="K1394">
        <f t="shared" si="134"/>
        <v>945</v>
      </c>
      <c r="L1394" s="53">
        <f t="shared" si="136"/>
        <v>983</v>
      </c>
      <c r="M1394" s="189">
        <v>0.79</v>
      </c>
      <c r="N1394" s="186">
        <f>VLOOKUP(3031,季財報!A:M,8,0)</f>
        <v>3</v>
      </c>
    </row>
    <row r="1395" spans="1:14">
      <c r="A1395" s="133">
        <v>3040</v>
      </c>
      <c r="C1395">
        <v>5</v>
      </c>
      <c r="D1395">
        <v>1032</v>
      </c>
      <c r="E1395">
        <v>17</v>
      </c>
      <c r="F1395">
        <v>1647</v>
      </c>
      <c r="G1395">
        <v>0</v>
      </c>
      <c r="H1395" s="141">
        <v>0</v>
      </c>
      <c r="I1395">
        <f t="shared" si="135"/>
        <v>979</v>
      </c>
      <c r="J1395" s="137">
        <v>0</v>
      </c>
      <c r="K1395">
        <f t="shared" si="134"/>
        <v>945</v>
      </c>
      <c r="L1395" s="53">
        <f t="shared" si="136"/>
        <v>983</v>
      </c>
      <c r="M1395" s="189">
        <v>0.79</v>
      </c>
      <c r="N1395" s="186">
        <f>VLOOKUP(3040,季財報!A:M,8,0)</f>
        <v>2</v>
      </c>
    </row>
    <row r="1396" spans="1:14">
      <c r="A1396" s="133">
        <v>3041</v>
      </c>
      <c r="C1396">
        <v>-40</v>
      </c>
      <c r="H1396" s="141">
        <v>0</v>
      </c>
      <c r="I1396">
        <f t="shared" si="135"/>
        <v>979</v>
      </c>
      <c r="J1396" s="137">
        <v>0</v>
      </c>
      <c r="K1396">
        <f t="shared" si="134"/>
        <v>945</v>
      </c>
      <c r="L1396" s="53">
        <f t="shared" si="136"/>
        <v>983</v>
      </c>
      <c r="M1396" s="189">
        <v>0.79</v>
      </c>
      <c r="N1396" s="186">
        <f>VLOOKUP(3041,季財報!A:M,8,0)</f>
        <v>2</v>
      </c>
    </row>
    <row r="1397" spans="1:14">
      <c r="A1397" s="133">
        <v>3043</v>
      </c>
      <c r="C1397">
        <v>-52</v>
      </c>
      <c r="H1397" s="141">
        <v>0</v>
      </c>
      <c r="I1397">
        <f t="shared" si="135"/>
        <v>979</v>
      </c>
      <c r="J1397" s="137">
        <v>0</v>
      </c>
      <c r="K1397">
        <f t="shared" si="134"/>
        <v>945</v>
      </c>
      <c r="L1397" s="53">
        <f t="shared" si="136"/>
        <v>983</v>
      </c>
      <c r="M1397" s="189">
        <v>0.79</v>
      </c>
      <c r="N1397" s="186">
        <f>VLOOKUP(3043,季財報!A:M,8,0)</f>
        <v>2</v>
      </c>
    </row>
    <row r="1398" spans="1:14">
      <c r="A1398" s="133">
        <v>3046</v>
      </c>
      <c r="C1398">
        <v>-31</v>
      </c>
      <c r="H1398" s="141">
        <v>0</v>
      </c>
      <c r="I1398">
        <f t="shared" si="135"/>
        <v>979</v>
      </c>
      <c r="J1398" s="137">
        <v>0</v>
      </c>
      <c r="K1398">
        <f t="shared" si="134"/>
        <v>945</v>
      </c>
      <c r="L1398" s="53">
        <f t="shared" si="136"/>
        <v>983</v>
      </c>
      <c r="M1398" s="189">
        <v>0.79</v>
      </c>
      <c r="N1398" s="186">
        <f>VLOOKUP(3046,季財報!A:M,8,0)</f>
        <v>5</v>
      </c>
    </row>
    <row r="1399" spans="1:14">
      <c r="A1399" s="133">
        <v>3054</v>
      </c>
      <c r="C1399">
        <v>-30</v>
      </c>
      <c r="H1399" s="141">
        <v>0</v>
      </c>
      <c r="I1399">
        <f t="shared" si="135"/>
        <v>979</v>
      </c>
      <c r="J1399" s="137">
        <v>0</v>
      </c>
      <c r="K1399">
        <f t="shared" si="134"/>
        <v>945</v>
      </c>
      <c r="L1399" s="53">
        <f t="shared" si="136"/>
        <v>983</v>
      </c>
      <c r="M1399" s="189">
        <v>0.79</v>
      </c>
      <c r="N1399" s="186">
        <f>VLOOKUP(3054,季財報!A:M,8,0)</f>
        <v>1</v>
      </c>
    </row>
    <row r="1400" spans="1:14">
      <c r="A1400" s="133">
        <v>3055</v>
      </c>
      <c r="C1400">
        <v>0</v>
      </c>
      <c r="H1400" s="141">
        <v>0</v>
      </c>
      <c r="I1400">
        <f t="shared" si="135"/>
        <v>979</v>
      </c>
      <c r="J1400" s="137">
        <v>0</v>
      </c>
      <c r="K1400">
        <f t="shared" ref="K1400:K1463" si="137">RANK(0,J:J,0)</f>
        <v>945</v>
      </c>
      <c r="L1400" s="53">
        <f t="shared" si="136"/>
        <v>983</v>
      </c>
      <c r="M1400" s="189">
        <v>0.79</v>
      </c>
      <c r="N1400" s="186">
        <f>VLOOKUP(3055,季財報!A:M,8,0)</f>
        <v>0</v>
      </c>
    </row>
    <row r="1401" spans="1:14">
      <c r="A1401" s="133">
        <v>3057</v>
      </c>
      <c r="C1401">
        <v>-12</v>
      </c>
      <c r="H1401" s="141">
        <v>0</v>
      </c>
      <c r="I1401">
        <f t="shared" si="135"/>
        <v>979</v>
      </c>
      <c r="J1401" s="137">
        <v>0</v>
      </c>
      <c r="K1401">
        <f t="shared" si="137"/>
        <v>945</v>
      </c>
      <c r="L1401" s="53">
        <f t="shared" si="136"/>
        <v>983</v>
      </c>
      <c r="M1401" s="189">
        <v>3.11</v>
      </c>
      <c r="N1401" s="186">
        <f>VLOOKUP(3057,季財報!A:M,8,0)</f>
        <v>2</v>
      </c>
    </row>
    <row r="1402" spans="1:14">
      <c r="A1402" s="133">
        <v>3064</v>
      </c>
      <c r="C1402">
        <v>-34</v>
      </c>
      <c r="H1402" s="141">
        <v>0</v>
      </c>
      <c r="I1402">
        <f t="shared" si="135"/>
        <v>979</v>
      </c>
      <c r="J1402" s="137">
        <v>0</v>
      </c>
      <c r="K1402">
        <f t="shared" si="137"/>
        <v>945</v>
      </c>
      <c r="L1402" s="53">
        <f t="shared" si="136"/>
        <v>983</v>
      </c>
      <c r="M1402" s="189">
        <v>1.01</v>
      </c>
      <c r="N1402" s="186">
        <f>VLOOKUP(3064,季財報!A:M,8,0)</f>
        <v>2</v>
      </c>
    </row>
    <row r="1403" spans="1:14">
      <c r="A1403" s="133">
        <v>3066</v>
      </c>
      <c r="C1403">
        <v>-55</v>
      </c>
      <c r="H1403" s="141">
        <v>0</v>
      </c>
      <c r="I1403">
        <f t="shared" si="135"/>
        <v>979</v>
      </c>
      <c r="J1403" s="137">
        <v>0</v>
      </c>
      <c r="K1403">
        <f t="shared" si="137"/>
        <v>945</v>
      </c>
      <c r="L1403" s="53">
        <f t="shared" si="136"/>
        <v>983</v>
      </c>
      <c r="M1403" s="189">
        <v>0.79</v>
      </c>
      <c r="N1403" s="186">
        <f>VLOOKUP(3066,季財報!A:M,8,0)</f>
        <v>1</v>
      </c>
    </row>
    <row r="1404" spans="1:14">
      <c r="A1404" s="133">
        <v>3067</v>
      </c>
      <c r="C1404">
        <v>-10</v>
      </c>
      <c r="H1404" s="141">
        <v>0</v>
      </c>
      <c r="I1404">
        <f t="shared" si="135"/>
        <v>979</v>
      </c>
      <c r="J1404" s="137">
        <v>0</v>
      </c>
      <c r="K1404">
        <f t="shared" si="137"/>
        <v>945</v>
      </c>
      <c r="L1404" s="53">
        <f t="shared" si="136"/>
        <v>983</v>
      </c>
      <c r="M1404" s="189">
        <v>0.79</v>
      </c>
      <c r="N1404" s="186">
        <f>VLOOKUP(3067,季財報!A:M,8,0)</f>
        <v>0</v>
      </c>
    </row>
    <row r="1405" spans="1:14">
      <c r="A1405" s="133">
        <v>3071</v>
      </c>
      <c r="C1405">
        <v>4</v>
      </c>
      <c r="D1405">
        <v>821</v>
      </c>
      <c r="E1405">
        <v>520</v>
      </c>
      <c r="F1405">
        <v>1510</v>
      </c>
      <c r="G1405">
        <v>326</v>
      </c>
      <c r="H1405" s="141">
        <v>0</v>
      </c>
      <c r="I1405">
        <f t="shared" si="135"/>
        <v>979</v>
      </c>
      <c r="J1405" s="137">
        <v>0</v>
      </c>
      <c r="K1405">
        <f t="shared" si="137"/>
        <v>945</v>
      </c>
      <c r="L1405" s="53">
        <f t="shared" si="136"/>
        <v>983</v>
      </c>
      <c r="M1405" s="189">
        <v>0.79</v>
      </c>
      <c r="N1405" s="186">
        <f>VLOOKUP(3071,季財報!A:M,8,0)</f>
        <v>0</v>
      </c>
    </row>
    <row r="1406" spans="1:14">
      <c r="A1406" s="133">
        <v>3073</v>
      </c>
      <c r="C1406">
        <v>-6</v>
      </c>
      <c r="H1406" s="141">
        <v>0</v>
      </c>
      <c r="I1406">
        <f t="shared" si="135"/>
        <v>979</v>
      </c>
      <c r="J1406" s="137">
        <v>0</v>
      </c>
      <c r="K1406">
        <f t="shared" si="137"/>
        <v>945</v>
      </c>
      <c r="L1406" s="53">
        <f t="shared" si="136"/>
        <v>983</v>
      </c>
      <c r="M1406" s="189">
        <v>0.87</v>
      </c>
      <c r="N1406" s="186">
        <f>VLOOKUP(3073,季財報!A:M,8,0)</f>
        <v>1</v>
      </c>
    </row>
    <row r="1407" spans="1:14">
      <c r="A1407" s="133">
        <v>3083</v>
      </c>
      <c r="C1407">
        <v>-76</v>
      </c>
      <c r="H1407" s="141">
        <v>0</v>
      </c>
      <c r="I1407">
        <f t="shared" si="135"/>
        <v>979</v>
      </c>
      <c r="J1407" s="137">
        <v>0</v>
      </c>
      <c r="K1407">
        <f t="shared" si="137"/>
        <v>945</v>
      </c>
      <c r="L1407" s="53">
        <f t="shared" si="136"/>
        <v>983</v>
      </c>
      <c r="M1407" s="189">
        <v>0.79</v>
      </c>
      <c r="N1407" s="186">
        <f>VLOOKUP(3083,季財報!A:M,8,0)</f>
        <v>2</v>
      </c>
    </row>
    <row r="1408" spans="1:14">
      <c r="A1408" s="133">
        <v>3085</v>
      </c>
      <c r="C1408">
        <v>1</v>
      </c>
      <c r="D1408">
        <v>278</v>
      </c>
      <c r="E1408">
        <v>4</v>
      </c>
      <c r="F1408">
        <v>307</v>
      </c>
      <c r="G1408">
        <v>0</v>
      </c>
      <c r="H1408" s="141">
        <v>0</v>
      </c>
      <c r="I1408">
        <f t="shared" si="135"/>
        <v>979</v>
      </c>
      <c r="J1408" s="137">
        <v>0</v>
      </c>
      <c r="K1408">
        <f t="shared" si="137"/>
        <v>945</v>
      </c>
      <c r="L1408" s="53">
        <f t="shared" si="136"/>
        <v>983</v>
      </c>
      <c r="M1408" s="189">
        <v>0.79</v>
      </c>
      <c r="N1408" s="186">
        <f>VLOOKUP(3085,季財報!A:M,8,0)</f>
        <v>3</v>
      </c>
    </row>
    <row r="1409" spans="1:14">
      <c r="A1409" s="133">
        <v>3086</v>
      </c>
      <c r="C1409">
        <v>-27</v>
      </c>
      <c r="H1409" s="141">
        <v>0</v>
      </c>
      <c r="I1409">
        <f t="shared" si="135"/>
        <v>979</v>
      </c>
      <c r="J1409" s="137">
        <v>0</v>
      </c>
      <c r="K1409">
        <f t="shared" si="137"/>
        <v>945</v>
      </c>
      <c r="L1409" s="53">
        <f t="shared" si="136"/>
        <v>983</v>
      </c>
      <c r="M1409" s="189">
        <v>0.79</v>
      </c>
      <c r="N1409" s="186">
        <f>VLOOKUP(3086,季財報!A:M,8,0)</f>
        <v>3</v>
      </c>
    </row>
    <row r="1410" spans="1:14">
      <c r="A1410" s="133">
        <v>3089</v>
      </c>
      <c r="C1410">
        <v>-63</v>
      </c>
      <c r="H1410" s="141">
        <v>0</v>
      </c>
      <c r="I1410">
        <f t="shared" si="135"/>
        <v>979</v>
      </c>
      <c r="J1410" s="137">
        <v>0</v>
      </c>
      <c r="K1410">
        <f t="shared" si="137"/>
        <v>945</v>
      </c>
      <c r="L1410" s="53">
        <f t="shared" si="136"/>
        <v>983</v>
      </c>
      <c r="M1410" s="189">
        <v>0.79</v>
      </c>
      <c r="N1410" s="186">
        <f>VLOOKUP(3089,季財報!A:M,8,0)</f>
        <v>1</v>
      </c>
    </row>
    <row r="1411" spans="1:14">
      <c r="A1411" s="133">
        <v>3095</v>
      </c>
      <c r="C1411">
        <v>-344</v>
      </c>
      <c r="H1411" s="141">
        <v>0</v>
      </c>
      <c r="I1411">
        <f t="shared" si="135"/>
        <v>979</v>
      </c>
      <c r="J1411" s="137">
        <v>0</v>
      </c>
      <c r="K1411">
        <f t="shared" si="137"/>
        <v>945</v>
      </c>
      <c r="L1411" s="53">
        <f t="shared" si="136"/>
        <v>983</v>
      </c>
      <c r="M1411" s="189">
        <v>0.79</v>
      </c>
      <c r="N1411" s="186">
        <f>VLOOKUP(3095,季財報!A:M,8,0)</f>
        <v>2</v>
      </c>
    </row>
    <row r="1412" spans="1:14">
      <c r="A1412" s="133">
        <v>3115</v>
      </c>
      <c r="C1412">
        <v>-2</v>
      </c>
      <c r="H1412" s="141">
        <v>0</v>
      </c>
      <c r="I1412">
        <f t="shared" si="135"/>
        <v>979</v>
      </c>
      <c r="J1412" s="137">
        <v>0</v>
      </c>
      <c r="K1412">
        <f t="shared" si="137"/>
        <v>945</v>
      </c>
      <c r="L1412" s="53">
        <f t="shared" si="136"/>
        <v>983</v>
      </c>
      <c r="M1412" s="189">
        <v>0.79</v>
      </c>
      <c r="N1412" s="186">
        <f>VLOOKUP(3115,季財報!A:M,8,0)</f>
        <v>1</v>
      </c>
    </row>
    <row r="1413" spans="1:14">
      <c r="A1413" s="133">
        <v>3122</v>
      </c>
      <c r="C1413">
        <v>-3</v>
      </c>
      <c r="H1413" s="141">
        <v>0</v>
      </c>
      <c r="I1413">
        <f t="shared" si="135"/>
        <v>979</v>
      </c>
      <c r="J1413" s="137">
        <v>0</v>
      </c>
      <c r="K1413">
        <f t="shared" si="137"/>
        <v>945</v>
      </c>
      <c r="L1413" s="53">
        <f t="shared" si="136"/>
        <v>983</v>
      </c>
      <c r="M1413" s="189">
        <v>1.58</v>
      </c>
      <c r="N1413" s="186">
        <f>VLOOKUP(3122,季財報!A:M,8,0)</f>
        <v>1</v>
      </c>
    </row>
    <row r="1414" spans="1:14">
      <c r="A1414" s="133">
        <v>3126</v>
      </c>
      <c r="C1414">
        <v>-11</v>
      </c>
      <c r="H1414" s="141">
        <v>0</v>
      </c>
      <c r="I1414">
        <f t="shared" si="135"/>
        <v>979</v>
      </c>
      <c r="J1414" s="137">
        <v>0</v>
      </c>
      <c r="K1414">
        <f t="shared" si="137"/>
        <v>945</v>
      </c>
      <c r="L1414" s="53">
        <f t="shared" si="136"/>
        <v>983</v>
      </c>
      <c r="M1414" s="189">
        <v>0.79</v>
      </c>
      <c r="N1414" s="186" t="e">
        <f>VLOOKUP(3126,季財報!A:M,8,0)</f>
        <v>#N/A</v>
      </c>
    </row>
    <row r="1415" spans="1:14">
      <c r="A1415" s="133">
        <v>3128</v>
      </c>
      <c r="C1415">
        <v>-4</v>
      </c>
      <c r="H1415" s="141">
        <v>0</v>
      </c>
      <c r="I1415">
        <f t="shared" si="135"/>
        <v>979</v>
      </c>
      <c r="J1415" s="137">
        <v>0</v>
      </c>
      <c r="K1415">
        <f t="shared" si="137"/>
        <v>945</v>
      </c>
      <c r="L1415" s="53">
        <f t="shared" si="136"/>
        <v>983</v>
      </c>
      <c r="M1415" s="189">
        <v>0.87</v>
      </c>
      <c r="N1415" s="186">
        <f>VLOOKUP(3128,季財報!A:M,8,0)</f>
        <v>2</v>
      </c>
    </row>
    <row r="1416" spans="1:14">
      <c r="A1416" s="133">
        <v>3149</v>
      </c>
      <c r="C1416">
        <v>-408</v>
      </c>
      <c r="H1416" s="141">
        <v>0</v>
      </c>
      <c r="I1416">
        <f t="shared" si="135"/>
        <v>979</v>
      </c>
      <c r="J1416" s="137">
        <v>0</v>
      </c>
      <c r="K1416">
        <f t="shared" si="137"/>
        <v>945</v>
      </c>
      <c r="L1416" s="53">
        <f t="shared" si="136"/>
        <v>983</v>
      </c>
      <c r="M1416" s="189">
        <v>1.84</v>
      </c>
      <c r="N1416" s="186">
        <f>VLOOKUP(3149,季財報!A:M,8,0)</f>
        <v>3</v>
      </c>
    </row>
    <row r="1417" spans="1:14">
      <c r="A1417" s="133">
        <v>3163</v>
      </c>
      <c r="C1417">
        <v>-30</v>
      </c>
      <c r="H1417" s="141">
        <v>0</v>
      </c>
      <c r="I1417">
        <f t="shared" si="135"/>
        <v>979</v>
      </c>
      <c r="J1417" s="137">
        <v>0</v>
      </c>
      <c r="K1417">
        <f t="shared" si="137"/>
        <v>945</v>
      </c>
      <c r="L1417" s="53">
        <f t="shared" si="136"/>
        <v>983</v>
      </c>
      <c r="M1417" s="189">
        <v>0.79</v>
      </c>
      <c r="N1417" s="186">
        <f>VLOOKUP(3163,季財報!A:M,8,0)</f>
        <v>1</v>
      </c>
    </row>
    <row r="1418" spans="1:14">
      <c r="A1418" s="133">
        <v>3176</v>
      </c>
      <c r="C1418">
        <v>-171</v>
      </c>
      <c r="H1418" s="141">
        <v>0</v>
      </c>
      <c r="I1418">
        <f t="shared" si="135"/>
        <v>979</v>
      </c>
      <c r="J1418" s="137">
        <v>0</v>
      </c>
      <c r="K1418">
        <f t="shared" si="137"/>
        <v>945</v>
      </c>
      <c r="L1418" s="53">
        <f t="shared" si="136"/>
        <v>983</v>
      </c>
      <c r="M1418" s="189">
        <v>0.79</v>
      </c>
      <c r="N1418" s="186">
        <f>VLOOKUP(3176,季財報!A:M,8,0)</f>
        <v>2</v>
      </c>
    </row>
    <row r="1419" spans="1:14">
      <c r="A1419" s="133">
        <v>3188</v>
      </c>
      <c r="C1419">
        <v>-2</v>
      </c>
      <c r="H1419" s="141">
        <v>0</v>
      </c>
      <c r="I1419">
        <f t="shared" si="135"/>
        <v>979</v>
      </c>
      <c r="J1419" s="137">
        <v>0</v>
      </c>
      <c r="K1419">
        <f t="shared" si="137"/>
        <v>945</v>
      </c>
      <c r="L1419" s="53">
        <f t="shared" si="136"/>
        <v>983</v>
      </c>
      <c r="M1419" s="189">
        <v>0.79</v>
      </c>
      <c r="N1419" s="186">
        <f>VLOOKUP(3188,季財報!A:M,8,0)</f>
        <v>5</v>
      </c>
    </row>
    <row r="1420" spans="1:14">
      <c r="A1420" s="133">
        <v>3191</v>
      </c>
      <c r="C1420">
        <v>-11</v>
      </c>
      <c r="H1420" s="141">
        <v>0</v>
      </c>
      <c r="I1420">
        <f t="shared" si="135"/>
        <v>979</v>
      </c>
      <c r="J1420" s="137">
        <v>0</v>
      </c>
      <c r="K1420">
        <f t="shared" si="137"/>
        <v>945</v>
      </c>
      <c r="L1420" s="53">
        <f t="shared" si="136"/>
        <v>983</v>
      </c>
      <c r="M1420" s="189">
        <v>0.79</v>
      </c>
      <c r="N1420" s="186">
        <f>VLOOKUP(3191,季財報!A:M,8,0)</f>
        <v>2</v>
      </c>
    </row>
    <row r="1421" spans="1:14">
      <c r="A1421" s="133">
        <v>3202</v>
      </c>
      <c r="C1421">
        <v>-3</v>
      </c>
      <c r="H1421" s="141">
        <v>0</v>
      </c>
      <c r="I1421">
        <f t="shared" si="135"/>
        <v>979</v>
      </c>
      <c r="J1421" s="137">
        <v>0</v>
      </c>
      <c r="K1421">
        <f t="shared" si="137"/>
        <v>945</v>
      </c>
      <c r="L1421" s="53">
        <f t="shared" si="136"/>
        <v>983</v>
      </c>
      <c r="M1421" s="189">
        <v>0.79</v>
      </c>
      <c r="N1421" s="186">
        <f>VLOOKUP(3202,季財報!A:M,8,0)</f>
        <v>2</v>
      </c>
    </row>
    <row r="1422" spans="1:14">
      <c r="A1422" s="133">
        <v>3207</v>
      </c>
      <c r="C1422">
        <v>-13</v>
      </c>
      <c r="H1422" s="141">
        <v>0</v>
      </c>
      <c r="I1422">
        <f t="shared" si="135"/>
        <v>979</v>
      </c>
      <c r="J1422" s="137">
        <v>0</v>
      </c>
      <c r="K1422">
        <f t="shared" si="137"/>
        <v>945</v>
      </c>
      <c r="L1422" s="53">
        <f t="shared" si="136"/>
        <v>983</v>
      </c>
      <c r="M1422" s="189">
        <v>0.79</v>
      </c>
      <c r="N1422" s="186">
        <f>VLOOKUP(3207,季財報!A:M,8,0)</f>
        <v>3</v>
      </c>
    </row>
    <row r="1423" spans="1:14">
      <c r="A1423" s="133">
        <v>3228</v>
      </c>
      <c r="C1423">
        <v>-21</v>
      </c>
      <c r="H1423" s="141">
        <v>0</v>
      </c>
      <c r="I1423">
        <f t="shared" si="135"/>
        <v>979</v>
      </c>
      <c r="J1423" s="137">
        <v>0</v>
      </c>
      <c r="K1423">
        <f t="shared" si="137"/>
        <v>945</v>
      </c>
      <c r="L1423" s="53">
        <f t="shared" si="136"/>
        <v>983</v>
      </c>
      <c r="M1423" s="189">
        <v>0.79</v>
      </c>
      <c r="N1423" s="186">
        <f>VLOOKUP(3228,季財報!A:M,8,0)</f>
        <v>0</v>
      </c>
    </row>
    <row r="1424" spans="1:14">
      <c r="A1424" s="133">
        <v>3229</v>
      </c>
      <c r="C1424">
        <v>-16</v>
      </c>
      <c r="H1424" s="141">
        <v>0</v>
      </c>
      <c r="I1424">
        <f t="shared" si="135"/>
        <v>979</v>
      </c>
      <c r="J1424" s="137">
        <v>0</v>
      </c>
      <c r="K1424">
        <f t="shared" si="137"/>
        <v>945</v>
      </c>
      <c r="L1424" s="53">
        <f t="shared" si="136"/>
        <v>983</v>
      </c>
      <c r="M1424" s="189">
        <v>0.79</v>
      </c>
      <c r="N1424" s="186">
        <f>VLOOKUP(3229,季財報!A:M,8,0)</f>
        <v>0</v>
      </c>
    </row>
    <row r="1425" spans="1:14">
      <c r="A1425" s="133">
        <v>3230</v>
      </c>
      <c r="C1425">
        <v>-27</v>
      </c>
      <c r="H1425" s="141">
        <v>0</v>
      </c>
      <c r="I1425">
        <f t="shared" si="135"/>
        <v>979</v>
      </c>
      <c r="J1425" s="137">
        <v>0</v>
      </c>
      <c r="K1425">
        <f t="shared" si="137"/>
        <v>945</v>
      </c>
      <c r="L1425" s="53">
        <f t="shared" si="136"/>
        <v>983</v>
      </c>
      <c r="M1425" s="189">
        <v>1.36</v>
      </c>
      <c r="N1425" s="186">
        <f>VLOOKUP(3230,季財報!A:M,8,0)</f>
        <v>0</v>
      </c>
    </row>
    <row r="1426" spans="1:14">
      <c r="A1426" s="133">
        <v>3232</v>
      </c>
      <c r="C1426">
        <v>-9</v>
      </c>
      <c r="H1426" s="141">
        <v>0</v>
      </c>
      <c r="I1426">
        <f t="shared" si="135"/>
        <v>979</v>
      </c>
      <c r="J1426" s="137">
        <v>0</v>
      </c>
      <c r="K1426">
        <f t="shared" si="137"/>
        <v>945</v>
      </c>
      <c r="L1426" s="53">
        <f t="shared" si="136"/>
        <v>983</v>
      </c>
      <c r="M1426" s="189">
        <v>0.79</v>
      </c>
      <c r="N1426" s="186">
        <f>VLOOKUP(3232,季財報!A:M,8,0)</f>
        <v>1</v>
      </c>
    </row>
    <row r="1427" spans="1:14">
      <c r="A1427" s="133">
        <v>3259</v>
      </c>
      <c r="C1427">
        <v>-57</v>
      </c>
      <c r="H1427" s="141">
        <v>0</v>
      </c>
      <c r="I1427">
        <f t="shared" si="135"/>
        <v>979</v>
      </c>
      <c r="J1427" s="137">
        <v>0</v>
      </c>
      <c r="K1427">
        <f t="shared" si="137"/>
        <v>945</v>
      </c>
      <c r="L1427" s="53">
        <f t="shared" si="136"/>
        <v>983</v>
      </c>
      <c r="M1427" s="189">
        <v>9.26</v>
      </c>
      <c r="N1427" s="186">
        <f>VLOOKUP(3259,季財報!A:M,8,0)</f>
        <v>1</v>
      </c>
    </row>
    <row r="1428" spans="1:14">
      <c r="A1428" s="133">
        <v>3260</v>
      </c>
      <c r="C1428">
        <v>7</v>
      </c>
      <c r="D1428">
        <v>2128</v>
      </c>
      <c r="E1428">
        <v>5133</v>
      </c>
      <c r="F1428">
        <v>7419</v>
      </c>
      <c r="G1428">
        <v>5434</v>
      </c>
      <c r="H1428" s="141">
        <v>0</v>
      </c>
      <c r="I1428">
        <f t="shared" si="135"/>
        <v>979</v>
      </c>
      <c r="J1428" s="137">
        <v>0</v>
      </c>
      <c r="K1428">
        <f t="shared" si="137"/>
        <v>945</v>
      </c>
      <c r="L1428" s="53">
        <f t="shared" si="136"/>
        <v>983</v>
      </c>
      <c r="M1428" s="189">
        <v>0.79</v>
      </c>
      <c r="N1428" s="186">
        <f>VLOOKUP(3260,季財報!A:M,8,0)</f>
        <v>2</v>
      </c>
    </row>
    <row r="1429" spans="1:14">
      <c r="A1429" s="133">
        <v>3265</v>
      </c>
      <c r="C1429">
        <v>-160</v>
      </c>
      <c r="H1429" s="141">
        <v>0</v>
      </c>
      <c r="I1429">
        <f t="shared" si="135"/>
        <v>979</v>
      </c>
      <c r="J1429" s="137">
        <v>0</v>
      </c>
      <c r="K1429">
        <f t="shared" si="137"/>
        <v>945</v>
      </c>
      <c r="L1429" s="53">
        <f t="shared" si="136"/>
        <v>983</v>
      </c>
      <c r="M1429" s="189">
        <v>0.79</v>
      </c>
      <c r="N1429" s="186">
        <f>VLOOKUP(3265,季財報!A:M,8,0)</f>
        <v>4</v>
      </c>
    </row>
    <row r="1430" spans="1:14">
      <c r="A1430" s="133">
        <v>3266</v>
      </c>
      <c r="C1430">
        <v>-619</v>
      </c>
      <c r="H1430" s="141">
        <v>0</v>
      </c>
      <c r="I1430">
        <f t="shared" si="135"/>
        <v>979</v>
      </c>
      <c r="J1430" s="137">
        <v>0</v>
      </c>
      <c r="K1430">
        <f t="shared" si="137"/>
        <v>945</v>
      </c>
      <c r="L1430" s="53">
        <f t="shared" si="136"/>
        <v>983</v>
      </c>
      <c r="M1430" s="189">
        <v>0.79</v>
      </c>
      <c r="N1430" s="186">
        <f>VLOOKUP(3266,季財報!A:M,8,0)</f>
        <v>3</v>
      </c>
    </row>
    <row r="1431" spans="1:14">
      <c r="A1431" s="133">
        <v>3268</v>
      </c>
      <c r="C1431">
        <v>-5</v>
      </c>
      <c r="H1431" s="141">
        <v>0</v>
      </c>
      <c r="I1431">
        <f t="shared" si="135"/>
        <v>979</v>
      </c>
      <c r="J1431" s="137">
        <v>0</v>
      </c>
      <c r="K1431">
        <f t="shared" si="137"/>
        <v>945</v>
      </c>
      <c r="L1431" s="53">
        <f t="shared" si="136"/>
        <v>983</v>
      </c>
      <c r="M1431" s="189">
        <v>1.84</v>
      </c>
      <c r="N1431" s="186">
        <f>VLOOKUP(3268,季財報!A:M,8,0)</f>
        <v>2</v>
      </c>
    </row>
    <row r="1432" spans="1:14">
      <c r="A1432" s="133">
        <v>3276</v>
      </c>
      <c r="C1432">
        <v>-2</v>
      </c>
      <c r="H1432" s="141">
        <v>0</v>
      </c>
      <c r="I1432">
        <f t="shared" ref="I1432:I1495" si="138">RANK(0,H:H,0)</f>
        <v>979</v>
      </c>
      <c r="J1432" s="137">
        <v>0</v>
      </c>
      <c r="K1432">
        <f t="shared" si="137"/>
        <v>945</v>
      </c>
      <c r="L1432" s="53">
        <f t="shared" ref="L1432:L1495" si="139">RANK(0.79,M:M,0)</f>
        <v>983</v>
      </c>
      <c r="M1432" s="189">
        <v>1.9</v>
      </c>
      <c r="N1432" s="186">
        <f>VLOOKUP(3276,季財報!A:M,8,0)</f>
        <v>2</v>
      </c>
    </row>
    <row r="1433" spans="1:14">
      <c r="A1433" s="133">
        <v>3284</v>
      </c>
      <c r="C1433">
        <v>0</v>
      </c>
      <c r="H1433" s="141">
        <v>0</v>
      </c>
      <c r="I1433">
        <f t="shared" si="138"/>
        <v>979</v>
      </c>
      <c r="J1433" s="137">
        <v>0</v>
      </c>
      <c r="K1433">
        <f t="shared" si="137"/>
        <v>945</v>
      </c>
      <c r="L1433" s="53">
        <f t="shared" si="139"/>
        <v>983</v>
      </c>
      <c r="M1433" s="189">
        <v>0.79</v>
      </c>
      <c r="N1433" s="186">
        <f>VLOOKUP(3284,季財報!A:M,8,0)</f>
        <v>4</v>
      </c>
    </row>
    <row r="1434" spans="1:14">
      <c r="A1434" s="133">
        <v>3287</v>
      </c>
      <c r="C1434">
        <v>-13</v>
      </c>
      <c r="H1434" s="141">
        <v>0</v>
      </c>
      <c r="I1434">
        <f t="shared" si="138"/>
        <v>979</v>
      </c>
      <c r="J1434" s="137">
        <v>0</v>
      </c>
      <c r="K1434">
        <f t="shared" si="137"/>
        <v>945</v>
      </c>
      <c r="L1434" s="53">
        <f t="shared" si="139"/>
        <v>983</v>
      </c>
      <c r="M1434" s="189">
        <v>0.79</v>
      </c>
      <c r="N1434" s="186">
        <f>VLOOKUP(3287,季財報!A:M,8,0)</f>
        <v>3</v>
      </c>
    </row>
    <row r="1435" spans="1:14">
      <c r="A1435" s="133">
        <v>3288</v>
      </c>
      <c r="C1435">
        <v>-15</v>
      </c>
      <c r="H1435" s="141">
        <v>0</v>
      </c>
      <c r="I1435">
        <f t="shared" si="138"/>
        <v>979</v>
      </c>
      <c r="J1435" s="137">
        <v>0</v>
      </c>
      <c r="K1435">
        <f t="shared" si="137"/>
        <v>945</v>
      </c>
      <c r="L1435" s="53">
        <f t="shared" si="139"/>
        <v>983</v>
      </c>
      <c r="M1435" s="189">
        <v>3.37</v>
      </c>
      <c r="N1435" s="186">
        <f>VLOOKUP(3288,季財報!A:M,8,0)</f>
        <v>3</v>
      </c>
    </row>
    <row r="1436" spans="1:14">
      <c r="A1436" s="133">
        <v>3291</v>
      </c>
      <c r="C1436">
        <v>1</v>
      </c>
      <c r="D1436">
        <v>496</v>
      </c>
      <c r="E1436">
        <v>36</v>
      </c>
      <c r="F1436">
        <v>563</v>
      </c>
      <c r="G1436">
        <v>0</v>
      </c>
      <c r="H1436" s="141">
        <v>0</v>
      </c>
      <c r="I1436">
        <f t="shared" si="138"/>
        <v>979</v>
      </c>
      <c r="J1436" s="137">
        <v>0</v>
      </c>
      <c r="K1436">
        <f t="shared" si="137"/>
        <v>945</v>
      </c>
      <c r="L1436" s="53">
        <f t="shared" si="139"/>
        <v>983</v>
      </c>
      <c r="M1436" s="189">
        <v>0.79</v>
      </c>
      <c r="N1436" s="186">
        <f>VLOOKUP(3291,季財報!A:M,8,0)</f>
        <v>3</v>
      </c>
    </row>
    <row r="1437" spans="1:14">
      <c r="A1437" s="133">
        <v>3297</v>
      </c>
      <c r="C1437">
        <v>3</v>
      </c>
      <c r="D1437">
        <v>388</v>
      </c>
      <c r="E1437">
        <v>453</v>
      </c>
      <c r="F1437">
        <v>867</v>
      </c>
      <c r="G1437">
        <v>2</v>
      </c>
      <c r="H1437" s="141">
        <v>0</v>
      </c>
      <c r="I1437">
        <f t="shared" si="138"/>
        <v>979</v>
      </c>
      <c r="J1437" s="137">
        <v>0</v>
      </c>
      <c r="K1437">
        <f t="shared" si="137"/>
        <v>945</v>
      </c>
      <c r="L1437" s="53">
        <f t="shared" si="139"/>
        <v>983</v>
      </c>
      <c r="M1437" s="189">
        <v>1.36</v>
      </c>
      <c r="N1437" s="186">
        <f>VLOOKUP(3297,季財報!A:M,8,0)</f>
        <v>1</v>
      </c>
    </row>
    <row r="1438" spans="1:14">
      <c r="A1438" s="133">
        <v>3308</v>
      </c>
      <c r="C1438">
        <v>6</v>
      </c>
      <c r="D1438">
        <v>954</v>
      </c>
      <c r="E1438">
        <v>589</v>
      </c>
      <c r="F1438">
        <v>1180</v>
      </c>
      <c r="G1438">
        <v>652</v>
      </c>
      <c r="H1438" s="141">
        <v>0</v>
      </c>
      <c r="I1438">
        <f t="shared" si="138"/>
        <v>979</v>
      </c>
      <c r="J1438" s="137">
        <v>0</v>
      </c>
      <c r="K1438">
        <f t="shared" si="137"/>
        <v>945</v>
      </c>
      <c r="L1438" s="53">
        <f t="shared" si="139"/>
        <v>983</v>
      </c>
      <c r="M1438" s="189">
        <v>0.79</v>
      </c>
      <c r="N1438" s="186">
        <f>VLOOKUP(3308,季財報!A:M,8,0)</f>
        <v>2</v>
      </c>
    </row>
    <row r="1439" spans="1:14">
      <c r="A1439" s="133">
        <v>3311</v>
      </c>
      <c r="C1439">
        <v>11</v>
      </c>
      <c r="D1439">
        <v>3990</v>
      </c>
      <c r="E1439">
        <v>1151</v>
      </c>
      <c r="F1439">
        <v>4482</v>
      </c>
      <c r="G1439">
        <v>0</v>
      </c>
      <c r="H1439" s="141">
        <v>0</v>
      </c>
      <c r="I1439">
        <f t="shared" si="138"/>
        <v>979</v>
      </c>
      <c r="J1439" s="137">
        <v>0</v>
      </c>
      <c r="K1439">
        <f t="shared" si="137"/>
        <v>945</v>
      </c>
      <c r="L1439" s="53">
        <f t="shared" si="139"/>
        <v>983</v>
      </c>
      <c r="M1439" s="189">
        <v>0.79</v>
      </c>
      <c r="N1439" s="186">
        <f>VLOOKUP(3311,季財報!A:M,8,0)</f>
        <v>4</v>
      </c>
    </row>
    <row r="1440" spans="1:14">
      <c r="A1440" s="133">
        <v>3312</v>
      </c>
      <c r="C1440">
        <v>-53</v>
      </c>
      <c r="H1440" s="141">
        <v>0</v>
      </c>
      <c r="I1440">
        <f t="shared" si="138"/>
        <v>979</v>
      </c>
      <c r="J1440" s="137">
        <v>0</v>
      </c>
      <c r="K1440">
        <f t="shared" si="137"/>
        <v>945</v>
      </c>
      <c r="L1440" s="53">
        <f t="shared" si="139"/>
        <v>983</v>
      </c>
      <c r="M1440" s="189">
        <v>0.79</v>
      </c>
      <c r="N1440" s="186">
        <f>VLOOKUP(3312,季財報!A:M,8,0)</f>
        <v>3</v>
      </c>
    </row>
    <row r="1441" spans="1:14">
      <c r="A1441" s="133">
        <v>3313</v>
      </c>
      <c r="C1441">
        <v>-48</v>
      </c>
      <c r="H1441" s="141">
        <v>0</v>
      </c>
      <c r="I1441">
        <f t="shared" si="138"/>
        <v>979</v>
      </c>
      <c r="J1441" s="137">
        <v>0</v>
      </c>
      <c r="K1441">
        <f t="shared" si="137"/>
        <v>945</v>
      </c>
      <c r="L1441" s="53">
        <f t="shared" si="139"/>
        <v>983</v>
      </c>
      <c r="M1441" s="189">
        <v>0.79</v>
      </c>
      <c r="N1441" s="186">
        <f>VLOOKUP(3313,季財報!A:M,8,0)</f>
        <v>4</v>
      </c>
    </row>
    <row r="1442" spans="1:14">
      <c r="A1442" s="133">
        <v>3317</v>
      </c>
      <c r="C1442">
        <v>-15</v>
      </c>
      <c r="H1442" s="141">
        <v>0</v>
      </c>
      <c r="I1442">
        <f t="shared" si="138"/>
        <v>979</v>
      </c>
      <c r="J1442" s="137">
        <v>0</v>
      </c>
      <c r="K1442">
        <f t="shared" si="137"/>
        <v>945</v>
      </c>
      <c r="L1442" s="53">
        <f t="shared" si="139"/>
        <v>983</v>
      </c>
      <c r="M1442" s="189">
        <v>9.26</v>
      </c>
      <c r="N1442" s="186">
        <f>VLOOKUP(3317,季財報!A:M,8,0)</f>
        <v>4</v>
      </c>
    </row>
    <row r="1443" spans="1:14">
      <c r="A1443" s="133">
        <v>3322</v>
      </c>
      <c r="C1443">
        <v>-24</v>
      </c>
      <c r="H1443" s="141">
        <v>0</v>
      </c>
      <c r="I1443">
        <f t="shared" si="138"/>
        <v>979</v>
      </c>
      <c r="J1443" s="137">
        <v>0</v>
      </c>
      <c r="K1443">
        <f t="shared" si="137"/>
        <v>945</v>
      </c>
      <c r="L1443" s="53">
        <f t="shared" si="139"/>
        <v>983</v>
      </c>
      <c r="M1443" s="189">
        <v>1.36</v>
      </c>
      <c r="N1443" s="186">
        <f>VLOOKUP(3322,季財報!A:M,8,0)</f>
        <v>1</v>
      </c>
    </row>
    <row r="1444" spans="1:14">
      <c r="A1444" s="133">
        <v>3325</v>
      </c>
      <c r="C1444">
        <v>-7</v>
      </c>
      <c r="H1444" s="141">
        <v>0</v>
      </c>
      <c r="I1444">
        <f t="shared" si="138"/>
        <v>979</v>
      </c>
      <c r="J1444" s="137">
        <v>0</v>
      </c>
      <c r="K1444">
        <f t="shared" si="137"/>
        <v>945</v>
      </c>
      <c r="L1444" s="53">
        <f t="shared" si="139"/>
        <v>983</v>
      </c>
      <c r="M1444" s="189">
        <v>0.79</v>
      </c>
      <c r="N1444" s="186">
        <f>VLOOKUP(3325,季財報!A:M,8,0)</f>
        <v>3</v>
      </c>
    </row>
    <row r="1445" spans="1:14">
      <c r="A1445" s="133">
        <v>3339</v>
      </c>
      <c r="C1445">
        <v>-229</v>
      </c>
      <c r="H1445" s="141">
        <v>0</v>
      </c>
      <c r="I1445">
        <f t="shared" si="138"/>
        <v>979</v>
      </c>
      <c r="J1445" s="137">
        <v>0</v>
      </c>
      <c r="K1445">
        <f t="shared" si="137"/>
        <v>945</v>
      </c>
      <c r="L1445" s="53">
        <f t="shared" si="139"/>
        <v>983</v>
      </c>
      <c r="M1445" s="189">
        <v>4.05</v>
      </c>
      <c r="N1445" s="186">
        <f>VLOOKUP(3339,季財報!A:M,8,0)</f>
        <v>2</v>
      </c>
    </row>
    <row r="1446" spans="1:14">
      <c r="A1446" s="133">
        <v>3362</v>
      </c>
      <c r="C1446">
        <v>-26</v>
      </c>
      <c r="H1446" s="141">
        <v>0</v>
      </c>
      <c r="I1446">
        <f t="shared" si="138"/>
        <v>979</v>
      </c>
      <c r="J1446" s="137">
        <v>0</v>
      </c>
      <c r="K1446">
        <f t="shared" si="137"/>
        <v>945</v>
      </c>
      <c r="L1446" s="53">
        <f t="shared" si="139"/>
        <v>983</v>
      </c>
      <c r="M1446" s="189">
        <v>1.36</v>
      </c>
      <c r="N1446" s="186">
        <f>VLOOKUP(3362,季財報!A:M,8,0)</f>
        <v>3</v>
      </c>
    </row>
    <row r="1447" spans="1:14">
      <c r="A1447" s="133">
        <v>3363</v>
      </c>
      <c r="C1447">
        <v>-23</v>
      </c>
      <c r="H1447" s="141">
        <v>0</v>
      </c>
      <c r="I1447">
        <f t="shared" si="138"/>
        <v>979</v>
      </c>
      <c r="J1447" s="137">
        <v>0</v>
      </c>
      <c r="K1447">
        <f t="shared" si="137"/>
        <v>945</v>
      </c>
      <c r="L1447" s="53">
        <f t="shared" si="139"/>
        <v>983</v>
      </c>
      <c r="M1447" s="189">
        <v>0.79</v>
      </c>
      <c r="N1447" s="186">
        <f>VLOOKUP(3363,季財報!A:M,8,0)</f>
        <v>3</v>
      </c>
    </row>
    <row r="1448" spans="1:14">
      <c r="A1448" s="133">
        <v>3372</v>
      </c>
      <c r="C1448">
        <v>-82</v>
      </c>
      <c r="H1448" s="141">
        <v>0</v>
      </c>
      <c r="I1448">
        <f t="shared" si="138"/>
        <v>979</v>
      </c>
      <c r="J1448" s="137">
        <v>0</v>
      </c>
      <c r="K1448">
        <f t="shared" si="137"/>
        <v>945</v>
      </c>
      <c r="L1448" s="53">
        <f t="shared" si="139"/>
        <v>983</v>
      </c>
      <c r="M1448" s="189">
        <v>0.79</v>
      </c>
      <c r="N1448" s="186">
        <f>VLOOKUP(3372,季財報!A:M,8,0)</f>
        <v>4</v>
      </c>
    </row>
    <row r="1449" spans="1:14">
      <c r="A1449" s="133">
        <v>3374</v>
      </c>
      <c r="C1449">
        <v>-13</v>
      </c>
      <c r="H1449" s="141">
        <v>0</v>
      </c>
      <c r="I1449">
        <f t="shared" si="138"/>
        <v>979</v>
      </c>
      <c r="J1449" s="137">
        <v>0</v>
      </c>
      <c r="K1449">
        <f t="shared" si="137"/>
        <v>945</v>
      </c>
      <c r="L1449" s="53">
        <f t="shared" si="139"/>
        <v>983</v>
      </c>
      <c r="M1449" s="189">
        <v>0.79</v>
      </c>
      <c r="N1449" s="186">
        <f>VLOOKUP(3374,季財報!A:M,8,0)</f>
        <v>0</v>
      </c>
    </row>
    <row r="1450" spans="1:14">
      <c r="A1450" s="133">
        <v>3379</v>
      </c>
      <c r="C1450">
        <v>-26</v>
      </c>
      <c r="H1450" s="141">
        <v>0</v>
      </c>
      <c r="I1450">
        <f t="shared" si="138"/>
        <v>979</v>
      </c>
      <c r="J1450" s="137">
        <v>0</v>
      </c>
      <c r="K1450">
        <f t="shared" si="137"/>
        <v>945</v>
      </c>
      <c r="L1450" s="53">
        <f t="shared" si="139"/>
        <v>983</v>
      </c>
      <c r="M1450" s="189">
        <v>0.79</v>
      </c>
      <c r="N1450" s="186">
        <f>VLOOKUP(3379,季財報!A:M,8,0)</f>
        <v>2</v>
      </c>
    </row>
    <row r="1451" spans="1:14">
      <c r="A1451" s="133">
        <v>3380</v>
      </c>
      <c r="C1451">
        <v>-16</v>
      </c>
      <c r="H1451" s="141">
        <v>0</v>
      </c>
      <c r="I1451">
        <f t="shared" si="138"/>
        <v>979</v>
      </c>
      <c r="J1451" s="137">
        <v>0</v>
      </c>
      <c r="K1451">
        <f t="shared" si="137"/>
        <v>945</v>
      </c>
      <c r="L1451" s="53">
        <f t="shared" si="139"/>
        <v>983</v>
      </c>
      <c r="M1451" s="189">
        <v>0.79</v>
      </c>
      <c r="N1451" s="186">
        <f>VLOOKUP(3380,季財報!A:M,8,0)</f>
        <v>0</v>
      </c>
    </row>
    <row r="1452" spans="1:14">
      <c r="A1452" s="133">
        <v>3383</v>
      </c>
      <c r="C1452">
        <v>-413</v>
      </c>
      <c r="H1452" s="141">
        <v>0</v>
      </c>
      <c r="I1452">
        <f t="shared" si="138"/>
        <v>979</v>
      </c>
      <c r="J1452" s="137">
        <v>0</v>
      </c>
      <c r="K1452">
        <f t="shared" si="137"/>
        <v>945</v>
      </c>
      <c r="L1452" s="53">
        <f t="shared" si="139"/>
        <v>983</v>
      </c>
      <c r="M1452" s="189">
        <v>0.79</v>
      </c>
      <c r="N1452" s="186">
        <f>VLOOKUP(3383,季財報!A:M,8,0)</f>
        <v>1</v>
      </c>
    </row>
    <row r="1453" spans="1:14">
      <c r="A1453" s="133">
        <v>3390</v>
      </c>
      <c r="C1453">
        <v>-19</v>
      </c>
      <c r="H1453" s="141">
        <v>0</v>
      </c>
      <c r="I1453">
        <f t="shared" si="138"/>
        <v>979</v>
      </c>
      <c r="J1453" s="137">
        <v>0</v>
      </c>
      <c r="K1453">
        <f t="shared" si="137"/>
        <v>945</v>
      </c>
      <c r="L1453" s="53">
        <f t="shared" si="139"/>
        <v>983</v>
      </c>
      <c r="M1453" s="189">
        <v>1.36</v>
      </c>
      <c r="N1453" s="186">
        <f>VLOOKUP(3390,季財報!A:M,8,0)</f>
        <v>2</v>
      </c>
    </row>
    <row r="1454" spans="1:14">
      <c r="A1454" s="133">
        <v>3406</v>
      </c>
      <c r="C1454">
        <v>1</v>
      </c>
      <c r="D1454">
        <v>0</v>
      </c>
      <c r="E1454">
        <v>8621</v>
      </c>
      <c r="F1454">
        <v>7078</v>
      </c>
      <c r="G1454">
        <v>4835</v>
      </c>
      <c r="H1454" s="141">
        <v>0</v>
      </c>
      <c r="I1454">
        <f t="shared" si="138"/>
        <v>979</v>
      </c>
      <c r="J1454" s="137">
        <v>0</v>
      </c>
      <c r="K1454">
        <f t="shared" si="137"/>
        <v>945</v>
      </c>
      <c r="L1454" s="53">
        <f t="shared" si="139"/>
        <v>983</v>
      </c>
      <c r="M1454" s="189">
        <v>1.58</v>
      </c>
      <c r="N1454" s="186">
        <f>VLOOKUP(3406,季財報!A:M,8,0)</f>
        <v>2</v>
      </c>
    </row>
    <row r="1455" spans="1:14">
      <c r="A1455" s="133">
        <v>3419</v>
      </c>
      <c r="C1455">
        <v>2</v>
      </c>
      <c r="D1455">
        <v>830</v>
      </c>
      <c r="E1455">
        <v>580</v>
      </c>
      <c r="F1455">
        <v>1742</v>
      </c>
      <c r="G1455">
        <v>429</v>
      </c>
      <c r="H1455" s="141">
        <v>0</v>
      </c>
      <c r="I1455">
        <f t="shared" si="138"/>
        <v>979</v>
      </c>
      <c r="J1455" s="137">
        <v>0</v>
      </c>
      <c r="K1455">
        <f t="shared" si="137"/>
        <v>945</v>
      </c>
      <c r="L1455" s="53">
        <f t="shared" si="139"/>
        <v>983</v>
      </c>
      <c r="M1455" s="189">
        <v>0.79</v>
      </c>
      <c r="N1455" s="186">
        <f>VLOOKUP(3419,季財報!A:M,8,0)</f>
        <v>5</v>
      </c>
    </row>
    <row r="1456" spans="1:14">
      <c r="A1456" s="133">
        <v>3431</v>
      </c>
      <c r="C1456">
        <v>-23</v>
      </c>
      <c r="H1456" s="141">
        <v>0</v>
      </c>
      <c r="I1456">
        <f t="shared" si="138"/>
        <v>979</v>
      </c>
      <c r="J1456" s="137">
        <v>0</v>
      </c>
      <c r="K1456">
        <f t="shared" si="137"/>
        <v>945</v>
      </c>
      <c r="L1456" s="53">
        <f t="shared" si="139"/>
        <v>983</v>
      </c>
      <c r="M1456" s="189">
        <v>0.79</v>
      </c>
      <c r="N1456" s="186">
        <f>VLOOKUP(3431,季財報!A:M,8,0)</f>
        <v>0</v>
      </c>
    </row>
    <row r="1457" spans="1:14">
      <c r="A1457" s="133">
        <v>3432</v>
      </c>
      <c r="C1457">
        <v>3</v>
      </c>
      <c r="D1457">
        <v>915</v>
      </c>
      <c r="E1457">
        <v>621</v>
      </c>
      <c r="F1457">
        <v>1508</v>
      </c>
      <c r="G1457">
        <v>112</v>
      </c>
      <c r="H1457" s="141">
        <v>0</v>
      </c>
      <c r="I1457">
        <f t="shared" si="138"/>
        <v>979</v>
      </c>
      <c r="J1457" s="137">
        <v>0</v>
      </c>
      <c r="K1457">
        <f t="shared" si="137"/>
        <v>945</v>
      </c>
      <c r="L1457" s="53">
        <f t="shared" si="139"/>
        <v>983</v>
      </c>
      <c r="M1457" s="189">
        <v>1.36</v>
      </c>
      <c r="N1457" s="186">
        <f>VLOOKUP(3432,季財報!A:M,8,0)</f>
        <v>1</v>
      </c>
    </row>
    <row r="1458" spans="1:14">
      <c r="A1458" s="133">
        <v>3438</v>
      </c>
      <c r="C1458">
        <v>-20</v>
      </c>
      <c r="H1458" s="141">
        <v>0</v>
      </c>
      <c r="I1458">
        <f t="shared" si="138"/>
        <v>979</v>
      </c>
      <c r="J1458" s="137">
        <v>0</v>
      </c>
      <c r="K1458">
        <f t="shared" si="137"/>
        <v>945</v>
      </c>
      <c r="L1458" s="53">
        <f t="shared" si="139"/>
        <v>983</v>
      </c>
      <c r="M1458" s="189">
        <v>0.79</v>
      </c>
      <c r="N1458" s="186">
        <f>VLOOKUP(3438,季財報!A:M,8,0)</f>
        <v>0</v>
      </c>
    </row>
    <row r="1459" spans="1:14">
      <c r="A1459" s="133">
        <v>3441</v>
      </c>
      <c r="C1459">
        <v>-1</v>
      </c>
      <c r="H1459" s="141">
        <v>0</v>
      </c>
      <c r="I1459">
        <f t="shared" si="138"/>
        <v>979</v>
      </c>
      <c r="J1459" s="137">
        <v>0</v>
      </c>
      <c r="K1459">
        <f t="shared" si="137"/>
        <v>945</v>
      </c>
      <c r="L1459" s="53">
        <f t="shared" si="139"/>
        <v>983</v>
      </c>
      <c r="M1459" s="189">
        <v>0.79</v>
      </c>
      <c r="N1459" s="186">
        <f>VLOOKUP(3441,季財報!A:M,8,0)</f>
        <v>2</v>
      </c>
    </row>
    <row r="1460" spans="1:14">
      <c r="A1460" s="133">
        <v>3452</v>
      </c>
      <c r="C1460">
        <v>-215</v>
      </c>
      <c r="H1460" s="141">
        <v>0</v>
      </c>
      <c r="I1460">
        <f t="shared" si="138"/>
        <v>979</v>
      </c>
      <c r="J1460" s="137">
        <v>0</v>
      </c>
      <c r="K1460">
        <f t="shared" si="137"/>
        <v>945</v>
      </c>
      <c r="L1460" s="53">
        <f t="shared" si="139"/>
        <v>983</v>
      </c>
      <c r="M1460" s="189">
        <v>7.07</v>
      </c>
      <c r="N1460" s="186">
        <f>VLOOKUP(3452,季財報!A:M,8,0)</f>
        <v>4</v>
      </c>
    </row>
    <row r="1461" spans="1:14">
      <c r="A1461" s="133">
        <v>3465</v>
      </c>
      <c r="C1461">
        <v>-24</v>
      </c>
      <c r="H1461" s="141">
        <v>0</v>
      </c>
      <c r="I1461">
        <f t="shared" si="138"/>
        <v>979</v>
      </c>
      <c r="J1461" s="137">
        <v>0</v>
      </c>
      <c r="K1461">
        <f t="shared" si="137"/>
        <v>945</v>
      </c>
      <c r="L1461" s="53">
        <f t="shared" si="139"/>
        <v>983</v>
      </c>
      <c r="M1461" s="189">
        <v>0.79</v>
      </c>
      <c r="N1461" s="186">
        <f>VLOOKUP(3465,季財報!A:M,8,0)</f>
        <v>0</v>
      </c>
    </row>
    <row r="1462" spans="1:14">
      <c r="A1462" s="133">
        <v>3466</v>
      </c>
      <c r="C1462">
        <v>-17</v>
      </c>
      <c r="H1462" s="141">
        <v>0</v>
      </c>
      <c r="I1462">
        <f t="shared" si="138"/>
        <v>979</v>
      </c>
      <c r="J1462" s="137">
        <v>0</v>
      </c>
      <c r="K1462">
        <f t="shared" si="137"/>
        <v>945</v>
      </c>
      <c r="L1462" s="53">
        <f t="shared" si="139"/>
        <v>983</v>
      </c>
      <c r="M1462" s="189">
        <v>0.79</v>
      </c>
      <c r="N1462" s="186">
        <f>VLOOKUP(3466,季財報!A:M,8,0)</f>
        <v>2</v>
      </c>
    </row>
    <row r="1463" spans="1:14">
      <c r="A1463" s="133">
        <v>3483</v>
      </c>
      <c r="C1463">
        <v>-26</v>
      </c>
      <c r="H1463" s="141">
        <v>0</v>
      </c>
      <c r="I1463">
        <f t="shared" si="138"/>
        <v>979</v>
      </c>
      <c r="J1463" s="137">
        <v>0</v>
      </c>
      <c r="K1463">
        <f t="shared" si="137"/>
        <v>945</v>
      </c>
      <c r="L1463" s="53">
        <f t="shared" si="139"/>
        <v>983</v>
      </c>
      <c r="M1463" s="189">
        <v>0.79</v>
      </c>
      <c r="N1463" s="186">
        <f>VLOOKUP(3483,季財報!A:M,8,0)</f>
        <v>3</v>
      </c>
    </row>
    <row r="1464" spans="1:14">
      <c r="A1464" s="133">
        <v>3494</v>
      </c>
      <c r="C1464">
        <v>3</v>
      </c>
      <c r="D1464">
        <v>642</v>
      </c>
      <c r="E1464">
        <v>1634</v>
      </c>
      <c r="F1464">
        <v>2816</v>
      </c>
      <c r="G1464">
        <v>628</v>
      </c>
      <c r="H1464" s="141">
        <v>0</v>
      </c>
      <c r="I1464">
        <f t="shared" si="138"/>
        <v>979</v>
      </c>
      <c r="J1464" s="137">
        <v>0</v>
      </c>
      <c r="K1464">
        <f t="shared" ref="K1464:K1519" si="140">RANK(0,J:J,0)</f>
        <v>945</v>
      </c>
      <c r="L1464" s="53">
        <f t="shared" si="139"/>
        <v>983</v>
      </c>
      <c r="M1464" s="189">
        <v>0.79</v>
      </c>
      <c r="N1464" s="186">
        <f>VLOOKUP(3494,季財報!A:M,8,0)</f>
        <v>0</v>
      </c>
    </row>
    <row r="1465" spans="1:14">
      <c r="A1465" s="133">
        <v>3508</v>
      </c>
      <c r="C1465">
        <v>-70</v>
      </c>
      <c r="H1465" s="141">
        <v>0</v>
      </c>
      <c r="I1465">
        <f t="shared" si="138"/>
        <v>979</v>
      </c>
      <c r="J1465" s="137">
        <v>0</v>
      </c>
      <c r="K1465">
        <f t="shared" si="140"/>
        <v>945</v>
      </c>
      <c r="L1465" s="53">
        <f t="shared" si="139"/>
        <v>983</v>
      </c>
      <c r="M1465" s="189">
        <v>0.79</v>
      </c>
      <c r="N1465" s="186">
        <f>VLOOKUP(3508,季財報!A:M,8,0)</f>
        <v>3</v>
      </c>
    </row>
    <row r="1466" spans="1:14">
      <c r="A1466" s="133">
        <v>3516</v>
      </c>
      <c r="C1466">
        <v>-37</v>
      </c>
      <c r="H1466" s="141">
        <v>0</v>
      </c>
      <c r="I1466">
        <f t="shared" si="138"/>
        <v>979</v>
      </c>
      <c r="J1466" s="137">
        <v>0</v>
      </c>
      <c r="K1466">
        <f t="shared" si="140"/>
        <v>945</v>
      </c>
      <c r="L1466" s="53">
        <f t="shared" si="139"/>
        <v>983</v>
      </c>
      <c r="M1466" s="189">
        <v>0.79</v>
      </c>
      <c r="N1466" s="186">
        <f>VLOOKUP(3516,季財報!A:M,8,0)</f>
        <v>1</v>
      </c>
    </row>
    <row r="1467" spans="1:14">
      <c r="A1467" s="133">
        <v>3518</v>
      </c>
      <c r="C1467">
        <v>-46</v>
      </c>
      <c r="H1467" s="141">
        <v>0</v>
      </c>
      <c r="I1467">
        <f t="shared" si="138"/>
        <v>979</v>
      </c>
      <c r="J1467" s="137">
        <v>0</v>
      </c>
      <c r="K1467">
        <f t="shared" si="140"/>
        <v>945</v>
      </c>
      <c r="L1467" s="53">
        <f t="shared" si="139"/>
        <v>983</v>
      </c>
      <c r="M1467" s="189">
        <v>0.79</v>
      </c>
      <c r="N1467" s="186">
        <f>VLOOKUP(3518,季財報!A:M,8,0)</f>
        <v>1</v>
      </c>
    </row>
    <row r="1468" spans="1:14">
      <c r="A1468" s="133">
        <v>3519</v>
      </c>
      <c r="C1468">
        <v>-174</v>
      </c>
      <c r="H1468" s="141">
        <v>0</v>
      </c>
      <c r="I1468">
        <f t="shared" si="138"/>
        <v>979</v>
      </c>
      <c r="J1468" s="137">
        <v>0</v>
      </c>
      <c r="K1468">
        <f t="shared" si="140"/>
        <v>945</v>
      </c>
      <c r="L1468" s="53">
        <f t="shared" si="139"/>
        <v>983</v>
      </c>
      <c r="M1468" s="189">
        <v>0.79</v>
      </c>
      <c r="N1468" s="186">
        <f>VLOOKUP(3519,季財報!A:M,8,0)</f>
        <v>3</v>
      </c>
    </row>
    <row r="1469" spans="1:14">
      <c r="A1469" s="133">
        <v>3520</v>
      </c>
      <c r="C1469">
        <v>-3</v>
      </c>
      <c r="H1469" s="141">
        <v>0</v>
      </c>
      <c r="I1469">
        <f t="shared" si="138"/>
        <v>979</v>
      </c>
      <c r="J1469" s="137">
        <v>0</v>
      </c>
      <c r="K1469">
        <f t="shared" si="140"/>
        <v>945</v>
      </c>
      <c r="L1469" s="53">
        <f t="shared" si="139"/>
        <v>983</v>
      </c>
      <c r="M1469" s="189">
        <v>0.79</v>
      </c>
      <c r="N1469" s="186">
        <f>VLOOKUP(3520,季財報!A:M,8,0)</f>
        <v>4</v>
      </c>
    </row>
    <row r="1470" spans="1:14">
      <c r="A1470" s="133">
        <v>3522</v>
      </c>
      <c r="C1470">
        <v>-9</v>
      </c>
      <c r="H1470" s="141">
        <v>0</v>
      </c>
      <c r="I1470">
        <f t="shared" si="138"/>
        <v>979</v>
      </c>
      <c r="J1470" s="137">
        <v>0</v>
      </c>
      <c r="K1470">
        <f t="shared" si="140"/>
        <v>945</v>
      </c>
      <c r="L1470" s="53">
        <f t="shared" si="139"/>
        <v>983</v>
      </c>
      <c r="M1470" s="189">
        <v>0.79</v>
      </c>
      <c r="N1470" s="186">
        <f>VLOOKUP(3522,季財報!A:M,8,0)</f>
        <v>3</v>
      </c>
    </row>
    <row r="1471" spans="1:14">
      <c r="A1471" s="133">
        <v>3523</v>
      </c>
      <c r="C1471">
        <v>-64</v>
      </c>
      <c r="H1471" s="141">
        <v>0</v>
      </c>
      <c r="I1471">
        <f t="shared" si="138"/>
        <v>979</v>
      </c>
      <c r="J1471" s="137">
        <v>0</v>
      </c>
      <c r="K1471">
        <f t="shared" si="140"/>
        <v>945</v>
      </c>
      <c r="L1471" s="53">
        <f t="shared" si="139"/>
        <v>983</v>
      </c>
      <c r="M1471" s="189">
        <v>0.79</v>
      </c>
      <c r="N1471" s="186">
        <f>VLOOKUP(3523,季財報!A:M,8,0)</f>
        <v>1</v>
      </c>
    </row>
    <row r="1472" spans="1:14">
      <c r="A1472" s="133">
        <v>3535</v>
      </c>
      <c r="C1472">
        <v>-4</v>
      </c>
      <c r="H1472" s="141">
        <v>0</v>
      </c>
      <c r="I1472">
        <f t="shared" si="138"/>
        <v>979</v>
      </c>
      <c r="J1472" s="137">
        <v>0</v>
      </c>
      <c r="K1472">
        <f t="shared" si="140"/>
        <v>945</v>
      </c>
      <c r="L1472" s="53">
        <f t="shared" si="139"/>
        <v>983</v>
      </c>
      <c r="M1472" s="189">
        <v>0.79</v>
      </c>
      <c r="N1472" s="186">
        <f>VLOOKUP(3535,季財報!A:M,8,0)</f>
        <v>2</v>
      </c>
    </row>
    <row r="1473" spans="1:14">
      <c r="A1473" s="133">
        <v>3536</v>
      </c>
      <c r="C1473">
        <v>-14</v>
      </c>
      <c r="H1473" s="141">
        <v>0</v>
      </c>
      <c r="I1473">
        <f t="shared" si="138"/>
        <v>979</v>
      </c>
      <c r="J1473" s="137">
        <v>0</v>
      </c>
      <c r="K1473">
        <f t="shared" si="140"/>
        <v>945</v>
      </c>
      <c r="L1473" s="53">
        <f t="shared" si="139"/>
        <v>983</v>
      </c>
      <c r="M1473" s="189">
        <v>1.36</v>
      </c>
      <c r="N1473" s="186">
        <f>VLOOKUP(3536,季財報!A:M,8,0)</f>
        <v>4</v>
      </c>
    </row>
    <row r="1474" spans="1:14">
      <c r="A1474" s="133">
        <v>3545</v>
      </c>
      <c r="C1474">
        <v>-45</v>
      </c>
      <c r="H1474" s="141">
        <v>0</v>
      </c>
      <c r="I1474">
        <f t="shared" si="138"/>
        <v>979</v>
      </c>
      <c r="J1474" s="137">
        <v>0</v>
      </c>
      <c r="K1474">
        <f t="shared" si="140"/>
        <v>945</v>
      </c>
      <c r="L1474" s="53">
        <f t="shared" si="139"/>
        <v>983</v>
      </c>
      <c r="M1474" s="189">
        <v>0.79</v>
      </c>
      <c r="N1474" s="186">
        <f>VLOOKUP(3545,季財報!A:M,8,0)</f>
        <v>3</v>
      </c>
    </row>
    <row r="1475" spans="1:14">
      <c r="A1475" s="133">
        <v>3546</v>
      </c>
      <c r="C1475">
        <v>-3</v>
      </c>
      <c r="H1475" s="141">
        <v>0</v>
      </c>
      <c r="I1475">
        <f t="shared" si="138"/>
        <v>979</v>
      </c>
      <c r="J1475" s="137">
        <v>0</v>
      </c>
      <c r="K1475">
        <f t="shared" si="140"/>
        <v>945</v>
      </c>
      <c r="L1475" s="53">
        <f t="shared" si="139"/>
        <v>983</v>
      </c>
      <c r="M1475" s="189">
        <v>0.79</v>
      </c>
      <c r="N1475" s="186">
        <f>VLOOKUP(3546,季財報!A:M,8,0)</f>
        <v>3</v>
      </c>
    </row>
    <row r="1476" spans="1:14">
      <c r="A1476" s="133">
        <v>3553</v>
      </c>
      <c r="C1476">
        <v>-27</v>
      </c>
      <c r="H1476" s="141">
        <v>0</v>
      </c>
      <c r="I1476">
        <f t="shared" si="138"/>
        <v>979</v>
      </c>
      <c r="J1476" s="137">
        <v>0</v>
      </c>
      <c r="K1476">
        <f t="shared" si="140"/>
        <v>945</v>
      </c>
      <c r="L1476" s="53">
        <f t="shared" si="139"/>
        <v>983</v>
      </c>
      <c r="M1476" s="189">
        <v>0.79</v>
      </c>
      <c r="N1476" s="186">
        <f>VLOOKUP(3553,季財報!A:M,8,0)</f>
        <v>0</v>
      </c>
    </row>
    <row r="1477" spans="1:14">
      <c r="A1477" s="133">
        <v>3555</v>
      </c>
      <c r="C1477">
        <v>-67</v>
      </c>
      <c r="H1477" s="141">
        <v>0</v>
      </c>
      <c r="I1477">
        <f t="shared" si="138"/>
        <v>979</v>
      </c>
      <c r="J1477" s="137">
        <v>0</v>
      </c>
      <c r="K1477">
        <f t="shared" si="140"/>
        <v>945</v>
      </c>
      <c r="L1477" s="53">
        <f t="shared" si="139"/>
        <v>983</v>
      </c>
      <c r="M1477" s="189">
        <v>1.01</v>
      </c>
      <c r="N1477" s="186">
        <f>VLOOKUP(3555,季財報!A:M,8,0)</f>
        <v>1</v>
      </c>
    </row>
    <row r="1478" spans="1:14">
      <c r="A1478" s="133">
        <v>3557</v>
      </c>
      <c r="C1478">
        <v>-27</v>
      </c>
      <c r="H1478" s="141">
        <v>0</v>
      </c>
      <c r="I1478">
        <f t="shared" si="138"/>
        <v>979</v>
      </c>
      <c r="J1478" s="137">
        <v>0</v>
      </c>
      <c r="K1478">
        <f t="shared" si="140"/>
        <v>945</v>
      </c>
      <c r="L1478" s="53">
        <f t="shared" si="139"/>
        <v>983</v>
      </c>
      <c r="M1478" s="189">
        <v>0.79</v>
      </c>
      <c r="N1478" s="186">
        <f>VLOOKUP(3557,季財報!A:M,8,0)</f>
        <v>2</v>
      </c>
    </row>
    <row r="1479" spans="1:14">
      <c r="A1479" s="133">
        <v>3561</v>
      </c>
      <c r="C1479">
        <v>-36</v>
      </c>
      <c r="H1479" s="141">
        <v>0</v>
      </c>
      <c r="I1479">
        <f t="shared" si="138"/>
        <v>979</v>
      </c>
      <c r="J1479" s="137">
        <v>0</v>
      </c>
      <c r="K1479">
        <f t="shared" si="140"/>
        <v>945</v>
      </c>
      <c r="L1479" s="53">
        <f t="shared" si="139"/>
        <v>983</v>
      </c>
      <c r="M1479" s="189">
        <v>1.01</v>
      </c>
      <c r="N1479" s="186">
        <f>VLOOKUP(3561,季財報!A:M,8,0)</f>
        <v>4</v>
      </c>
    </row>
    <row r="1480" spans="1:14">
      <c r="A1480" s="133">
        <v>3562</v>
      </c>
      <c r="C1480">
        <v>-8</v>
      </c>
      <c r="H1480" s="141">
        <v>0</v>
      </c>
      <c r="I1480">
        <f t="shared" si="138"/>
        <v>979</v>
      </c>
      <c r="J1480" s="137">
        <v>0</v>
      </c>
      <c r="K1480">
        <f t="shared" si="140"/>
        <v>945</v>
      </c>
      <c r="L1480" s="53">
        <f t="shared" si="139"/>
        <v>983</v>
      </c>
      <c r="M1480" s="189">
        <v>7.95</v>
      </c>
      <c r="N1480" s="186">
        <f>VLOOKUP(3562,季財報!A:M,8,0)</f>
        <v>0</v>
      </c>
    </row>
    <row r="1481" spans="1:14">
      <c r="A1481" s="133">
        <v>3573</v>
      </c>
      <c r="C1481">
        <v>-85</v>
      </c>
      <c r="H1481" s="141">
        <v>0</v>
      </c>
      <c r="I1481">
        <f t="shared" si="138"/>
        <v>979</v>
      </c>
      <c r="J1481" s="137">
        <v>0</v>
      </c>
      <c r="K1481">
        <f t="shared" si="140"/>
        <v>945</v>
      </c>
      <c r="L1481" s="53">
        <f t="shared" si="139"/>
        <v>983</v>
      </c>
      <c r="M1481" s="189">
        <v>0.79</v>
      </c>
      <c r="N1481" s="186">
        <f>VLOOKUP(3573,季財報!A:M,8,0)</f>
        <v>4</v>
      </c>
    </row>
    <row r="1482" spans="1:14">
      <c r="A1482" s="133">
        <v>3576</v>
      </c>
      <c r="C1482">
        <v>-217</v>
      </c>
      <c r="H1482" s="141">
        <v>0</v>
      </c>
      <c r="I1482">
        <f t="shared" si="138"/>
        <v>979</v>
      </c>
      <c r="J1482" s="137">
        <v>0</v>
      </c>
      <c r="K1482">
        <f t="shared" si="140"/>
        <v>945</v>
      </c>
      <c r="L1482" s="53">
        <f t="shared" si="139"/>
        <v>983</v>
      </c>
      <c r="M1482" s="189">
        <v>0.79</v>
      </c>
      <c r="N1482" s="186">
        <f>VLOOKUP(3576,季財報!A:M,8,0)</f>
        <v>2</v>
      </c>
    </row>
    <row r="1483" spans="1:14">
      <c r="A1483" s="133">
        <v>3579</v>
      </c>
      <c r="C1483">
        <v>-205</v>
      </c>
      <c r="H1483" s="141">
        <v>0</v>
      </c>
      <c r="I1483">
        <f t="shared" si="138"/>
        <v>979</v>
      </c>
      <c r="J1483" s="137">
        <v>0</v>
      </c>
      <c r="K1483">
        <f t="shared" si="140"/>
        <v>945</v>
      </c>
      <c r="L1483" s="53">
        <f t="shared" si="139"/>
        <v>983</v>
      </c>
      <c r="M1483" s="189">
        <v>0.79</v>
      </c>
      <c r="N1483" s="186">
        <f>VLOOKUP(3579,季財報!A:M,8,0)</f>
        <v>3</v>
      </c>
    </row>
    <row r="1484" spans="1:14">
      <c r="A1484" s="133">
        <v>3580</v>
      </c>
      <c r="C1484">
        <v>-7</v>
      </c>
      <c r="H1484" s="141">
        <v>0</v>
      </c>
      <c r="I1484">
        <f t="shared" si="138"/>
        <v>979</v>
      </c>
      <c r="J1484" s="137">
        <v>0</v>
      </c>
      <c r="K1484">
        <f t="shared" si="140"/>
        <v>945</v>
      </c>
      <c r="L1484" s="53">
        <f t="shared" si="139"/>
        <v>983</v>
      </c>
      <c r="M1484" s="189">
        <v>0.79</v>
      </c>
      <c r="N1484" s="186">
        <f>VLOOKUP(3580,季財報!A:M,8,0)</f>
        <v>1</v>
      </c>
    </row>
    <row r="1485" spans="1:14">
      <c r="A1485" s="133">
        <v>3581</v>
      </c>
      <c r="C1485">
        <v>3</v>
      </c>
      <c r="D1485">
        <v>540</v>
      </c>
      <c r="E1485">
        <v>136</v>
      </c>
      <c r="F1485">
        <v>733</v>
      </c>
      <c r="G1485">
        <v>18</v>
      </c>
      <c r="H1485" s="141">
        <v>0</v>
      </c>
      <c r="I1485">
        <f t="shared" si="138"/>
        <v>979</v>
      </c>
      <c r="J1485" s="137">
        <v>0</v>
      </c>
      <c r="K1485">
        <f t="shared" si="140"/>
        <v>945</v>
      </c>
      <c r="L1485" s="53">
        <f t="shared" si="139"/>
        <v>983</v>
      </c>
      <c r="M1485" s="189">
        <v>0.79</v>
      </c>
      <c r="N1485" s="186">
        <f>VLOOKUP(3581,季財報!A:M,8,0)</f>
        <v>3</v>
      </c>
    </row>
    <row r="1486" spans="1:14">
      <c r="A1486" s="133">
        <v>3583</v>
      </c>
      <c r="C1486">
        <v>4</v>
      </c>
      <c r="D1486">
        <v>426</v>
      </c>
      <c r="E1486">
        <v>1632</v>
      </c>
      <c r="F1486">
        <v>1806</v>
      </c>
      <c r="G1486">
        <v>369</v>
      </c>
      <c r="H1486" s="141">
        <v>0</v>
      </c>
      <c r="I1486">
        <f t="shared" si="138"/>
        <v>979</v>
      </c>
      <c r="J1486" s="137">
        <v>0</v>
      </c>
      <c r="K1486">
        <f t="shared" si="140"/>
        <v>945</v>
      </c>
      <c r="L1486" s="53">
        <f t="shared" si="139"/>
        <v>983</v>
      </c>
      <c r="M1486" s="189">
        <v>2.76</v>
      </c>
      <c r="N1486" s="186">
        <f>VLOOKUP(3583,季財報!A:M,8,0)</f>
        <v>3</v>
      </c>
    </row>
    <row r="1487" spans="1:14">
      <c r="A1487" s="133">
        <v>3584</v>
      </c>
      <c r="C1487">
        <v>-308</v>
      </c>
      <c r="H1487" s="141">
        <v>0</v>
      </c>
      <c r="I1487">
        <f t="shared" si="138"/>
        <v>979</v>
      </c>
      <c r="J1487" s="137">
        <v>0</v>
      </c>
      <c r="K1487">
        <f t="shared" si="140"/>
        <v>945</v>
      </c>
      <c r="L1487" s="53">
        <f t="shared" si="139"/>
        <v>983</v>
      </c>
      <c r="M1487" s="189">
        <v>0.79</v>
      </c>
      <c r="N1487" s="186">
        <f>VLOOKUP(3584,季財報!A:M,8,0)</f>
        <v>0</v>
      </c>
    </row>
    <row r="1488" spans="1:14">
      <c r="A1488" s="133">
        <v>3591</v>
      </c>
      <c r="C1488">
        <v>-22</v>
      </c>
      <c r="H1488" s="141">
        <v>0</v>
      </c>
      <c r="I1488">
        <f t="shared" si="138"/>
        <v>979</v>
      </c>
      <c r="J1488" s="137">
        <v>0</v>
      </c>
      <c r="K1488">
        <f t="shared" si="140"/>
        <v>945</v>
      </c>
      <c r="L1488" s="53">
        <f t="shared" si="139"/>
        <v>983</v>
      </c>
      <c r="M1488" s="189">
        <v>0.79</v>
      </c>
      <c r="N1488" s="186">
        <f>VLOOKUP(3591,季財報!A:M,8,0)</f>
        <v>2</v>
      </c>
    </row>
    <row r="1489" spans="1:14">
      <c r="A1489" s="133">
        <v>3593</v>
      </c>
      <c r="C1489">
        <v>-27</v>
      </c>
      <c r="H1489" s="141">
        <v>0</v>
      </c>
      <c r="I1489">
        <f t="shared" si="138"/>
        <v>979</v>
      </c>
      <c r="J1489" s="137">
        <v>0</v>
      </c>
      <c r="K1489">
        <f t="shared" si="140"/>
        <v>945</v>
      </c>
      <c r="L1489" s="53">
        <f t="shared" si="139"/>
        <v>983</v>
      </c>
      <c r="M1489" s="189">
        <v>0.79</v>
      </c>
      <c r="N1489" s="186">
        <f>VLOOKUP(3593,季財報!A:M,8,0)</f>
        <v>3</v>
      </c>
    </row>
    <row r="1490" spans="1:14">
      <c r="A1490" s="133">
        <v>3594</v>
      </c>
      <c r="C1490">
        <v>-31</v>
      </c>
      <c r="H1490" s="141">
        <v>0</v>
      </c>
      <c r="I1490">
        <f t="shared" si="138"/>
        <v>979</v>
      </c>
      <c r="J1490" s="137">
        <v>0</v>
      </c>
      <c r="K1490">
        <f t="shared" si="140"/>
        <v>945</v>
      </c>
      <c r="L1490" s="53">
        <f t="shared" si="139"/>
        <v>983</v>
      </c>
      <c r="M1490" s="189">
        <v>0.79</v>
      </c>
      <c r="N1490" s="186">
        <f>VLOOKUP(3594,季財報!A:M,8,0)</f>
        <v>0</v>
      </c>
    </row>
    <row r="1491" spans="1:14">
      <c r="A1491" s="133">
        <v>3609</v>
      </c>
      <c r="C1491">
        <v>-8</v>
      </c>
      <c r="H1491" s="141">
        <v>0</v>
      </c>
      <c r="I1491">
        <f t="shared" si="138"/>
        <v>979</v>
      </c>
      <c r="J1491" s="137">
        <v>0</v>
      </c>
      <c r="K1491">
        <f t="shared" si="140"/>
        <v>945</v>
      </c>
      <c r="L1491" s="53">
        <f t="shared" si="139"/>
        <v>983</v>
      </c>
      <c r="M1491" s="189">
        <v>0.79</v>
      </c>
      <c r="N1491" s="186">
        <f>VLOOKUP(3609,季財報!A:M,8,0)</f>
        <v>3</v>
      </c>
    </row>
    <row r="1492" spans="1:14">
      <c r="A1492" s="133">
        <v>3622</v>
      </c>
      <c r="C1492">
        <v>-233</v>
      </c>
      <c r="H1492" s="141">
        <v>0</v>
      </c>
      <c r="I1492">
        <f t="shared" si="138"/>
        <v>979</v>
      </c>
      <c r="J1492" s="137">
        <v>0</v>
      </c>
      <c r="K1492">
        <f t="shared" si="140"/>
        <v>945</v>
      </c>
      <c r="L1492" s="53">
        <f t="shared" si="139"/>
        <v>983</v>
      </c>
      <c r="M1492" s="189">
        <v>0.79</v>
      </c>
      <c r="N1492" s="186">
        <f>VLOOKUP(3622,季財報!A:M,8,0)</f>
        <v>2</v>
      </c>
    </row>
    <row r="1493" spans="1:14">
      <c r="A1493" s="133">
        <v>3625</v>
      </c>
      <c r="C1493">
        <v>-5</v>
      </c>
      <c r="H1493" s="141">
        <v>0</v>
      </c>
      <c r="I1493">
        <f t="shared" si="138"/>
        <v>979</v>
      </c>
      <c r="J1493" s="137">
        <v>0</v>
      </c>
      <c r="K1493">
        <f t="shared" si="140"/>
        <v>945</v>
      </c>
      <c r="L1493" s="53">
        <f t="shared" si="139"/>
        <v>983</v>
      </c>
      <c r="M1493" s="189">
        <v>0.79</v>
      </c>
      <c r="N1493" s="186">
        <f>VLOOKUP(3625,季財報!A:M,8,0)</f>
        <v>2</v>
      </c>
    </row>
    <row r="1494" spans="1:14">
      <c r="A1494" s="133">
        <v>3629</v>
      </c>
      <c r="C1494">
        <v>-20</v>
      </c>
      <c r="H1494" s="141">
        <v>0</v>
      </c>
      <c r="I1494">
        <f t="shared" si="138"/>
        <v>979</v>
      </c>
      <c r="J1494" s="137">
        <v>0</v>
      </c>
      <c r="K1494">
        <f t="shared" si="140"/>
        <v>945</v>
      </c>
      <c r="L1494" s="53">
        <f t="shared" si="139"/>
        <v>983</v>
      </c>
      <c r="M1494" s="189">
        <v>0.79</v>
      </c>
      <c r="N1494" s="186">
        <f>VLOOKUP(3629,季財報!A:M,8,0)</f>
        <v>2</v>
      </c>
    </row>
    <row r="1495" spans="1:14">
      <c r="A1495" s="133">
        <v>3630</v>
      </c>
      <c r="C1495">
        <v>-178</v>
      </c>
      <c r="H1495" s="141">
        <v>0</v>
      </c>
      <c r="I1495">
        <f t="shared" si="138"/>
        <v>979</v>
      </c>
      <c r="J1495" s="137">
        <v>0</v>
      </c>
      <c r="K1495">
        <f t="shared" si="140"/>
        <v>945</v>
      </c>
      <c r="L1495" s="53">
        <f t="shared" si="139"/>
        <v>983</v>
      </c>
      <c r="M1495" s="189">
        <v>20.25</v>
      </c>
      <c r="N1495" s="186">
        <f>VLOOKUP(3630,季財報!A:M,8,0)</f>
        <v>1</v>
      </c>
    </row>
    <row r="1496" spans="1:14">
      <c r="A1496" s="133">
        <v>3631</v>
      </c>
      <c r="C1496">
        <v>0</v>
      </c>
      <c r="H1496" s="141">
        <v>0</v>
      </c>
      <c r="I1496">
        <f t="shared" ref="I1496:I1519" si="141">RANK(0,H:H,0)</f>
        <v>979</v>
      </c>
      <c r="J1496" s="137">
        <v>0</v>
      </c>
      <c r="K1496">
        <f t="shared" si="140"/>
        <v>945</v>
      </c>
      <c r="L1496" s="53">
        <f t="shared" ref="L1496:L1519" si="142">RANK(0.79,M:M,0)</f>
        <v>983</v>
      </c>
      <c r="M1496" s="189">
        <v>0.79</v>
      </c>
      <c r="N1496" s="186">
        <f>VLOOKUP(3631,季財報!A:M,8,0)</f>
        <v>2</v>
      </c>
    </row>
    <row r="1497" spans="1:14">
      <c r="A1497" s="133">
        <v>3646</v>
      </c>
      <c r="C1497">
        <v>1</v>
      </c>
      <c r="D1497">
        <v>363</v>
      </c>
      <c r="E1497">
        <v>104</v>
      </c>
      <c r="F1497">
        <v>504</v>
      </c>
      <c r="G1497">
        <v>70</v>
      </c>
      <c r="H1497" s="141">
        <v>0</v>
      </c>
      <c r="I1497">
        <f t="shared" si="141"/>
        <v>979</v>
      </c>
      <c r="J1497" s="137">
        <v>0</v>
      </c>
      <c r="K1497">
        <f t="shared" si="140"/>
        <v>945</v>
      </c>
      <c r="L1497" s="53">
        <f t="shared" si="142"/>
        <v>983</v>
      </c>
      <c r="M1497" s="189">
        <v>0.79</v>
      </c>
      <c r="N1497" s="186">
        <f>VLOOKUP(3646,季財報!A:M,8,0)</f>
        <v>3</v>
      </c>
    </row>
    <row r="1498" spans="1:14">
      <c r="A1498" s="133">
        <v>3652</v>
      </c>
      <c r="C1498">
        <v>5</v>
      </c>
      <c r="D1498">
        <v>709</v>
      </c>
      <c r="E1498">
        <v>351</v>
      </c>
      <c r="F1498">
        <v>1126</v>
      </c>
      <c r="G1498">
        <v>42</v>
      </c>
      <c r="H1498" s="141">
        <v>0</v>
      </c>
      <c r="I1498">
        <f t="shared" si="141"/>
        <v>979</v>
      </c>
      <c r="J1498" s="137">
        <v>0</v>
      </c>
      <c r="K1498">
        <f t="shared" si="140"/>
        <v>945</v>
      </c>
      <c r="L1498" s="53">
        <f t="shared" si="142"/>
        <v>983</v>
      </c>
      <c r="M1498" s="189">
        <v>3.27</v>
      </c>
      <c r="N1498" s="186">
        <f>VLOOKUP(3652,季財報!A:M,8,0)</f>
        <v>1</v>
      </c>
    </row>
    <row r="1499" spans="1:14">
      <c r="A1499" s="133">
        <v>3663</v>
      </c>
      <c r="C1499">
        <v>-100</v>
      </c>
      <c r="H1499" s="141">
        <v>0</v>
      </c>
      <c r="I1499">
        <f t="shared" si="141"/>
        <v>979</v>
      </c>
      <c r="J1499" s="137">
        <v>0</v>
      </c>
      <c r="K1499">
        <f t="shared" si="140"/>
        <v>945</v>
      </c>
      <c r="L1499" s="53">
        <f t="shared" si="142"/>
        <v>983</v>
      </c>
      <c r="M1499" s="189">
        <v>0.79</v>
      </c>
      <c r="N1499" s="186">
        <f>VLOOKUP(3663,季財報!A:M,8,0)</f>
        <v>1</v>
      </c>
    </row>
    <row r="1500" spans="1:14">
      <c r="A1500" s="133">
        <v>3664</v>
      </c>
      <c r="C1500">
        <v>-53</v>
      </c>
      <c r="H1500" s="141">
        <v>0</v>
      </c>
      <c r="I1500">
        <f t="shared" si="141"/>
        <v>979</v>
      </c>
      <c r="J1500" s="137">
        <v>0</v>
      </c>
      <c r="K1500">
        <f t="shared" si="140"/>
        <v>945</v>
      </c>
      <c r="L1500" s="53">
        <f t="shared" si="142"/>
        <v>983</v>
      </c>
      <c r="M1500" s="189">
        <v>0.79</v>
      </c>
      <c r="N1500" s="186">
        <f>VLOOKUP(3664,季財報!A:M,8,0)</f>
        <v>2</v>
      </c>
    </row>
    <row r="1501" spans="1:14">
      <c r="A1501" s="133">
        <v>3666</v>
      </c>
      <c r="C1501">
        <v>-7</v>
      </c>
      <c r="H1501" s="141">
        <v>0</v>
      </c>
      <c r="I1501">
        <f t="shared" si="141"/>
        <v>979</v>
      </c>
      <c r="J1501" s="137">
        <v>0</v>
      </c>
      <c r="K1501">
        <f t="shared" si="140"/>
        <v>945</v>
      </c>
      <c r="L1501" s="53">
        <f t="shared" si="142"/>
        <v>983</v>
      </c>
      <c r="M1501" s="189">
        <v>0.79</v>
      </c>
      <c r="N1501" s="186">
        <f>VLOOKUP(3666,季財報!A:M,8,0)</f>
        <v>2</v>
      </c>
    </row>
    <row r="1502" spans="1:14">
      <c r="A1502" s="133">
        <v>3669</v>
      </c>
      <c r="C1502">
        <v>11</v>
      </c>
      <c r="D1502">
        <v>904</v>
      </c>
      <c r="E1502">
        <v>1373</v>
      </c>
      <c r="F1502">
        <v>2383</v>
      </c>
      <c r="G1502">
        <v>0</v>
      </c>
      <c r="H1502" s="141">
        <v>0</v>
      </c>
      <c r="I1502">
        <f t="shared" si="141"/>
        <v>979</v>
      </c>
      <c r="J1502" s="137">
        <v>0</v>
      </c>
      <c r="K1502">
        <f t="shared" si="140"/>
        <v>945</v>
      </c>
      <c r="L1502" s="53">
        <f t="shared" si="142"/>
        <v>983</v>
      </c>
      <c r="M1502" s="189">
        <v>0.79</v>
      </c>
      <c r="N1502" s="186">
        <f>VLOOKUP(3669,季財報!A:M,8,0)</f>
        <v>4</v>
      </c>
    </row>
    <row r="1503" spans="1:14">
      <c r="A1503" s="133">
        <v>3673</v>
      </c>
      <c r="C1503">
        <v>-17368</v>
      </c>
      <c r="H1503" s="141">
        <v>0</v>
      </c>
      <c r="I1503">
        <f t="shared" si="141"/>
        <v>979</v>
      </c>
      <c r="J1503" s="137">
        <v>0</v>
      </c>
      <c r="K1503">
        <f t="shared" si="140"/>
        <v>945</v>
      </c>
      <c r="L1503" s="53">
        <f t="shared" si="142"/>
        <v>983</v>
      </c>
      <c r="M1503" s="189">
        <v>0.79</v>
      </c>
      <c r="N1503" s="186">
        <f>VLOOKUP(3673,季財報!A:M,8,0)</f>
        <v>3</v>
      </c>
    </row>
    <row r="1504" spans="1:14">
      <c r="A1504" s="133">
        <v>3682</v>
      </c>
      <c r="C1504">
        <v>-1142</v>
      </c>
      <c r="H1504" s="141">
        <v>0</v>
      </c>
      <c r="I1504">
        <f t="shared" si="141"/>
        <v>979</v>
      </c>
      <c r="J1504" s="137">
        <v>0</v>
      </c>
      <c r="K1504">
        <f t="shared" si="140"/>
        <v>945</v>
      </c>
      <c r="L1504" s="53">
        <f t="shared" si="142"/>
        <v>983</v>
      </c>
      <c r="M1504" s="189">
        <v>0.79</v>
      </c>
      <c r="N1504" s="186">
        <f>VLOOKUP(3682,季財報!A:M,8,0)</f>
        <v>0</v>
      </c>
    </row>
    <row r="1505" spans="1:14">
      <c r="A1505" s="133">
        <v>3686</v>
      </c>
      <c r="C1505">
        <v>-115</v>
      </c>
      <c r="H1505" s="141">
        <v>0</v>
      </c>
      <c r="I1505">
        <f t="shared" si="141"/>
        <v>979</v>
      </c>
      <c r="J1505" s="137">
        <v>0</v>
      </c>
      <c r="K1505">
        <f t="shared" si="140"/>
        <v>945</v>
      </c>
      <c r="L1505" s="53">
        <f t="shared" si="142"/>
        <v>983</v>
      </c>
      <c r="M1505" s="189">
        <v>5.71</v>
      </c>
      <c r="N1505" s="186">
        <f>VLOOKUP(3686,季財報!A:M,8,0)</f>
        <v>2</v>
      </c>
    </row>
    <row r="1506" spans="1:14">
      <c r="A1506" s="133">
        <v>3687</v>
      </c>
      <c r="C1506">
        <v>-32</v>
      </c>
      <c r="H1506" s="141">
        <v>0</v>
      </c>
      <c r="I1506">
        <f t="shared" si="141"/>
        <v>979</v>
      </c>
      <c r="J1506" s="137">
        <v>0</v>
      </c>
      <c r="K1506">
        <f t="shared" si="140"/>
        <v>945</v>
      </c>
      <c r="L1506" s="53">
        <f t="shared" si="142"/>
        <v>983</v>
      </c>
      <c r="M1506" s="189">
        <v>0.79</v>
      </c>
      <c r="N1506" s="186">
        <f>VLOOKUP(3687,季財報!A:M,8,0)</f>
        <v>3</v>
      </c>
    </row>
    <row r="1507" spans="1:14">
      <c r="A1507" s="133">
        <v>3698</v>
      </c>
      <c r="C1507">
        <v>-69</v>
      </c>
      <c r="H1507" s="141">
        <v>0</v>
      </c>
      <c r="I1507">
        <f t="shared" si="141"/>
        <v>979</v>
      </c>
      <c r="J1507" s="137">
        <v>0</v>
      </c>
      <c r="K1507">
        <f t="shared" si="140"/>
        <v>945</v>
      </c>
      <c r="L1507" s="53">
        <f t="shared" si="142"/>
        <v>983</v>
      </c>
      <c r="M1507" s="189">
        <v>2.29</v>
      </c>
      <c r="N1507" s="186">
        <f>VLOOKUP(3698,季財報!A:M,8,0)</f>
        <v>1</v>
      </c>
    </row>
    <row r="1508" spans="1:14">
      <c r="A1508" s="133">
        <v>3701</v>
      </c>
      <c r="C1508">
        <v>-82</v>
      </c>
      <c r="H1508" s="141">
        <v>0</v>
      </c>
      <c r="I1508">
        <f t="shared" si="141"/>
        <v>979</v>
      </c>
      <c r="J1508" s="137">
        <v>0</v>
      </c>
      <c r="K1508">
        <f t="shared" si="140"/>
        <v>945</v>
      </c>
      <c r="L1508" s="53">
        <f t="shared" si="142"/>
        <v>983</v>
      </c>
      <c r="M1508" s="189">
        <v>1.36</v>
      </c>
      <c r="N1508" s="186">
        <f>VLOOKUP(3701,季財報!A:M,8,0)</f>
        <v>2</v>
      </c>
    </row>
    <row r="1509" spans="1:14">
      <c r="A1509" s="133">
        <v>3703</v>
      </c>
      <c r="C1509">
        <v>61</v>
      </c>
      <c r="D1509">
        <v>10071</v>
      </c>
      <c r="E1509">
        <v>2755</v>
      </c>
      <c r="F1509">
        <v>21829</v>
      </c>
      <c r="G1509">
        <v>9622</v>
      </c>
      <c r="H1509" s="141">
        <v>0</v>
      </c>
      <c r="I1509">
        <f t="shared" si="141"/>
        <v>979</v>
      </c>
      <c r="J1509" s="137">
        <v>0</v>
      </c>
      <c r="K1509">
        <f t="shared" si="140"/>
        <v>945</v>
      </c>
      <c r="L1509" s="53">
        <f t="shared" si="142"/>
        <v>983</v>
      </c>
      <c r="M1509" s="189">
        <v>0.79</v>
      </c>
      <c r="N1509" s="186">
        <f>VLOOKUP(3703,季財報!A:M,8,0)</f>
        <v>0</v>
      </c>
    </row>
    <row r="1510" spans="1:14">
      <c r="A1510" s="133">
        <v>3704</v>
      </c>
      <c r="C1510">
        <v>-3</v>
      </c>
      <c r="H1510" s="141">
        <v>0</v>
      </c>
      <c r="I1510">
        <f t="shared" si="141"/>
        <v>979</v>
      </c>
      <c r="J1510" s="137">
        <v>0</v>
      </c>
      <c r="K1510">
        <f t="shared" si="140"/>
        <v>945</v>
      </c>
      <c r="L1510" s="53">
        <f t="shared" si="142"/>
        <v>983</v>
      </c>
      <c r="M1510" s="189">
        <v>0.79</v>
      </c>
      <c r="N1510" s="186">
        <f>VLOOKUP(3704,季財報!A:M,8,0)</f>
        <v>3</v>
      </c>
    </row>
    <row r="1511" spans="1:14">
      <c r="A1511" s="133">
        <v>3707</v>
      </c>
      <c r="C1511">
        <v>-173</v>
      </c>
      <c r="H1511" s="141">
        <v>0</v>
      </c>
      <c r="I1511">
        <f t="shared" si="141"/>
        <v>979</v>
      </c>
      <c r="J1511" s="137">
        <v>0</v>
      </c>
      <c r="K1511">
        <f t="shared" si="140"/>
        <v>945</v>
      </c>
      <c r="L1511" s="53">
        <f t="shared" si="142"/>
        <v>983</v>
      </c>
      <c r="M1511" s="189">
        <v>1.36</v>
      </c>
      <c r="N1511" s="186">
        <f>VLOOKUP(3707,季財報!A:M,8,0)</f>
        <v>1</v>
      </c>
    </row>
    <row r="1512" spans="1:14">
      <c r="A1512" s="133">
        <v>4102</v>
      </c>
      <c r="C1512">
        <v>0</v>
      </c>
      <c r="H1512" s="141">
        <v>0</v>
      </c>
      <c r="I1512">
        <f t="shared" si="141"/>
        <v>979</v>
      </c>
      <c r="J1512" s="137">
        <v>0</v>
      </c>
      <c r="K1512">
        <f t="shared" si="140"/>
        <v>945</v>
      </c>
      <c r="L1512" s="53">
        <f t="shared" si="142"/>
        <v>983</v>
      </c>
      <c r="M1512" s="189">
        <v>0.79</v>
      </c>
      <c r="N1512" s="186">
        <f>VLOOKUP(4102,季財報!A:M,8,0)</f>
        <v>3</v>
      </c>
    </row>
    <row r="1513" spans="1:14">
      <c r="A1513" s="133">
        <v>4108</v>
      </c>
      <c r="C1513">
        <v>-59</v>
      </c>
      <c r="H1513" s="141">
        <v>0</v>
      </c>
      <c r="I1513">
        <f t="shared" si="141"/>
        <v>979</v>
      </c>
      <c r="J1513" s="137">
        <v>0</v>
      </c>
      <c r="K1513">
        <f t="shared" si="140"/>
        <v>945</v>
      </c>
      <c r="L1513" s="53">
        <f t="shared" si="142"/>
        <v>983</v>
      </c>
      <c r="M1513" s="189">
        <v>0.79</v>
      </c>
      <c r="N1513" s="186">
        <f>VLOOKUP(4108,季財報!A:M,8,0)</f>
        <v>4</v>
      </c>
    </row>
    <row r="1514" spans="1:14">
      <c r="A1514" s="133">
        <v>4113</v>
      </c>
      <c r="C1514">
        <v>13</v>
      </c>
      <c r="D1514">
        <v>3556</v>
      </c>
      <c r="E1514">
        <v>9</v>
      </c>
      <c r="F1514">
        <v>3595</v>
      </c>
      <c r="G1514">
        <v>2519</v>
      </c>
      <c r="H1514" s="141">
        <v>0</v>
      </c>
      <c r="I1514">
        <f t="shared" si="141"/>
        <v>979</v>
      </c>
      <c r="J1514" s="137">
        <v>0</v>
      </c>
      <c r="K1514">
        <f t="shared" si="140"/>
        <v>945</v>
      </c>
      <c r="L1514" s="53">
        <f t="shared" si="142"/>
        <v>983</v>
      </c>
      <c r="M1514" s="189">
        <v>6.36</v>
      </c>
      <c r="N1514" s="186">
        <f>VLOOKUP(4113,季財報!A:M,8,0)</f>
        <v>2</v>
      </c>
    </row>
    <row r="1515" spans="1:14">
      <c r="A1515" s="133">
        <v>4114</v>
      </c>
      <c r="C1515">
        <v>9</v>
      </c>
      <c r="D1515">
        <v>480</v>
      </c>
      <c r="E1515">
        <v>2187</v>
      </c>
      <c r="F1515">
        <v>3065</v>
      </c>
      <c r="G1515">
        <v>341</v>
      </c>
      <c r="H1515" s="141">
        <v>0</v>
      </c>
      <c r="I1515">
        <f t="shared" si="141"/>
        <v>979</v>
      </c>
      <c r="J1515" s="137">
        <v>0</v>
      </c>
      <c r="K1515">
        <f t="shared" si="140"/>
        <v>945</v>
      </c>
      <c r="L1515" s="53">
        <f t="shared" si="142"/>
        <v>983</v>
      </c>
      <c r="M1515" s="189">
        <v>0.79</v>
      </c>
      <c r="N1515" s="186">
        <f>VLOOKUP(4114,季財報!A:M,8,0)</f>
        <v>3</v>
      </c>
    </row>
    <row r="1516" spans="1:14">
      <c r="A1516" s="133">
        <v>4121</v>
      </c>
      <c r="C1516">
        <v>-25</v>
      </c>
      <c r="H1516" s="141">
        <v>0</v>
      </c>
      <c r="I1516">
        <f t="shared" si="141"/>
        <v>979</v>
      </c>
      <c r="J1516" s="137">
        <v>0</v>
      </c>
      <c r="K1516">
        <f t="shared" si="140"/>
        <v>945</v>
      </c>
      <c r="L1516" s="53">
        <f t="shared" si="142"/>
        <v>983</v>
      </c>
      <c r="M1516" s="189">
        <v>0.79</v>
      </c>
      <c r="N1516" s="186">
        <f>VLOOKUP(4121,季財報!A:M,8,0)</f>
        <v>3</v>
      </c>
    </row>
    <row r="1517" spans="1:14">
      <c r="A1517" s="133">
        <v>4123</v>
      </c>
      <c r="C1517">
        <v>18</v>
      </c>
      <c r="D1517">
        <v>3409</v>
      </c>
      <c r="E1517">
        <v>3830</v>
      </c>
      <c r="F1517">
        <v>12246</v>
      </c>
      <c r="G1517">
        <v>6999</v>
      </c>
      <c r="H1517" s="141">
        <v>0</v>
      </c>
      <c r="I1517">
        <f t="shared" si="141"/>
        <v>979</v>
      </c>
      <c r="J1517" s="137">
        <v>0</v>
      </c>
      <c r="K1517">
        <f t="shared" si="140"/>
        <v>945</v>
      </c>
      <c r="L1517" s="53">
        <f t="shared" si="142"/>
        <v>983</v>
      </c>
      <c r="M1517" s="189">
        <v>1.01</v>
      </c>
      <c r="N1517" s="186">
        <f>VLOOKUP(4123,季財報!A:M,8,0)</f>
        <v>3</v>
      </c>
    </row>
    <row r="1518" spans="1:14">
      <c r="A1518" s="133">
        <v>4131</v>
      </c>
      <c r="C1518">
        <v>-5</v>
      </c>
      <c r="H1518" s="141">
        <v>0</v>
      </c>
      <c r="I1518">
        <f t="shared" si="141"/>
        <v>979</v>
      </c>
      <c r="J1518" s="137">
        <v>0</v>
      </c>
      <c r="K1518">
        <f t="shared" si="140"/>
        <v>945</v>
      </c>
      <c r="L1518" s="53">
        <f t="shared" si="142"/>
        <v>983</v>
      </c>
      <c r="M1518" s="189">
        <v>1.84</v>
      </c>
      <c r="N1518" s="186">
        <f>VLOOKUP(4131,季財報!A:M,8,0)</f>
        <v>2</v>
      </c>
    </row>
    <row r="1519" spans="1:14">
      <c r="A1519" s="133">
        <v>5392</v>
      </c>
      <c r="C1519">
        <v>-24</v>
      </c>
      <c r="H1519" s="141">
        <v>0</v>
      </c>
      <c r="I1519">
        <f t="shared" si="141"/>
        <v>979</v>
      </c>
      <c r="J1519" s="137">
        <v>0</v>
      </c>
      <c r="K1519">
        <f t="shared" si="140"/>
        <v>945</v>
      </c>
      <c r="L1519" s="53">
        <f t="shared" si="142"/>
        <v>983</v>
      </c>
      <c r="M1519" s="189">
        <v>52.38</v>
      </c>
      <c r="N1519" s="187">
        <f>VLOOKUP(5392,季財報!A:M,8,0)</f>
        <v>2</v>
      </c>
    </row>
  </sheetData>
  <autoFilter ref="A1:M1519">
    <filterColumn colId="12">
      <customFilters>
        <customFilter operator="greaterThanOrEqual" val="0"/>
      </customFilters>
    </filterColumn>
  </autoFilter>
  <sortState ref="A2:L1522">
    <sortCondition ref="L2:L1522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84" r:id="rId3" name="CommandButton6">
          <controlPr autoLine="0" autoPict="0" r:id="rId4">
            <anchor moveWithCells="1">
              <from>
                <xdr:col>1</xdr:col>
                <xdr:colOff>9525</xdr:colOff>
                <xdr:row>0</xdr:row>
                <xdr:rowOff>66675</xdr:rowOff>
              </from>
              <to>
                <xdr:col>1</xdr:col>
                <xdr:colOff>819150</xdr:colOff>
                <xdr:row>0</xdr:row>
                <xdr:rowOff>381000</xdr:rowOff>
              </to>
            </anchor>
          </controlPr>
        </control>
      </mc:Choice>
      <mc:Fallback>
        <control shapeId="50184" r:id="rId3" name="CommandButton6"/>
      </mc:Fallback>
    </mc:AlternateContent>
    <mc:AlternateContent xmlns:mc="http://schemas.openxmlformats.org/markup-compatibility/2006">
      <mc:Choice Requires="x14">
        <control shapeId="50183" r:id="rId5" name="CommandButton5">
          <controlPr defaultSize="0" autoLine="0" autoPict="0" r:id="rId6">
            <anchor moveWithCells="1">
              <from>
                <xdr:col>0</xdr:col>
                <xdr:colOff>57150</xdr:colOff>
                <xdr:row>0</xdr:row>
                <xdr:rowOff>38100</xdr:rowOff>
              </from>
              <to>
                <xdr:col>1</xdr:col>
                <xdr:colOff>9525</xdr:colOff>
                <xdr:row>0</xdr:row>
                <xdr:rowOff>409575</xdr:rowOff>
              </to>
            </anchor>
          </controlPr>
        </control>
      </mc:Choice>
      <mc:Fallback>
        <control shapeId="50183" r:id="rId5" name="CommandButton5"/>
      </mc:Fallback>
    </mc:AlternateContent>
    <mc:AlternateContent xmlns:mc="http://schemas.openxmlformats.org/markup-compatibility/2006">
      <mc:Choice Requires="x14">
        <control shapeId="50178" r:id="rId7" name="CommandButton1">
          <controlPr defaultSize="0" autoLine="0" r:id="rId8">
            <anchor moveWithCells="1">
              <from>
                <xdr:col>5</xdr:col>
                <xdr:colOff>238125</xdr:colOff>
                <xdr:row>0</xdr:row>
                <xdr:rowOff>66675</xdr:rowOff>
              </from>
              <to>
                <xdr:col>5</xdr:col>
                <xdr:colOff>1057275</xdr:colOff>
                <xdr:row>0</xdr:row>
                <xdr:rowOff>447675</xdr:rowOff>
              </to>
            </anchor>
          </controlPr>
        </control>
      </mc:Choice>
      <mc:Fallback>
        <control shapeId="50178" r:id="rId7" name="CommandButton1"/>
      </mc:Fallback>
    </mc:AlternateContent>
    <mc:AlternateContent xmlns:mc="http://schemas.openxmlformats.org/markup-compatibility/2006">
      <mc:Choice Requires="x14">
        <control shapeId="50179" r:id="rId9" name="CommandButton2">
          <controlPr defaultSize="0" autoLine="0" autoPict="0" r:id="rId10">
            <anchor moveWithCells="1">
              <from>
                <xdr:col>6</xdr:col>
                <xdr:colOff>228600</xdr:colOff>
                <xdr:row>0</xdr:row>
                <xdr:rowOff>66675</xdr:rowOff>
              </from>
              <to>
                <xdr:col>6</xdr:col>
                <xdr:colOff>1085850</xdr:colOff>
                <xdr:row>0</xdr:row>
                <xdr:rowOff>447675</xdr:rowOff>
              </to>
            </anchor>
          </controlPr>
        </control>
      </mc:Choice>
      <mc:Fallback>
        <control shapeId="50179" r:id="rId9" name="CommandButton2"/>
      </mc:Fallback>
    </mc:AlternateContent>
    <mc:AlternateContent xmlns:mc="http://schemas.openxmlformats.org/markup-compatibility/2006">
      <mc:Choice Requires="x14">
        <control shapeId="50180" r:id="rId11" name="CommandButton3">
          <controlPr defaultSize="0" autoLine="0" r:id="rId12">
            <anchor moveWithCells="1">
              <from>
                <xdr:col>11</xdr:col>
                <xdr:colOff>19050</xdr:colOff>
                <xdr:row>0</xdr:row>
                <xdr:rowOff>28575</xdr:rowOff>
              </from>
              <to>
                <xdr:col>11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50180" r:id="rId11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N1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6" sqref="F26"/>
    </sheetView>
  </sheetViews>
  <sheetFormatPr defaultRowHeight="16.5"/>
  <cols>
    <col min="6" max="6" width="105.375" bestFit="1" customWidth="1"/>
    <col min="7" max="7" width="107.625" bestFit="1" customWidth="1"/>
  </cols>
  <sheetData>
    <row r="1" spans="1:14" s="53" customFormat="1" ht="32.25" customHeight="1">
      <c r="A1" s="144" t="s">
        <v>1887</v>
      </c>
    </row>
    <row r="2" spans="1:14">
      <c r="A2" s="143" t="s">
        <v>1885</v>
      </c>
    </row>
    <row r="3" spans="1:14">
      <c r="A3" s="143" t="s">
        <v>1906</v>
      </c>
    </row>
    <row r="4" spans="1:14">
      <c r="A4" s="143" t="s">
        <v>1886</v>
      </c>
    </row>
    <row r="5" spans="1:14">
      <c r="A5" s="143" t="s">
        <v>2491</v>
      </c>
    </row>
    <row r="7" spans="1:14">
      <c r="A7" s="26" t="s">
        <v>2544</v>
      </c>
      <c r="B7" s="26">
        <v>2724</v>
      </c>
      <c r="C7" s="26" t="s">
        <v>1436</v>
      </c>
      <c r="D7" s="26" t="s">
        <v>2528</v>
      </c>
      <c r="E7" s="252">
        <v>0.57583333333333331</v>
      </c>
      <c r="F7" s="26" t="s">
        <v>2529</v>
      </c>
      <c r="G7" s="26"/>
      <c r="H7" s="26"/>
      <c r="I7" s="26"/>
      <c r="J7" s="26"/>
      <c r="K7" s="26"/>
      <c r="L7" s="26"/>
      <c r="M7" s="26"/>
      <c r="N7" s="26"/>
    </row>
    <row r="8" spans="1:14">
      <c r="A8" s="26" t="s">
        <v>2544</v>
      </c>
      <c r="B8" s="26">
        <v>1616</v>
      </c>
      <c r="C8" s="26" t="s">
        <v>2486</v>
      </c>
      <c r="D8" s="26" t="s">
        <v>2528</v>
      </c>
      <c r="E8" s="252">
        <v>0.56541666666666668</v>
      </c>
      <c r="F8" s="26" t="s">
        <v>2530</v>
      </c>
      <c r="G8" s="26"/>
      <c r="H8" s="26"/>
      <c r="I8" s="26"/>
      <c r="J8" s="26"/>
      <c r="K8" s="26"/>
      <c r="L8" s="26"/>
      <c r="M8" s="26"/>
      <c r="N8" s="26"/>
    </row>
    <row r="9" spans="1:14">
      <c r="A9" s="26" t="s">
        <v>2544</v>
      </c>
      <c r="B9" s="26">
        <v>4739</v>
      </c>
      <c r="C9" s="26" t="s">
        <v>1942</v>
      </c>
      <c r="D9" s="26" t="s">
        <v>2528</v>
      </c>
      <c r="E9" s="252">
        <v>0.56520833333333331</v>
      </c>
      <c r="F9" s="26" t="s">
        <v>2531</v>
      </c>
      <c r="G9" s="26"/>
      <c r="H9" s="26"/>
      <c r="I9" s="26"/>
      <c r="J9" s="26"/>
      <c r="K9" s="26"/>
      <c r="L9" s="26"/>
      <c r="M9" s="26"/>
      <c r="N9" s="26"/>
    </row>
    <row r="10" spans="1:14">
      <c r="A10" s="26" t="s">
        <v>2544</v>
      </c>
      <c r="B10" s="26">
        <v>4427</v>
      </c>
      <c r="C10" s="26" t="s">
        <v>2532</v>
      </c>
      <c r="D10" s="26" t="s">
        <v>2528</v>
      </c>
      <c r="E10" s="252">
        <v>0.55402777777777779</v>
      </c>
      <c r="F10" s="26" t="s">
        <v>2533</v>
      </c>
      <c r="G10" s="26"/>
      <c r="H10" s="26"/>
      <c r="I10" s="26"/>
      <c r="J10" s="26"/>
      <c r="K10" s="26"/>
      <c r="L10" s="26"/>
      <c r="M10" s="26"/>
      <c r="N10" s="26"/>
    </row>
    <row r="11" spans="1:14">
      <c r="A11" s="26" t="s">
        <v>2544</v>
      </c>
      <c r="B11" s="26">
        <v>3024</v>
      </c>
      <c r="C11" s="26" t="s">
        <v>2487</v>
      </c>
      <c r="D11" s="26" t="s">
        <v>2528</v>
      </c>
      <c r="E11" s="252">
        <v>0.50922453703703707</v>
      </c>
      <c r="F11" s="26" t="s">
        <v>2534</v>
      </c>
      <c r="G11" s="26"/>
      <c r="H11" s="26"/>
      <c r="I11" s="26"/>
      <c r="J11" s="26"/>
      <c r="K11" s="26"/>
      <c r="L11" s="26"/>
      <c r="M11" s="26"/>
      <c r="N11" s="26"/>
    </row>
    <row r="12" spans="1:14">
      <c r="A12" s="26" t="s">
        <v>2544</v>
      </c>
      <c r="B12" s="26">
        <v>4935</v>
      </c>
      <c r="C12" s="26" t="s">
        <v>2535</v>
      </c>
      <c r="D12" s="26" t="s">
        <v>2528</v>
      </c>
      <c r="E12" s="252">
        <v>0.49146990740740742</v>
      </c>
      <c r="F12" s="26" t="s">
        <v>2536</v>
      </c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2544</v>
      </c>
      <c r="B13" s="26">
        <v>1712</v>
      </c>
      <c r="C13" s="26" t="s">
        <v>2089</v>
      </c>
      <c r="D13" s="26" t="s">
        <v>2528</v>
      </c>
      <c r="E13" s="252">
        <v>0.44262731481481482</v>
      </c>
      <c r="F13" s="26" t="s">
        <v>2537</v>
      </c>
      <c r="G13" s="26"/>
      <c r="H13" s="26"/>
      <c r="I13" s="26"/>
      <c r="J13" s="26"/>
      <c r="K13" s="26"/>
      <c r="L13" s="26"/>
      <c r="M13" s="26"/>
      <c r="N13" s="26"/>
    </row>
    <row r="14" spans="1:14">
      <c r="A14" s="26" t="s">
        <v>2544</v>
      </c>
      <c r="B14" s="26">
        <v>6514</v>
      </c>
      <c r="C14" s="26" t="s">
        <v>1905</v>
      </c>
      <c r="D14" s="26" t="s">
        <v>2528</v>
      </c>
      <c r="E14" s="252">
        <v>0.43761574074074078</v>
      </c>
      <c r="F14" s="26" t="s">
        <v>2538</v>
      </c>
      <c r="G14" s="26"/>
      <c r="H14" s="26"/>
      <c r="I14" s="26"/>
      <c r="J14" s="26"/>
      <c r="K14" s="26"/>
      <c r="L14" s="26"/>
      <c r="M14" s="26"/>
      <c r="N14" s="26"/>
    </row>
    <row r="15" spans="1:14">
      <c r="A15" s="26" t="s">
        <v>2544</v>
      </c>
      <c r="B15" s="26">
        <v>3491</v>
      </c>
      <c r="C15" s="26" t="s">
        <v>2539</v>
      </c>
      <c r="D15" s="26" t="s">
        <v>2528</v>
      </c>
      <c r="E15" s="252">
        <v>0.42348379629629629</v>
      </c>
      <c r="F15" s="26" t="s">
        <v>2540</v>
      </c>
      <c r="G15" s="26"/>
      <c r="H15" s="26"/>
      <c r="I15" s="26"/>
      <c r="J15" s="26"/>
      <c r="K15" s="26"/>
      <c r="L15" s="26"/>
      <c r="M15" s="26"/>
      <c r="N15" s="26"/>
    </row>
    <row r="16" spans="1:14">
      <c r="A16" s="26" t="s">
        <v>2544</v>
      </c>
      <c r="B16" s="26">
        <v>1476</v>
      </c>
      <c r="C16" s="26" t="s">
        <v>2485</v>
      </c>
      <c r="D16" s="26" t="s">
        <v>2528</v>
      </c>
      <c r="E16" s="252">
        <v>0.42063657407407407</v>
      </c>
      <c r="F16" s="26" t="s">
        <v>2541</v>
      </c>
      <c r="G16" s="26"/>
      <c r="H16" s="26"/>
      <c r="I16" s="26"/>
      <c r="J16" s="26"/>
      <c r="K16" s="26"/>
      <c r="L16" s="26"/>
      <c r="M16" s="26"/>
      <c r="N16" s="26"/>
    </row>
    <row r="17" spans="1:14">
      <c r="A17" s="26" t="s">
        <v>2544</v>
      </c>
      <c r="B17" s="26">
        <v>3430</v>
      </c>
      <c r="C17" s="26" t="s">
        <v>2542</v>
      </c>
      <c r="D17" s="26" t="s">
        <v>2528</v>
      </c>
      <c r="E17" s="252">
        <v>0.40443287037037035</v>
      </c>
      <c r="F17" s="26" t="s">
        <v>2543</v>
      </c>
      <c r="G17" s="26"/>
      <c r="H17" s="26"/>
      <c r="I17" s="26"/>
      <c r="J17" s="26"/>
      <c r="K17" s="26"/>
      <c r="L17" s="26"/>
      <c r="M17" s="26"/>
      <c r="N17" s="2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9525</xdr:rowOff>
              </from>
              <to>
                <xdr:col>2</xdr:col>
                <xdr:colOff>552450</xdr:colOff>
                <xdr:row>0</xdr:row>
                <xdr:rowOff>371475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L1517"/>
  <sheetViews>
    <sheetView workbookViewId="0">
      <pane xSplit="7" ySplit="1" topLeftCell="H23" activePane="bottomRight" state="frozen"/>
      <selection pane="topRight" activeCell="H1" sqref="H1"/>
      <selection pane="bottomLeft" activeCell="A2" sqref="A2"/>
      <selection pane="bottomRight" activeCell="L25" sqref="L25"/>
    </sheetView>
  </sheetViews>
  <sheetFormatPr defaultRowHeight="16.5"/>
  <cols>
    <col min="8" max="8" width="5.5" bestFit="1" customWidth="1"/>
    <col min="11" max="11" width="11.125" style="248" bestFit="1" customWidth="1"/>
    <col min="12" max="12" width="14.75" bestFit="1" customWidth="1"/>
  </cols>
  <sheetData>
    <row r="1" spans="1:12" s="183" customFormat="1" ht="26.25" customHeight="1">
      <c r="A1" s="183" t="s">
        <v>203</v>
      </c>
      <c r="B1" s="183" t="s">
        <v>1871</v>
      </c>
      <c r="C1" s="183" t="s">
        <v>1872</v>
      </c>
      <c r="D1" s="183" t="s">
        <v>1873</v>
      </c>
      <c r="E1" s="183" t="s">
        <v>1874</v>
      </c>
      <c r="F1" s="183" t="s">
        <v>1875</v>
      </c>
      <c r="G1" s="183" t="s">
        <v>1876</v>
      </c>
      <c r="H1" s="184" t="s">
        <v>1890</v>
      </c>
      <c r="I1" s="183" t="s">
        <v>2459</v>
      </c>
      <c r="J1" s="183" t="s">
        <v>2460</v>
      </c>
      <c r="K1" s="247" t="s">
        <v>2461</v>
      </c>
      <c r="L1" s="183" t="s">
        <v>2512</v>
      </c>
    </row>
    <row r="2" spans="1:12">
      <c r="A2">
        <v>1101</v>
      </c>
      <c r="C2">
        <v>0</v>
      </c>
      <c r="D2">
        <v>0</v>
      </c>
      <c r="E2">
        <v>0</v>
      </c>
      <c r="F2">
        <v>1</v>
      </c>
      <c r="G2">
        <v>0</v>
      </c>
      <c r="H2">
        <f t="shared" ref="H2:H65" si="0">SUM(C2:G2)</f>
        <v>1</v>
      </c>
      <c r="K2" s="248">
        <v>0.26</v>
      </c>
      <c r="L2" s="249">
        <v>3650000000</v>
      </c>
    </row>
    <row r="3" spans="1:12">
      <c r="A3">
        <v>1102</v>
      </c>
      <c r="C3">
        <v>0</v>
      </c>
      <c r="D3">
        <v>0</v>
      </c>
      <c r="E3">
        <v>0</v>
      </c>
      <c r="F3">
        <v>1</v>
      </c>
      <c r="G3">
        <v>0</v>
      </c>
      <c r="H3">
        <f t="shared" si="0"/>
        <v>1</v>
      </c>
      <c r="K3" s="248">
        <v>0.02</v>
      </c>
      <c r="L3" s="249">
        <v>3200000000</v>
      </c>
    </row>
    <row r="4" spans="1:12">
      <c r="A4">
        <v>1103</v>
      </c>
      <c r="C4">
        <v>0</v>
      </c>
      <c r="D4">
        <v>0</v>
      </c>
      <c r="E4">
        <v>0</v>
      </c>
      <c r="F4">
        <v>1</v>
      </c>
      <c r="G4">
        <v>0</v>
      </c>
      <c r="H4">
        <f t="shared" si="0"/>
        <v>1</v>
      </c>
      <c r="K4" s="248">
        <v>-0.5</v>
      </c>
      <c r="L4" s="249">
        <v>644000000</v>
      </c>
    </row>
    <row r="5" spans="1:12">
      <c r="A5">
        <v>1104</v>
      </c>
      <c r="C5">
        <v>0</v>
      </c>
      <c r="D5">
        <v>0</v>
      </c>
      <c r="E5">
        <v>1</v>
      </c>
      <c r="F5">
        <v>1</v>
      </c>
      <c r="G5">
        <v>0</v>
      </c>
      <c r="H5">
        <f t="shared" si="0"/>
        <v>2</v>
      </c>
      <c r="K5" s="248">
        <v>0.48</v>
      </c>
      <c r="L5" s="249">
        <v>627083333.33333337</v>
      </c>
    </row>
    <row r="6" spans="1:12">
      <c r="A6">
        <v>1108</v>
      </c>
      <c r="C6">
        <v>0</v>
      </c>
      <c r="D6">
        <v>1</v>
      </c>
      <c r="E6">
        <v>0</v>
      </c>
      <c r="F6">
        <v>1</v>
      </c>
      <c r="G6">
        <v>0</v>
      </c>
      <c r="H6">
        <f t="shared" si="0"/>
        <v>2</v>
      </c>
      <c r="K6" s="248">
        <v>0.23</v>
      </c>
      <c r="L6" s="249">
        <v>400000000</v>
      </c>
    </row>
    <row r="7" spans="1:12">
      <c r="A7">
        <v>1109</v>
      </c>
      <c r="C7">
        <v>0</v>
      </c>
      <c r="D7">
        <v>0</v>
      </c>
      <c r="E7">
        <v>1</v>
      </c>
      <c r="F7">
        <v>1</v>
      </c>
      <c r="G7">
        <v>0</v>
      </c>
      <c r="H7">
        <f t="shared" si="0"/>
        <v>2</v>
      </c>
      <c r="K7" s="248">
        <v>-0.08</v>
      </c>
      <c r="L7" s="249">
        <v>400000000</v>
      </c>
    </row>
    <row r="8" spans="1:12">
      <c r="A8">
        <v>1110</v>
      </c>
      <c r="C8">
        <v>0</v>
      </c>
      <c r="D8">
        <v>1</v>
      </c>
      <c r="E8">
        <v>0</v>
      </c>
      <c r="F8">
        <v>1</v>
      </c>
      <c r="G8">
        <v>0</v>
      </c>
      <c r="H8">
        <f t="shared" si="0"/>
        <v>2</v>
      </c>
      <c r="K8" s="248">
        <v>0.11</v>
      </c>
      <c r="L8" s="249">
        <v>554545454.5454545</v>
      </c>
    </row>
    <row r="9" spans="1:12">
      <c r="A9">
        <v>1201</v>
      </c>
      <c r="C9">
        <v>0</v>
      </c>
      <c r="D9">
        <v>0</v>
      </c>
      <c r="E9">
        <v>0</v>
      </c>
      <c r="F9">
        <v>0</v>
      </c>
      <c r="G9">
        <v>0</v>
      </c>
      <c r="H9">
        <f t="shared" si="0"/>
        <v>0</v>
      </c>
      <c r="K9" s="248">
        <v>-1.1499999999999999</v>
      </c>
      <c r="L9" s="249">
        <v>505217391.30434787</v>
      </c>
    </row>
    <row r="10" spans="1:12">
      <c r="A10">
        <v>1203</v>
      </c>
      <c r="C10">
        <v>0</v>
      </c>
      <c r="D10">
        <v>1</v>
      </c>
      <c r="E10">
        <v>2</v>
      </c>
      <c r="F10">
        <v>1</v>
      </c>
      <c r="G10">
        <v>1</v>
      </c>
      <c r="H10">
        <f t="shared" si="0"/>
        <v>5</v>
      </c>
      <c r="K10" s="248">
        <v>0.47</v>
      </c>
      <c r="L10" s="249">
        <v>238297872.34042555</v>
      </c>
    </row>
    <row r="11" spans="1:12">
      <c r="A11">
        <v>1210</v>
      </c>
      <c r="C11">
        <v>0</v>
      </c>
      <c r="D11">
        <v>1</v>
      </c>
      <c r="E11">
        <v>1</v>
      </c>
      <c r="F11">
        <v>0</v>
      </c>
      <c r="G11">
        <v>0</v>
      </c>
      <c r="H11">
        <f t="shared" si="0"/>
        <v>2</v>
      </c>
      <c r="K11" s="248">
        <v>0.5</v>
      </c>
      <c r="L11" s="249">
        <v>686000000</v>
      </c>
    </row>
    <row r="12" spans="1:12">
      <c r="A12">
        <v>1213</v>
      </c>
      <c r="C12">
        <v>1</v>
      </c>
      <c r="D12">
        <v>1</v>
      </c>
      <c r="E12">
        <v>2</v>
      </c>
      <c r="F12">
        <v>0</v>
      </c>
      <c r="G12">
        <v>0</v>
      </c>
      <c r="H12">
        <f t="shared" si="0"/>
        <v>4</v>
      </c>
      <c r="K12" s="248">
        <v>0.35</v>
      </c>
      <c r="L12" s="249">
        <v>0</v>
      </c>
    </row>
    <row r="13" spans="1:12">
      <c r="A13">
        <v>1215</v>
      </c>
      <c r="C13">
        <v>0</v>
      </c>
      <c r="D13">
        <v>1</v>
      </c>
      <c r="E13">
        <v>1</v>
      </c>
      <c r="F13">
        <v>1</v>
      </c>
      <c r="G13">
        <v>0</v>
      </c>
      <c r="H13">
        <f t="shared" si="0"/>
        <v>3</v>
      </c>
      <c r="K13" s="248">
        <v>0.72</v>
      </c>
      <c r="L13" s="249">
        <v>266666666.66666669</v>
      </c>
    </row>
    <row r="14" spans="1:12">
      <c r="A14">
        <v>1216</v>
      </c>
      <c r="C14">
        <v>0</v>
      </c>
      <c r="D14">
        <v>1</v>
      </c>
      <c r="E14">
        <v>2</v>
      </c>
      <c r="F14">
        <v>1</v>
      </c>
      <c r="G14">
        <v>0</v>
      </c>
      <c r="H14">
        <f t="shared" si="0"/>
        <v>4</v>
      </c>
      <c r="K14" s="248">
        <v>0.68</v>
      </c>
      <c r="L14" s="249">
        <v>5669117647.0588236</v>
      </c>
    </row>
    <row r="15" spans="1:12">
      <c r="A15">
        <v>1217</v>
      </c>
      <c r="C15">
        <v>1</v>
      </c>
      <c r="D15">
        <v>1</v>
      </c>
      <c r="E15">
        <v>0</v>
      </c>
      <c r="F15">
        <v>0</v>
      </c>
      <c r="G15">
        <v>0</v>
      </c>
      <c r="H15">
        <f t="shared" si="0"/>
        <v>2</v>
      </c>
      <c r="K15" s="248">
        <v>0.44</v>
      </c>
      <c r="L15" s="249">
        <v>481818181.81818181</v>
      </c>
    </row>
    <row r="16" spans="1:12">
      <c r="A16">
        <v>1218</v>
      </c>
      <c r="C16">
        <v>1</v>
      </c>
      <c r="D16">
        <v>1</v>
      </c>
      <c r="E16">
        <v>1</v>
      </c>
      <c r="F16">
        <v>0</v>
      </c>
      <c r="G16">
        <v>0</v>
      </c>
      <c r="H16">
        <f t="shared" si="0"/>
        <v>3</v>
      </c>
      <c r="K16" s="248">
        <v>0.3</v>
      </c>
      <c r="L16" s="249">
        <v>336666666.66666669</v>
      </c>
    </row>
    <row r="17" spans="1:12">
      <c r="A17">
        <v>1219</v>
      </c>
      <c r="C17">
        <v>0</v>
      </c>
      <c r="D17">
        <v>1</v>
      </c>
      <c r="E17">
        <v>1</v>
      </c>
      <c r="F17">
        <v>0</v>
      </c>
      <c r="G17">
        <v>0</v>
      </c>
      <c r="H17">
        <f t="shared" si="0"/>
        <v>2</v>
      </c>
      <c r="K17" s="248">
        <v>0.08</v>
      </c>
      <c r="L17" s="249">
        <v>312500000</v>
      </c>
    </row>
    <row r="18" spans="1:12">
      <c r="A18">
        <v>1220</v>
      </c>
      <c r="C18">
        <v>1</v>
      </c>
      <c r="D18">
        <v>1</v>
      </c>
      <c r="E18">
        <v>0</v>
      </c>
      <c r="F18">
        <v>0</v>
      </c>
      <c r="G18">
        <v>0</v>
      </c>
      <c r="H18">
        <f t="shared" si="0"/>
        <v>2</v>
      </c>
      <c r="K18" s="248">
        <v>0.32</v>
      </c>
      <c r="L18" s="249">
        <v>178125000</v>
      </c>
    </row>
    <row r="19" spans="1:12">
      <c r="A19">
        <v>1225</v>
      </c>
      <c r="C19">
        <v>0</v>
      </c>
      <c r="D19">
        <v>1</v>
      </c>
      <c r="E19">
        <v>0</v>
      </c>
      <c r="F19">
        <v>0</v>
      </c>
      <c r="G19">
        <v>0</v>
      </c>
      <c r="H19">
        <f t="shared" si="0"/>
        <v>1</v>
      </c>
      <c r="K19" s="248">
        <v>0.24</v>
      </c>
      <c r="L19" s="249">
        <v>216666666.66666669</v>
      </c>
    </row>
    <row r="20" spans="1:12">
      <c r="A20">
        <v>1227</v>
      </c>
      <c r="C20">
        <v>0</v>
      </c>
      <c r="D20">
        <v>1</v>
      </c>
      <c r="E20">
        <v>2</v>
      </c>
      <c r="F20">
        <v>1</v>
      </c>
      <c r="G20">
        <v>0</v>
      </c>
      <c r="H20">
        <f t="shared" si="0"/>
        <v>4</v>
      </c>
      <c r="K20" s="248">
        <v>1.08</v>
      </c>
      <c r="L20" s="249">
        <v>783333333.33333325</v>
      </c>
    </row>
    <row r="21" spans="1:12">
      <c r="A21">
        <v>1229</v>
      </c>
      <c r="C21">
        <v>0</v>
      </c>
      <c r="D21">
        <v>0</v>
      </c>
      <c r="E21">
        <v>0</v>
      </c>
      <c r="F21">
        <v>1</v>
      </c>
      <c r="G21">
        <v>0</v>
      </c>
      <c r="H21">
        <f t="shared" si="0"/>
        <v>1</v>
      </c>
      <c r="K21" s="248">
        <v>0.37</v>
      </c>
      <c r="L21" s="249">
        <v>883783783.78378379</v>
      </c>
    </row>
    <row r="22" spans="1:12">
      <c r="A22">
        <v>1231</v>
      </c>
      <c r="C22">
        <v>0</v>
      </c>
      <c r="D22">
        <v>1</v>
      </c>
      <c r="E22">
        <v>0</v>
      </c>
      <c r="F22">
        <v>0</v>
      </c>
      <c r="G22">
        <v>0</v>
      </c>
      <c r="H22">
        <f t="shared" si="0"/>
        <v>1</v>
      </c>
      <c r="K22" s="248">
        <v>0.79</v>
      </c>
      <c r="L22" s="249">
        <v>149367088.60759494</v>
      </c>
    </row>
    <row r="23" spans="1:12">
      <c r="A23">
        <v>1232</v>
      </c>
      <c r="C23">
        <v>0</v>
      </c>
      <c r="D23">
        <v>1</v>
      </c>
      <c r="E23">
        <v>1</v>
      </c>
      <c r="F23">
        <v>1</v>
      </c>
      <c r="G23">
        <v>0</v>
      </c>
      <c r="H23">
        <f t="shared" si="0"/>
        <v>3</v>
      </c>
      <c r="K23" s="248">
        <v>1.72</v>
      </c>
      <c r="L23" s="249">
        <v>159302325.58139536</v>
      </c>
    </row>
    <row r="24" spans="1:12">
      <c r="A24">
        <v>1233</v>
      </c>
      <c r="C24">
        <v>0</v>
      </c>
      <c r="D24">
        <v>1</v>
      </c>
      <c r="E24">
        <v>1</v>
      </c>
      <c r="F24">
        <v>1</v>
      </c>
      <c r="G24">
        <v>0</v>
      </c>
      <c r="H24">
        <f t="shared" si="0"/>
        <v>3</v>
      </c>
      <c r="K24" s="248">
        <v>0.48</v>
      </c>
      <c r="L24" s="249">
        <v>89583333.333333343</v>
      </c>
    </row>
    <row r="25" spans="1:12">
      <c r="A25">
        <v>1234</v>
      </c>
      <c r="C25">
        <v>1</v>
      </c>
      <c r="D25">
        <v>1</v>
      </c>
      <c r="E25">
        <v>2</v>
      </c>
      <c r="F25">
        <v>1</v>
      </c>
      <c r="G25">
        <v>0</v>
      </c>
      <c r="H25">
        <f t="shared" si="0"/>
        <v>5</v>
      </c>
      <c r="K25" s="248">
        <v>0.72</v>
      </c>
      <c r="L25" s="249">
        <v>404166666.66666669</v>
      </c>
    </row>
    <row r="26" spans="1:12">
      <c r="A26">
        <v>1235</v>
      </c>
      <c r="C26">
        <v>0</v>
      </c>
      <c r="D26">
        <v>1</v>
      </c>
      <c r="E26">
        <v>1</v>
      </c>
      <c r="F26">
        <v>1</v>
      </c>
      <c r="G26">
        <v>0</v>
      </c>
      <c r="H26">
        <f t="shared" si="0"/>
        <v>3</v>
      </c>
      <c r="K26" s="248">
        <v>0.95</v>
      </c>
      <c r="L26" s="249">
        <v>58947368.421052635</v>
      </c>
    </row>
    <row r="27" spans="1:12">
      <c r="A27">
        <v>1236</v>
      </c>
      <c r="C27">
        <v>0</v>
      </c>
      <c r="D27">
        <v>1</v>
      </c>
      <c r="E27">
        <v>0</v>
      </c>
      <c r="F27">
        <v>0</v>
      </c>
      <c r="G27">
        <v>0</v>
      </c>
      <c r="H27">
        <f t="shared" si="0"/>
        <v>1</v>
      </c>
      <c r="K27" s="248">
        <v>0.09</v>
      </c>
      <c r="L27" s="249">
        <v>111111111.11111112</v>
      </c>
    </row>
    <row r="28" spans="1:12">
      <c r="A28">
        <v>1256</v>
      </c>
      <c r="C28">
        <v>0</v>
      </c>
      <c r="D28">
        <v>0</v>
      </c>
      <c r="E28">
        <v>0</v>
      </c>
      <c r="F28">
        <v>1</v>
      </c>
      <c r="G28">
        <v>0</v>
      </c>
      <c r="H28">
        <f t="shared" si="0"/>
        <v>1</v>
      </c>
      <c r="K28" s="248">
        <v>2.58</v>
      </c>
      <c r="L28" s="249">
        <v>27131782.945736434</v>
      </c>
    </row>
    <row r="29" spans="1:12">
      <c r="A29">
        <v>1258</v>
      </c>
      <c r="C29">
        <v>1</v>
      </c>
      <c r="D29">
        <v>1</v>
      </c>
      <c r="E29">
        <v>2</v>
      </c>
      <c r="F29">
        <v>1</v>
      </c>
      <c r="G29">
        <v>1</v>
      </c>
      <c r="H29">
        <f t="shared" si="0"/>
        <v>6</v>
      </c>
      <c r="K29" s="248">
        <v>1.32</v>
      </c>
      <c r="L29" s="249">
        <v>34090909.090909086</v>
      </c>
    </row>
    <row r="30" spans="1:12">
      <c r="A30">
        <v>1259</v>
      </c>
      <c r="C30">
        <v>1</v>
      </c>
      <c r="D30">
        <v>1</v>
      </c>
      <c r="E30">
        <v>0</v>
      </c>
      <c r="F30">
        <v>1</v>
      </c>
      <c r="G30">
        <v>0</v>
      </c>
      <c r="H30">
        <f t="shared" si="0"/>
        <v>3</v>
      </c>
      <c r="K30" s="248">
        <v>1.67</v>
      </c>
      <c r="L30" s="249">
        <v>32335329.341317367</v>
      </c>
    </row>
    <row r="31" spans="1:12">
      <c r="A31">
        <v>1262</v>
      </c>
      <c r="C31">
        <v>0</v>
      </c>
      <c r="D31">
        <v>1</v>
      </c>
      <c r="E31">
        <v>1</v>
      </c>
      <c r="F31">
        <v>1</v>
      </c>
      <c r="G31">
        <v>0</v>
      </c>
      <c r="H31">
        <f t="shared" si="0"/>
        <v>3</v>
      </c>
      <c r="K31" s="248">
        <v>2.73</v>
      </c>
      <c r="L31" s="249">
        <v>148351648.35164836</v>
      </c>
    </row>
    <row r="32" spans="1:12">
      <c r="A32">
        <v>1264</v>
      </c>
      <c r="C32">
        <v>0</v>
      </c>
      <c r="D32">
        <v>1</v>
      </c>
      <c r="E32">
        <v>0</v>
      </c>
      <c r="F32">
        <v>1</v>
      </c>
      <c r="G32">
        <v>0</v>
      </c>
      <c r="H32">
        <f t="shared" si="0"/>
        <v>2</v>
      </c>
      <c r="K32" s="248">
        <v>3.14</v>
      </c>
      <c r="L32" s="249">
        <v>30573248.407643311</v>
      </c>
    </row>
    <row r="33" spans="1:12">
      <c r="A33">
        <v>1301</v>
      </c>
      <c r="C33">
        <v>0</v>
      </c>
      <c r="D33">
        <v>1</v>
      </c>
      <c r="E33">
        <v>0</v>
      </c>
      <c r="F33">
        <v>1</v>
      </c>
      <c r="G33">
        <v>0</v>
      </c>
      <c r="H33">
        <f t="shared" si="0"/>
        <v>2</v>
      </c>
      <c r="K33" s="248">
        <v>1.65</v>
      </c>
      <c r="L33" s="249">
        <v>6381818181.818182</v>
      </c>
    </row>
    <row r="34" spans="1:12">
      <c r="A34">
        <v>1303</v>
      </c>
      <c r="C34">
        <v>0</v>
      </c>
      <c r="D34">
        <v>1</v>
      </c>
      <c r="E34">
        <v>0</v>
      </c>
      <c r="F34">
        <v>1</v>
      </c>
      <c r="G34">
        <v>0</v>
      </c>
      <c r="H34">
        <f t="shared" si="0"/>
        <v>2</v>
      </c>
      <c r="K34" s="248">
        <v>1.27</v>
      </c>
      <c r="L34" s="249">
        <v>7901574803.1496058</v>
      </c>
    </row>
    <row r="35" spans="1:12">
      <c r="A35">
        <v>1304</v>
      </c>
      <c r="C35">
        <v>0</v>
      </c>
      <c r="D35">
        <v>0</v>
      </c>
      <c r="E35">
        <v>0</v>
      </c>
      <c r="F35">
        <v>1</v>
      </c>
      <c r="G35">
        <v>0</v>
      </c>
      <c r="H35">
        <f t="shared" si="0"/>
        <v>1</v>
      </c>
      <c r="K35" s="248">
        <v>0.13</v>
      </c>
      <c r="L35" s="249">
        <v>1061538461.5384614</v>
      </c>
    </row>
    <row r="36" spans="1:12">
      <c r="A36">
        <v>1305</v>
      </c>
      <c r="C36">
        <v>0</v>
      </c>
      <c r="D36">
        <v>1</v>
      </c>
      <c r="E36">
        <v>0</v>
      </c>
      <c r="F36">
        <v>1</v>
      </c>
      <c r="G36">
        <v>0</v>
      </c>
      <c r="H36">
        <f t="shared" si="0"/>
        <v>2</v>
      </c>
      <c r="K36" s="248">
        <v>0.18</v>
      </c>
      <c r="L36" s="249">
        <v>461111111.1111111</v>
      </c>
    </row>
    <row r="37" spans="1:12">
      <c r="A37">
        <v>1307</v>
      </c>
      <c r="C37">
        <v>1</v>
      </c>
      <c r="D37">
        <v>1</v>
      </c>
      <c r="E37">
        <v>2</v>
      </c>
      <c r="F37">
        <v>1</v>
      </c>
      <c r="G37">
        <v>0</v>
      </c>
      <c r="H37">
        <f t="shared" si="0"/>
        <v>5</v>
      </c>
      <c r="K37" s="248">
        <v>0.87</v>
      </c>
      <c r="L37" s="249">
        <v>385057471.26436782</v>
      </c>
    </row>
    <row r="38" spans="1:12">
      <c r="A38">
        <v>1308</v>
      </c>
      <c r="C38">
        <v>0</v>
      </c>
      <c r="D38">
        <v>0</v>
      </c>
      <c r="E38">
        <v>0</v>
      </c>
      <c r="F38">
        <v>1</v>
      </c>
      <c r="G38">
        <v>0</v>
      </c>
      <c r="H38">
        <f t="shared" si="0"/>
        <v>1</v>
      </c>
      <c r="K38" s="248">
        <v>0.21</v>
      </c>
      <c r="L38" s="249">
        <v>495238095.23809528</v>
      </c>
    </row>
    <row r="39" spans="1:12">
      <c r="A39">
        <v>1309</v>
      </c>
      <c r="C39">
        <v>0</v>
      </c>
      <c r="D39">
        <v>0</v>
      </c>
      <c r="E39">
        <v>0</v>
      </c>
      <c r="F39">
        <v>0</v>
      </c>
      <c r="G39">
        <v>0</v>
      </c>
      <c r="H39">
        <f t="shared" si="0"/>
        <v>0</v>
      </c>
      <c r="K39" s="248">
        <v>-0.55000000000000004</v>
      </c>
      <c r="L39" s="249">
        <v>329090909.09090906</v>
      </c>
    </row>
    <row r="40" spans="1:12">
      <c r="A40">
        <v>1310</v>
      </c>
      <c r="C40">
        <v>0</v>
      </c>
      <c r="D40">
        <v>1</v>
      </c>
      <c r="E40">
        <v>0</v>
      </c>
      <c r="F40">
        <v>1</v>
      </c>
      <c r="G40">
        <v>0</v>
      </c>
      <c r="H40">
        <f t="shared" si="0"/>
        <v>2</v>
      </c>
      <c r="K40" s="248">
        <v>0.15</v>
      </c>
      <c r="L40" s="249">
        <v>526666666.66666669</v>
      </c>
    </row>
    <row r="41" spans="1:12">
      <c r="A41">
        <v>1312</v>
      </c>
      <c r="C41">
        <v>0</v>
      </c>
      <c r="D41">
        <v>1</v>
      </c>
      <c r="E41">
        <v>0</v>
      </c>
      <c r="F41">
        <v>1</v>
      </c>
      <c r="G41">
        <v>0</v>
      </c>
      <c r="H41">
        <f t="shared" si="0"/>
        <v>2</v>
      </c>
      <c r="K41" s="248">
        <v>0.16</v>
      </c>
      <c r="L41" s="249">
        <v>900000000</v>
      </c>
    </row>
    <row r="42" spans="1:12">
      <c r="A42">
        <v>1313</v>
      </c>
      <c r="C42">
        <v>0</v>
      </c>
      <c r="D42">
        <v>0</v>
      </c>
      <c r="E42">
        <v>0</v>
      </c>
      <c r="F42">
        <v>0</v>
      </c>
      <c r="G42">
        <v>0</v>
      </c>
      <c r="H42">
        <f t="shared" si="0"/>
        <v>0</v>
      </c>
      <c r="K42" s="248">
        <v>-0.21</v>
      </c>
      <c r="L42" s="249">
        <v>1171428571.4285715</v>
      </c>
    </row>
    <row r="43" spans="1:12">
      <c r="A43">
        <v>1314</v>
      </c>
      <c r="C43">
        <v>0</v>
      </c>
      <c r="D43">
        <v>1</v>
      </c>
      <c r="E43">
        <v>1</v>
      </c>
      <c r="F43">
        <v>0</v>
      </c>
      <c r="G43">
        <v>0</v>
      </c>
      <c r="H43">
        <f t="shared" si="0"/>
        <v>2</v>
      </c>
      <c r="K43" s="248">
        <v>-0.17</v>
      </c>
      <c r="L43" s="249">
        <v>2276470588.2352939</v>
      </c>
    </row>
    <row r="44" spans="1:12">
      <c r="A44">
        <v>1315</v>
      </c>
      <c r="C44">
        <v>1</v>
      </c>
      <c r="D44">
        <v>1</v>
      </c>
      <c r="E44">
        <v>1</v>
      </c>
      <c r="F44">
        <v>1</v>
      </c>
      <c r="G44">
        <v>0</v>
      </c>
      <c r="H44">
        <f t="shared" si="0"/>
        <v>4</v>
      </c>
      <c r="K44" s="248">
        <v>0.96</v>
      </c>
      <c r="L44" s="249">
        <v>190625000</v>
      </c>
    </row>
    <row r="45" spans="1:12">
      <c r="A45">
        <v>1316</v>
      </c>
      <c r="C45">
        <v>0</v>
      </c>
      <c r="D45">
        <v>1</v>
      </c>
      <c r="E45">
        <v>0</v>
      </c>
      <c r="F45">
        <v>0</v>
      </c>
      <c r="G45">
        <v>0</v>
      </c>
      <c r="H45">
        <f t="shared" si="0"/>
        <v>1</v>
      </c>
      <c r="K45" s="248">
        <v>-0.19</v>
      </c>
      <c r="L45" s="249">
        <v>157894736.84210527</v>
      </c>
    </row>
    <row r="46" spans="1:12">
      <c r="A46">
        <v>1319</v>
      </c>
      <c r="C46">
        <v>1</v>
      </c>
      <c r="D46">
        <v>1</v>
      </c>
      <c r="E46">
        <v>0</v>
      </c>
      <c r="F46">
        <v>1</v>
      </c>
      <c r="G46">
        <v>0</v>
      </c>
      <c r="H46">
        <f t="shared" si="0"/>
        <v>3</v>
      </c>
      <c r="K46" s="248">
        <v>0.82</v>
      </c>
      <c r="L46" s="249">
        <v>591463414.63414633</v>
      </c>
    </row>
    <row r="47" spans="1:12">
      <c r="A47">
        <v>1321</v>
      </c>
      <c r="C47">
        <v>0</v>
      </c>
      <c r="D47">
        <v>1</v>
      </c>
      <c r="E47">
        <v>2</v>
      </c>
      <c r="F47">
        <v>1</v>
      </c>
      <c r="G47">
        <v>0</v>
      </c>
      <c r="H47">
        <f t="shared" si="0"/>
        <v>4</v>
      </c>
      <c r="K47" s="248">
        <v>0.2</v>
      </c>
      <c r="L47" s="249">
        <v>220000000</v>
      </c>
    </row>
    <row r="48" spans="1:12">
      <c r="A48">
        <v>1323</v>
      </c>
      <c r="C48">
        <v>0</v>
      </c>
      <c r="D48">
        <v>1</v>
      </c>
      <c r="E48">
        <v>0</v>
      </c>
      <c r="F48">
        <v>1</v>
      </c>
      <c r="G48">
        <v>0</v>
      </c>
      <c r="H48">
        <f t="shared" si="0"/>
        <v>2</v>
      </c>
      <c r="K48" s="248">
        <v>0.69</v>
      </c>
      <c r="L48" s="249">
        <v>91304347.826086968</v>
      </c>
    </row>
    <row r="49" spans="1:12">
      <c r="A49">
        <v>1324</v>
      </c>
      <c r="C49">
        <v>1</v>
      </c>
      <c r="D49">
        <v>1</v>
      </c>
      <c r="E49">
        <v>0</v>
      </c>
      <c r="F49">
        <v>0</v>
      </c>
      <c r="G49">
        <v>0</v>
      </c>
      <c r="H49">
        <f t="shared" si="0"/>
        <v>2</v>
      </c>
      <c r="K49" s="248">
        <v>0.28000000000000003</v>
      </c>
      <c r="L49" s="249">
        <v>75000000</v>
      </c>
    </row>
    <row r="50" spans="1:12">
      <c r="A50">
        <v>1325</v>
      </c>
      <c r="C50">
        <v>1</v>
      </c>
      <c r="D50">
        <v>1</v>
      </c>
      <c r="E50">
        <v>0</v>
      </c>
      <c r="F50">
        <v>1</v>
      </c>
      <c r="G50">
        <v>0</v>
      </c>
      <c r="H50">
        <f t="shared" si="0"/>
        <v>3</v>
      </c>
      <c r="K50" s="248">
        <v>0.36</v>
      </c>
      <c r="L50" s="249">
        <v>100000000</v>
      </c>
    </row>
    <row r="51" spans="1:12">
      <c r="A51">
        <v>1326</v>
      </c>
      <c r="C51">
        <v>0</v>
      </c>
      <c r="D51">
        <v>1</v>
      </c>
      <c r="E51">
        <v>0</v>
      </c>
      <c r="F51">
        <v>1</v>
      </c>
      <c r="G51">
        <v>0</v>
      </c>
      <c r="H51">
        <f t="shared" si="0"/>
        <v>2</v>
      </c>
      <c r="K51" s="248">
        <v>1.33</v>
      </c>
      <c r="L51" s="249">
        <v>5868421052.6315784</v>
      </c>
    </row>
    <row r="52" spans="1:12">
      <c r="A52">
        <v>1333</v>
      </c>
      <c r="C52">
        <v>0</v>
      </c>
      <c r="D52">
        <v>1</v>
      </c>
      <c r="E52">
        <v>1</v>
      </c>
      <c r="F52">
        <v>1</v>
      </c>
      <c r="G52">
        <v>0</v>
      </c>
      <c r="H52">
        <f t="shared" si="0"/>
        <v>3</v>
      </c>
      <c r="K52" s="248">
        <v>0.02</v>
      </c>
      <c r="L52" s="249">
        <v>100000000</v>
      </c>
    </row>
    <row r="53" spans="1:12">
      <c r="A53">
        <v>1336</v>
      </c>
      <c r="C53">
        <v>0</v>
      </c>
      <c r="D53">
        <v>1</v>
      </c>
      <c r="E53">
        <v>1</v>
      </c>
      <c r="F53">
        <v>0</v>
      </c>
      <c r="G53">
        <v>0</v>
      </c>
      <c r="H53">
        <f t="shared" si="0"/>
        <v>2</v>
      </c>
      <c r="K53" s="248">
        <v>-0.54</v>
      </c>
      <c r="L53" s="249">
        <v>62962962.962962955</v>
      </c>
    </row>
    <row r="54" spans="1:12">
      <c r="A54">
        <v>1337</v>
      </c>
      <c r="C54">
        <v>0</v>
      </c>
      <c r="D54">
        <v>1</v>
      </c>
      <c r="E54">
        <v>1</v>
      </c>
      <c r="F54">
        <v>1</v>
      </c>
      <c r="G54">
        <v>0</v>
      </c>
      <c r="H54">
        <f t="shared" si="0"/>
        <v>3</v>
      </c>
      <c r="K54" s="248">
        <v>0.43</v>
      </c>
      <c r="L54" s="249">
        <v>260465116.27906978</v>
      </c>
    </row>
    <row r="55" spans="1:12">
      <c r="A55">
        <v>1338</v>
      </c>
      <c r="C55">
        <v>0</v>
      </c>
      <c r="D55">
        <v>1</v>
      </c>
      <c r="E55">
        <v>0</v>
      </c>
      <c r="F55">
        <v>1</v>
      </c>
      <c r="G55">
        <v>0</v>
      </c>
      <c r="H55">
        <f t="shared" si="0"/>
        <v>2</v>
      </c>
      <c r="K55" s="248">
        <v>2.14</v>
      </c>
      <c r="L55" s="249">
        <v>83644859.813084111</v>
      </c>
    </row>
    <row r="56" spans="1:12">
      <c r="A56">
        <v>1339</v>
      </c>
      <c r="C56">
        <v>1</v>
      </c>
      <c r="D56">
        <v>1</v>
      </c>
      <c r="E56">
        <v>0</v>
      </c>
      <c r="F56">
        <v>0</v>
      </c>
      <c r="G56">
        <v>1</v>
      </c>
      <c r="H56">
        <f t="shared" si="0"/>
        <v>3</v>
      </c>
      <c r="K56" s="248">
        <v>1.55</v>
      </c>
      <c r="L56" s="249">
        <v>74838709.67741935</v>
      </c>
    </row>
    <row r="57" spans="1:12">
      <c r="A57">
        <v>1340</v>
      </c>
      <c r="C57">
        <v>0</v>
      </c>
      <c r="D57">
        <v>1</v>
      </c>
      <c r="E57">
        <v>0</v>
      </c>
      <c r="F57">
        <v>1</v>
      </c>
      <c r="G57">
        <v>0</v>
      </c>
      <c r="H57">
        <f t="shared" si="0"/>
        <v>2</v>
      </c>
      <c r="K57" s="248">
        <v>2.2999999999999998</v>
      </c>
      <c r="L57" s="249">
        <v>114782608.69565219</v>
      </c>
    </row>
    <row r="58" spans="1:12">
      <c r="A58">
        <v>1402</v>
      </c>
      <c r="C58">
        <v>0</v>
      </c>
      <c r="D58">
        <v>0</v>
      </c>
      <c r="E58">
        <v>0</v>
      </c>
      <c r="F58">
        <v>1</v>
      </c>
      <c r="G58">
        <v>0</v>
      </c>
      <c r="H58">
        <f t="shared" si="0"/>
        <v>1</v>
      </c>
      <c r="K58" s="248">
        <v>0.15</v>
      </c>
      <c r="L58" s="249">
        <v>5160000000</v>
      </c>
    </row>
    <row r="59" spans="1:12">
      <c r="A59">
        <v>1410</v>
      </c>
      <c r="C59">
        <v>0</v>
      </c>
      <c r="D59">
        <v>1</v>
      </c>
      <c r="E59">
        <v>0</v>
      </c>
      <c r="F59">
        <v>1</v>
      </c>
      <c r="G59">
        <v>0</v>
      </c>
      <c r="H59">
        <f t="shared" si="0"/>
        <v>2</v>
      </c>
      <c r="K59" s="248">
        <v>0.47</v>
      </c>
      <c r="L59" s="249">
        <v>72340425.531914905</v>
      </c>
    </row>
    <row r="60" spans="1:12">
      <c r="A60">
        <v>1413</v>
      </c>
      <c r="C60">
        <v>0</v>
      </c>
      <c r="D60">
        <v>1</v>
      </c>
      <c r="E60">
        <v>0</v>
      </c>
      <c r="F60">
        <v>1</v>
      </c>
      <c r="G60">
        <v>0</v>
      </c>
      <c r="H60">
        <f t="shared" si="0"/>
        <v>2</v>
      </c>
      <c r="K60" s="248">
        <v>-0.28000000000000003</v>
      </c>
      <c r="L60" s="249">
        <v>132142857.14285713</v>
      </c>
    </row>
    <row r="61" spans="1:12">
      <c r="A61">
        <v>1414</v>
      </c>
      <c r="C61">
        <v>0</v>
      </c>
      <c r="D61">
        <v>1</v>
      </c>
      <c r="E61">
        <v>0</v>
      </c>
      <c r="F61">
        <v>1</v>
      </c>
      <c r="G61">
        <v>0</v>
      </c>
      <c r="H61">
        <f t="shared" si="0"/>
        <v>2</v>
      </c>
      <c r="K61" s="248">
        <v>0.06</v>
      </c>
      <c r="L61" s="249">
        <v>200000000</v>
      </c>
    </row>
    <row r="62" spans="1:12">
      <c r="A62">
        <v>1416</v>
      </c>
      <c r="C62">
        <v>0</v>
      </c>
      <c r="D62">
        <v>0</v>
      </c>
      <c r="E62">
        <v>0</v>
      </c>
      <c r="F62">
        <v>0</v>
      </c>
      <c r="G62">
        <v>0</v>
      </c>
      <c r="H62">
        <f t="shared" si="0"/>
        <v>0</v>
      </c>
      <c r="K62" s="248">
        <v>-0.26</v>
      </c>
      <c r="L62" s="249">
        <v>273076923.07692307</v>
      </c>
    </row>
    <row r="63" spans="1:12">
      <c r="A63">
        <v>1417</v>
      </c>
      <c r="C63">
        <v>0</v>
      </c>
      <c r="D63">
        <v>0</v>
      </c>
      <c r="E63">
        <v>1</v>
      </c>
      <c r="F63">
        <v>0</v>
      </c>
      <c r="G63">
        <v>0</v>
      </c>
      <c r="H63">
        <f t="shared" si="0"/>
        <v>1</v>
      </c>
      <c r="K63" s="248">
        <v>-0.34</v>
      </c>
      <c r="L63" s="249">
        <v>379411764.70588231</v>
      </c>
    </row>
    <row r="64" spans="1:12">
      <c r="A64">
        <v>1418</v>
      </c>
      <c r="C64">
        <v>0</v>
      </c>
      <c r="D64">
        <v>1</v>
      </c>
      <c r="E64">
        <v>0</v>
      </c>
      <c r="F64">
        <v>0</v>
      </c>
      <c r="G64">
        <v>0</v>
      </c>
      <c r="H64">
        <f t="shared" si="0"/>
        <v>1</v>
      </c>
      <c r="K64" s="248">
        <v>-0.18</v>
      </c>
      <c r="L64" s="249">
        <v>127777777.77777778</v>
      </c>
    </row>
    <row r="65" spans="1:12">
      <c r="A65">
        <v>1419</v>
      </c>
      <c r="C65">
        <v>1</v>
      </c>
      <c r="D65">
        <v>1</v>
      </c>
      <c r="E65">
        <v>0</v>
      </c>
      <c r="F65">
        <v>0</v>
      </c>
      <c r="G65">
        <v>0</v>
      </c>
      <c r="H65">
        <f t="shared" si="0"/>
        <v>2</v>
      </c>
      <c r="K65" s="248">
        <v>0.6</v>
      </c>
      <c r="L65" s="249">
        <v>298333333.33333337</v>
      </c>
    </row>
    <row r="66" spans="1:12">
      <c r="A66">
        <v>1423</v>
      </c>
      <c r="C66">
        <v>0</v>
      </c>
      <c r="D66">
        <v>0</v>
      </c>
      <c r="E66">
        <v>0</v>
      </c>
      <c r="F66">
        <v>0</v>
      </c>
      <c r="G66">
        <v>1</v>
      </c>
      <c r="H66">
        <f t="shared" ref="H66:H129" si="1">SUM(C66:G66)</f>
        <v>1</v>
      </c>
      <c r="K66" s="248">
        <v>-0.1</v>
      </c>
      <c r="L66" s="249">
        <v>170000000</v>
      </c>
    </row>
    <row r="67" spans="1:12">
      <c r="A67">
        <v>1432</v>
      </c>
      <c r="C67">
        <v>0</v>
      </c>
      <c r="D67">
        <v>0</v>
      </c>
      <c r="E67">
        <v>1</v>
      </c>
      <c r="F67">
        <v>1</v>
      </c>
      <c r="G67">
        <v>0</v>
      </c>
      <c r="H67">
        <f t="shared" si="1"/>
        <v>2</v>
      </c>
      <c r="K67" s="248">
        <v>-0.02</v>
      </c>
      <c r="L67" s="249">
        <v>150000000</v>
      </c>
    </row>
    <row r="68" spans="1:12">
      <c r="A68">
        <v>1434</v>
      </c>
      <c r="C68">
        <v>0</v>
      </c>
      <c r="D68">
        <v>1</v>
      </c>
      <c r="E68">
        <v>0</v>
      </c>
      <c r="F68">
        <v>1</v>
      </c>
      <c r="G68">
        <v>0</v>
      </c>
      <c r="H68">
        <f t="shared" si="1"/>
        <v>2</v>
      </c>
      <c r="K68" s="248">
        <v>0.61</v>
      </c>
      <c r="L68" s="249">
        <v>1670491803.2786887</v>
      </c>
    </row>
    <row r="69" spans="1:12">
      <c r="A69">
        <v>1435</v>
      </c>
      <c r="C69">
        <v>1</v>
      </c>
      <c r="D69">
        <v>1</v>
      </c>
      <c r="E69">
        <v>1</v>
      </c>
      <c r="F69">
        <v>2</v>
      </c>
      <c r="G69">
        <v>0</v>
      </c>
      <c r="H69">
        <f t="shared" si="1"/>
        <v>5</v>
      </c>
      <c r="K69" s="248">
        <v>0</v>
      </c>
      <c r="L69" s="249">
        <v>0</v>
      </c>
    </row>
    <row r="70" spans="1:12">
      <c r="A70">
        <v>1436</v>
      </c>
      <c r="C70">
        <v>0</v>
      </c>
      <c r="D70">
        <v>1</v>
      </c>
      <c r="E70">
        <v>1</v>
      </c>
      <c r="F70">
        <v>0</v>
      </c>
      <c r="G70">
        <v>0</v>
      </c>
      <c r="H70">
        <f t="shared" si="1"/>
        <v>2</v>
      </c>
      <c r="K70" s="248">
        <v>-0.2</v>
      </c>
      <c r="L70" s="249">
        <v>70000000</v>
      </c>
    </row>
    <row r="71" spans="1:12">
      <c r="A71">
        <v>1437</v>
      </c>
      <c r="C71">
        <v>0</v>
      </c>
      <c r="D71">
        <v>1</v>
      </c>
      <c r="E71">
        <v>2</v>
      </c>
      <c r="F71">
        <v>1</v>
      </c>
      <c r="G71">
        <v>0</v>
      </c>
      <c r="H71">
        <f t="shared" si="1"/>
        <v>4</v>
      </c>
      <c r="K71" s="248">
        <v>0.11</v>
      </c>
      <c r="L71" s="249">
        <v>200000000</v>
      </c>
    </row>
    <row r="72" spans="1:12">
      <c r="A72">
        <v>1438</v>
      </c>
      <c r="C72">
        <v>0</v>
      </c>
      <c r="D72">
        <v>1</v>
      </c>
      <c r="E72">
        <v>2</v>
      </c>
      <c r="F72">
        <v>1</v>
      </c>
      <c r="G72">
        <v>0</v>
      </c>
      <c r="H72">
        <f t="shared" si="1"/>
        <v>4</v>
      </c>
      <c r="K72" s="248">
        <v>0.04</v>
      </c>
      <c r="L72" s="249">
        <v>100000000</v>
      </c>
    </row>
    <row r="73" spans="1:12">
      <c r="A73">
        <v>1439</v>
      </c>
      <c r="C73">
        <v>0</v>
      </c>
      <c r="D73">
        <v>0</v>
      </c>
      <c r="E73">
        <v>0</v>
      </c>
      <c r="F73">
        <v>0</v>
      </c>
      <c r="G73">
        <v>0</v>
      </c>
      <c r="H73">
        <f t="shared" si="1"/>
        <v>0</v>
      </c>
      <c r="K73" s="248">
        <v>0</v>
      </c>
      <c r="L73" s="249">
        <v>0</v>
      </c>
    </row>
    <row r="74" spans="1:12">
      <c r="A74">
        <v>1440</v>
      </c>
      <c r="C74">
        <v>0</v>
      </c>
      <c r="D74">
        <v>1</v>
      </c>
      <c r="E74">
        <v>0</v>
      </c>
      <c r="F74">
        <v>0</v>
      </c>
      <c r="G74">
        <v>0</v>
      </c>
      <c r="H74">
        <f t="shared" si="1"/>
        <v>1</v>
      </c>
      <c r="K74" s="248">
        <v>0.23</v>
      </c>
      <c r="L74" s="249">
        <v>1643478260.8695652</v>
      </c>
    </row>
    <row r="75" spans="1:12">
      <c r="A75">
        <v>1441</v>
      </c>
      <c r="C75">
        <v>0</v>
      </c>
      <c r="D75">
        <v>1</v>
      </c>
      <c r="E75">
        <v>0</v>
      </c>
      <c r="F75">
        <v>1</v>
      </c>
      <c r="G75">
        <v>0</v>
      </c>
      <c r="H75">
        <f t="shared" si="1"/>
        <v>2</v>
      </c>
      <c r="K75" s="248">
        <v>-0.2</v>
      </c>
      <c r="L75" s="249">
        <v>90000000</v>
      </c>
    </row>
    <row r="76" spans="1:12">
      <c r="A76">
        <v>1442</v>
      </c>
      <c r="C76">
        <v>0</v>
      </c>
      <c r="D76">
        <v>0</v>
      </c>
      <c r="E76">
        <v>0</v>
      </c>
      <c r="F76">
        <v>0</v>
      </c>
      <c r="G76">
        <v>0</v>
      </c>
      <c r="H76">
        <f t="shared" si="1"/>
        <v>0</v>
      </c>
      <c r="K76" s="248">
        <v>0.43</v>
      </c>
      <c r="L76" s="249">
        <v>225581395.34883723</v>
      </c>
    </row>
    <row r="77" spans="1:12">
      <c r="A77">
        <v>1443</v>
      </c>
      <c r="C77">
        <v>0</v>
      </c>
      <c r="D77">
        <v>1</v>
      </c>
      <c r="E77">
        <v>0</v>
      </c>
      <c r="F77">
        <v>0</v>
      </c>
      <c r="G77">
        <v>0</v>
      </c>
      <c r="H77">
        <f t="shared" si="1"/>
        <v>1</v>
      </c>
      <c r="K77" s="248">
        <v>0.27</v>
      </c>
      <c r="L77" s="249">
        <v>133333333.33333333</v>
      </c>
    </row>
    <row r="78" spans="1:12">
      <c r="A78">
        <v>1444</v>
      </c>
      <c r="C78">
        <v>0</v>
      </c>
      <c r="D78">
        <v>1</v>
      </c>
      <c r="E78">
        <v>0</v>
      </c>
      <c r="F78">
        <v>1</v>
      </c>
      <c r="G78">
        <v>0</v>
      </c>
      <c r="H78">
        <f t="shared" si="1"/>
        <v>2</v>
      </c>
      <c r="K78" s="248">
        <v>0.14000000000000001</v>
      </c>
      <c r="L78" s="249">
        <v>971428571.42857134</v>
      </c>
    </row>
    <row r="79" spans="1:12">
      <c r="A79">
        <v>1445</v>
      </c>
      <c r="C79">
        <v>1</v>
      </c>
      <c r="D79">
        <v>1</v>
      </c>
      <c r="E79">
        <v>0</v>
      </c>
      <c r="F79">
        <v>0</v>
      </c>
      <c r="G79">
        <v>0</v>
      </c>
      <c r="H79">
        <f t="shared" si="1"/>
        <v>2</v>
      </c>
      <c r="K79" s="248">
        <v>0.22</v>
      </c>
      <c r="L79" s="249">
        <v>136363636.36363637</v>
      </c>
    </row>
    <row r="80" spans="1:12">
      <c r="A80">
        <v>1446</v>
      </c>
      <c r="C80">
        <v>0</v>
      </c>
      <c r="D80">
        <v>1</v>
      </c>
      <c r="E80">
        <v>2</v>
      </c>
      <c r="F80">
        <v>1</v>
      </c>
      <c r="G80">
        <v>0</v>
      </c>
      <c r="H80">
        <f t="shared" si="1"/>
        <v>4</v>
      </c>
      <c r="K80" s="248">
        <v>-0.01</v>
      </c>
      <c r="L80" s="249">
        <v>100000000</v>
      </c>
    </row>
    <row r="81" spans="1:12">
      <c r="A81">
        <v>1447</v>
      </c>
      <c r="C81">
        <v>0</v>
      </c>
      <c r="D81">
        <v>0</v>
      </c>
      <c r="E81">
        <v>0</v>
      </c>
      <c r="F81">
        <v>1</v>
      </c>
      <c r="G81">
        <v>0</v>
      </c>
      <c r="H81">
        <f t="shared" si="1"/>
        <v>1</v>
      </c>
      <c r="K81" s="248">
        <v>7.0000000000000007E-2</v>
      </c>
      <c r="L81" s="249">
        <v>814285714.28571415</v>
      </c>
    </row>
    <row r="82" spans="1:12">
      <c r="A82">
        <v>1449</v>
      </c>
      <c r="C82">
        <v>0</v>
      </c>
      <c r="D82">
        <v>1</v>
      </c>
      <c r="E82">
        <v>0</v>
      </c>
      <c r="F82">
        <v>0</v>
      </c>
      <c r="G82">
        <v>0</v>
      </c>
      <c r="H82">
        <f t="shared" si="1"/>
        <v>1</v>
      </c>
      <c r="K82" s="248">
        <v>-0.55000000000000004</v>
      </c>
      <c r="L82" s="249">
        <v>118181818.18181817</v>
      </c>
    </row>
    <row r="83" spans="1:12">
      <c r="A83">
        <v>1451</v>
      </c>
      <c r="C83">
        <v>1</v>
      </c>
      <c r="D83">
        <v>1</v>
      </c>
      <c r="E83">
        <v>0</v>
      </c>
      <c r="F83">
        <v>1</v>
      </c>
      <c r="G83">
        <v>0</v>
      </c>
      <c r="H83">
        <f t="shared" si="1"/>
        <v>3</v>
      </c>
      <c r="K83" s="248">
        <v>0.81</v>
      </c>
      <c r="L83" s="249">
        <v>401234567.90123457</v>
      </c>
    </row>
    <row r="84" spans="1:12">
      <c r="A84">
        <v>1452</v>
      </c>
      <c r="C84">
        <v>0</v>
      </c>
      <c r="D84">
        <v>1</v>
      </c>
      <c r="E84">
        <v>0</v>
      </c>
      <c r="F84">
        <v>1</v>
      </c>
      <c r="G84">
        <v>0</v>
      </c>
      <c r="H84">
        <f t="shared" si="1"/>
        <v>2</v>
      </c>
      <c r="K84" s="248">
        <v>0.69</v>
      </c>
      <c r="L84" s="249">
        <v>131884057.9710145</v>
      </c>
    </row>
    <row r="85" spans="1:12">
      <c r="A85">
        <v>1453</v>
      </c>
      <c r="C85">
        <v>0</v>
      </c>
      <c r="D85">
        <v>0</v>
      </c>
      <c r="E85">
        <v>0</v>
      </c>
      <c r="F85">
        <v>0</v>
      </c>
      <c r="G85">
        <v>0</v>
      </c>
      <c r="H85">
        <f t="shared" si="1"/>
        <v>0</v>
      </c>
      <c r="K85" s="248">
        <v>-0.11</v>
      </c>
      <c r="L85" s="249">
        <v>81818181.818181813</v>
      </c>
    </row>
    <row r="86" spans="1:12">
      <c r="A86">
        <v>1454</v>
      </c>
      <c r="C86">
        <v>0</v>
      </c>
      <c r="D86">
        <v>0</v>
      </c>
      <c r="E86">
        <v>0</v>
      </c>
      <c r="F86">
        <v>1</v>
      </c>
      <c r="G86">
        <v>0</v>
      </c>
      <c r="H86">
        <f t="shared" si="1"/>
        <v>1</v>
      </c>
      <c r="K86" s="248">
        <v>0.19</v>
      </c>
      <c r="L86" s="249">
        <v>131578947.36842105</v>
      </c>
    </row>
    <row r="87" spans="1:12">
      <c r="A87">
        <v>1455</v>
      </c>
      <c r="C87">
        <v>0</v>
      </c>
      <c r="D87">
        <v>0</v>
      </c>
      <c r="E87">
        <v>0</v>
      </c>
      <c r="F87">
        <v>0</v>
      </c>
      <c r="G87">
        <v>0</v>
      </c>
      <c r="H87">
        <f t="shared" si="1"/>
        <v>0</v>
      </c>
      <c r="K87" s="248">
        <v>-0.15</v>
      </c>
      <c r="L87" s="249">
        <v>613333333.33333337</v>
      </c>
    </row>
    <row r="88" spans="1:12">
      <c r="A88">
        <v>1456</v>
      </c>
      <c r="C88">
        <v>1</v>
      </c>
      <c r="D88">
        <v>1</v>
      </c>
      <c r="E88">
        <v>0</v>
      </c>
      <c r="F88">
        <v>1</v>
      </c>
      <c r="G88">
        <v>0</v>
      </c>
      <c r="H88">
        <f t="shared" si="1"/>
        <v>3</v>
      </c>
      <c r="K88" s="248">
        <v>-7.0000000000000007E-2</v>
      </c>
      <c r="L88" s="249">
        <v>214285714.28571427</v>
      </c>
    </row>
    <row r="89" spans="1:12">
      <c r="A89">
        <v>1457</v>
      </c>
      <c r="C89">
        <v>0</v>
      </c>
      <c r="D89">
        <v>1</v>
      </c>
      <c r="E89">
        <v>0</v>
      </c>
      <c r="F89">
        <v>0</v>
      </c>
      <c r="G89">
        <v>1</v>
      </c>
      <c r="H89">
        <f t="shared" si="1"/>
        <v>2</v>
      </c>
      <c r="K89" s="248">
        <v>0.13</v>
      </c>
      <c r="L89" s="249">
        <v>269230769.23076922</v>
      </c>
    </row>
    <row r="90" spans="1:12">
      <c r="A90">
        <v>1459</v>
      </c>
      <c r="C90">
        <v>0</v>
      </c>
      <c r="D90">
        <v>0</v>
      </c>
      <c r="E90">
        <v>0</v>
      </c>
      <c r="F90">
        <v>1</v>
      </c>
      <c r="G90">
        <v>0</v>
      </c>
      <c r="H90">
        <f t="shared" si="1"/>
        <v>1</v>
      </c>
      <c r="K90" s="248">
        <v>0.12</v>
      </c>
      <c r="L90" s="249">
        <v>325000000</v>
      </c>
    </row>
    <row r="91" spans="1:12">
      <c r="A91">
        <v>1460</v>
      </c>
      <c r="C91">
        <v>0</v>
      </c>
      <c r="D91">
        <v>1</v>
      </c>
      <c r="E91">
        <v>1</v>
      </c>
      <c r="F91">
        <v>1</v>
      </c>
      <c r="G91">
        <v>0</v>
      </c>
      <c r="H91">
        <f t="shared" si="1"/>
        <v>3</v>
      </c>
      <c r="K91" s="248">
        <v>0.21</v>
      </c>
      <c r="L91" s="249">
        <v>433333333.33333337</v>
      </c>
    </row>
    <row r="92" spans="1:12">
      <c r="A92">
        <v>1463</v>
      </c>
      <c r="C92">
        <v>0</v>
      </c>
      <c r="D92">
        <v>1</v>
      </c>
      <c r="E92">
        <v>0</v>
      </c>
      <c r="F92">
        <v>1</v>
      </c>
      <c r="G92">
        <v>0</v>
      </c>
      <c r="H92">
        <f t="shared" si="1"/>
        <v>2</v>
      </c>
      <c r="K92" s="248">
        <v>0.15</v>
      </c>
      <c r="L92" s="249">
        <v>160000000</v>
      </c>
    </row>
    <row r="93" spans="1:12">
      <c r="A93">
        <v>1464</v>
      </c>
      <c r="C93">
        <v>0</v>
      </c>
      <c r="D93">
        <v>1</v>
      </c>
      <c r="E93">
        <v>0</v>
      </c>
      <c r="F93">
        <v>0</v>
      </c>
      <c r="G93">
        <v>0</v>
      </c>
      <c r="H93">
        <f t="shared" si="1"/>
        <v>1</v>
      </c>
      <c r="K93" s="248">
        <v>0.39</v>
      </c>
      <c r="L93" s="249">
        <v>230769230.76923075</v>
      </c>
    </row>
    <row r="94" spans="1:12">
      <c r="A94">
        <v>1465</v>
      </c>
      <c r="C94">
        <v>1</v>
      </c>
      <c r="D94">
        <v>1</v>
      </c>
      <c r="E94">
        <v>1</v>
      </c>
      <c r="F94">
        <v>0</v>
      </c>
      <c r="G94">
        <v>0</v>
      </c>
      <c r="H94">
        <f t="shared" si="1"/>
        <v>3</v>
      </c>
      <c r="K94" s="248">
        <v>0.5</v>
      </c>
      <c r="L94" s="249">
        <v>102000000</v>
      </c>
    </row>
    <row r="95" spans="1:12">
      <c r="A95">
        <v>1466</v>
      </c>
      <c r="C95">
        <v>0</v>
      </c>
      <c r="D95">
        <v>1</v>
      </c>
      <c r="E95">
        <v>0</v>
      </c>
      <c r="F95">
        <v>0</v>
      </c>
      <c r="G95">
        <v>0</v>
      </c>
      <c r="H95">
        <f t="shared" si="1"/>
        <v>1</v>
      </c>
      <c r="K95" s="248">
        <v>0.2</v>
      </c>
      <c r="L95" s="249">
        <v>110000000</v>
      </c>
    </row>
    <row r="96" spans="1:12">
      <c r="A96">
        <v>1467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"/>
        <v>1</v>
      </c>
      <c r="K96" s="248">
        <v>0.14000000000000001</v>
      </c>
      <c r="L96" s="249">
        <v>207142857.14285713</v>
      </c>
    </row>
    <row r="97" spans="1:12">
      <c r="A97">
        <v>1468</v>
      </c>
      <c r="C97">
        <v>0</v>
      </c>
      <c r="D97">
        <v>0</v>
      </c>
      <c r="E97">
        <v>0</v>
      </c>
      <c r="F97">
        <v>1</v>
      </c>
      <c r="G97">
        <v>0</v>
      </c>
      <c r="H97">
        <f t="shared" si="1"/>
        <v>1</v>
      </c>
      <c r="K97" s="248">
        <v>-0.08</v>
      </c>
      <c r="L97" s="249">
        <v>162500000</v>
      </c>
    </row>
    <row r="98" spans="1:12">
      <c r="A98">
        <v>1469</v>
      </c>
      <c r="C98">
        <v>0</v>
      </c>
      <c r="D98">
        <v>0</v>
      </c>
      <c r="E98">
        <v>0</v>
      </c>
      <c r="F98">
        <v>1</v>
      </c>
      <c r="G98">
        <v>0</v>
      </c>
      <c r="H98">
        <f t="shared" si="1"/>
        <v>1</v>
      </c>
      <c r="K98" s="248">
        <v>-0.02</v>
      </c>
      <c r="L98" s="249">
        <v>150000000</v>
      </c>
    </row>
    <row r="99" spans="1:12">
      <c r="A99">
        <v>1470</v>
      </c>
      <c r="C99">
        <v>0</v>
      </c>
      <c r="D99">
        <v>1</v>
      </c>
      <c r="E99">
        <v>0</v>
      </c>
      <c r="F99">
        <v>1</v>
      </c>
      <c r="G99">
        <v>0</v>
      </c>
      <c r="H99">
        <f t="shared" si="1"/>
        <v>2</v>
      </c>
      <c r="K99" s="248">
        <v>0.2</v>
      </c>
      <c r="L99" s="249">
        <v>85000000</v>
      </c>
    </row>
    <row r="100" spans="1:12">
      <c r="A100">
        <v>1471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 t="shared" si="1"/>
        <v>1</v>
      </c>
      <c r="K100" s="248">
        <v>-0.22</v>
      </c>
      <c r="L100" s="249">
        <v>200000000</v>
      </c>
    </row>
    <row r="101" spans="1:12">
      <c r="A101">
        <v>1472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f t="shared" si="1"/>
        <v>0</v>
      </c>
      <c r="K101" s="248">
        <v>-0.16</v>
      </c>
      <c r="L101" s="249">
        <v>75000000</v>
      </c>
    </row>
    <row r="102" spans="1:12">
      <c r="A102">
        <v>1473</v>
      </c>
      <c r="C102">
        <v>0</v>
      </c>
      <c r="D102">
        <v>1</v>
      </c>
      <c r="E102">
        <v>2</v>
      </c>
      <c r="F102">
        <v>1</v>
      </c>
      <c r="G102">
        <v>0</v>
      </c>
      <c r="H102">
        <f t="shared" si="1"/>
        <v>4</v>
      </c>
      <c r="K102" s="248">
        <v>0.36</v>
      </c>
      <c r="L102" s="249">
        <v>147222222.22222224</v>
      </c>
    </row>
    <row r="103" spans="1:12">
      <c r="A103">
        <v>1474</v>
      </c>
      <c r="C103">
        <v>1</v>
      </c>
      <c r="D103">
        <v>1</v>
      </c>
      <c r="E103">
        <v>0</v>
      </c>
      <c r="F103">
        <v>1</v>
      </c>
      <c r="G103">
        <v>0</v>
      </c>
      <c r="H103">
        <f t="shared" si="1"/>
        <v>3</v>
      </c>
      <c r="K103" s="248">
        <v>0.28000000000000003</v>
      </c>
      <c r="L103" s="249">
        <v>128571428.57142855</v>
      </c>
    </row>
    <row r="104" spans="1:12">
      <c r="A104">
        <v>1475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 t="shared" si="1"/>
        <v>1</v>
      </c>
      <c r="K104" s="248">
        <v>-0.16</v>
      </c>
      <c r="L104" s="249">
        <v>50000000</v>
      </c>
    </row>
    <row r="105" spans="1:12">
      <c r="A105">
        <v>1476</v>
      </c>
      <c r="C105">
        <v>1</v>
      </c>
      <c r="D105">
        <v>1</v>
      </c>
      <c r="E105">
        <v>0</v>
      </c>
      <c r="F105">
        <v>1</v>
      </c>
      <c r="G105">
        <v>0</v>
      </c>
      <c r="H105">
        <f t="shared" si="1"/>
        <v>3</v>
      </c>
      <c r="K105" s="248">
        <v>4.93</v>
      </c>
      <c r="L105" s="249">
        <v>261054766.73427993</v>
      </c>
    </row>
    <row r="106" spans="1:12">
      <c r="A106">
        <v>1477</v>
      </c>
      <c r="C106">
        <v>0</v>
      </c>
      <c r="D106">
        <v>1</v>
      </c>
      <c r="E106">
        <v>2</v>
      </c>
      <c r="F106">
        <v>1</v>
      </c>
      <c r="G106">
        <v>0</v>
      </c>
      <c r="H106">
        <f t="shared" si="1"/>
        <v>4</v>
      </c>
      <c r="K106" s="248">
        <v>3.17</v>
      </c>
      <c r="L106" s="249">
        <v>198107255.52050474</v>
      </c>
    </row>
    <row r="107" spans="1:12">
      <c r="A107">
        <v>1503</v>
      </c>
      <c r="C107">
        <v>0</v>
      </c>
      <c r="D107">
        <v>1</v>
      </c>
      <c r="E107">
        <v>1</v>
      </c>
      <c r="F107">
        <v>0</v>
      </c>
      <c r="G107">
        <v>0</v>
      </c>
      <c r="H107">
        <f t="shared" si="1"/>
        <v>2</v>
      </c>
      <c r="K107" s="248">
        <v>0.59</v>
      </c>
      <c r="L107" s="249">
        <v>518644067.79661018</v>
      </c>
    </row>
    <row r="108" spans="1:12">
      <c r="A108">
        <v>1504</v>
      </c>
      <c r="C108">
        <v>0</v>
      </c>
      <c r="D108">
        <v>1</v>
      </c>
      <c r="E108">
        <v>0</v>
      </c>
      <c r="F108">
        <v>1</v>
      </c>
      <c r="G108">
        <v>0</v>
      </c>
      <c r="H108">
        <f t="shared" si="1"/>
        <v>2</v>
      </c>
      <c r="K108" s="248">
        <v>0.48</v>
      </c>
      <c r="L108" s="249">
        <v>1991666666.6666667</v>
      </c>
    </row>
    <row r="109" spans="1:12">
      <c r="A109">
        <v>1506</v>
      </c>
      <c r="C109">
        <v>1</v>
      </c>
      <c r="D109">
        <v>1</v>
      </c>
      <c r="E109">
        <v>0</v>
      </c>
      <c r="F109">
        <v>1</v>
      </c>
      <c r="G109">
        <v>0</v>
      </c>
      <c r="H109">
        <f t="shared" si="1"/>
        <v>3</v>
      </c>
      <c r="K109" s="248">
        <v>0.18</v>
      </c>
      <c r="L109" s="249">
        <v>122222222.22222222</v>
      </c>
    </row>
    <row r="110" spans="1:12">
      <c r="A110">
        <v>1507</v>
      </c>
      <c r="C110">
        <v>0</v>
      </c>
      <c r="D110">
        <v>1</v>
      </c>
      <c r="E110">
        <v>1</v>
      </c>
      <c r="F110">
        <v>0</v>
      </c>
      <c r="G110">
        <v>0</v>
      </c>
      <c r="H110">
        <f t="shared" si="1"/>
        <v>2</v>
      </c>
      <c r="K110" s="248">
        <v>1.31</v>
      </c>
      <c r="L110" s="249">
        <v>409160305.34351146</v>
      </c>
    </row>
    <row r="111" spans="1:12">
      <c r="A111">
        <v>1512</v>
      </c>
      <c r="C111">
        <v>1</v>
      </c>
      <c r="D111">
        <v>1</v>
      </c>
      <c r="E111">
        <v>2</v>
      </c>
      <c r="F111">
        <v>1</v>
      </c>
      <c r="G111">
        <v>0</v>
      </c>
      <c r="H111">
        <f t="shared" si="1"/>
        <v>5</v>
      </c>
      <c r="K111" s="248">
        <v>-0.04</v>
      </c>
      <c r="L111" s="249">
        <v>175000000</v>
      </c>
    </row>
    <row r="112" spans="1:12">
      <c r="A112">
        <v>1513</v>
      </c>
      <c r="C112">
        <v>1</v>
      </c>
      <c r="D112">
        <v>1</v>
      </c>
      <c r="E112">
        <v>0</v>
      </c>
      <c r="F112">
        <v>0</v>
      </c>
      <c r="G112">
        <v>0</v>
      </c>
      <c r="H112">
        <f t="shared" si="1"/>
        <v>2</v>
      </c>
      <c r="K112" s="248">
        <v>0.77</v>
      </c>
      <c r="L112" s="249">
        <v>412987012.98701298</v>
      </c>
    </row>
    <row r="113" spans="1:12">
      <c r="A113">
        <v>1514</v>
      </c>
      <c r="C113">
        <v>1</v>
      </c>
      <c r="D113">
        <v>1</v>
      </c>
      <c r="E113">
        <v>0</v>
      </c>
      <c r="F113">
        <v>1</v>
      </c>
      <c r="G113">
        <v>0</v>
      </c>
      <c r="H113">
        <f t="shared" si="1"/>
        <v>3</v>
      </c>
      <c r="K113" s="248">
        <v>0.33</v>
      </c>
      <c r="L113" s="249">
        <v>196969696.96969697</v>
      </c>
    </row>
    <row r="114" spans="1:12">
      <c r="A114">
        <v>1515</v>
      </c>
      <c r="C114">
        <v>1</v>
      </c>
      <c r="D114">
        <v>1</v>
      </c>
      <c r="E114">
        <v>2</v>
      </c>
      <c r="F114">
        <v>1</v>
      </c>
      <c r="G114">
        <v>0</v>
      </c>
      <c r="H114">
        <f t="shared" si="1"/>
        <v>5</v>
      </c>
      <c r="K114" s="248">
        <v>0.66</v>
      </c>
      <c r="L114" s="249">
        <v>180303030.30303028</v>
      </c>
    </row>
    <row r="115" spans="1:12">
      <c r="A115">
        <v>1516</v>
      </c>
      <c r="C115">
        <v>0</v>
      </c>
      <c r="D115">
        <v>1</v>
      </c>
      <c r="E115">
        <v>1</v>
      </c>
      <c r="F115">
        <v>0</v>
      </c>
      <c r="G115">
        <v>0</v>
      </c>
      <c r="H115">
        <f t="shared" si="1"/>
        <v>2</v>
      </c>
      <c r="K115" s="248">
        <v>-0.08</v>
      </c>
      <c r="L115" s="249">
        <v>25000000</v>
      </c>
    </row>
    <row r="116" spans="1:12">
      <c r="A116">
        <v>1517</v>
      </c>
      <c r="C116">
        <v>0</v>
      </c>
      <c r="D116">
        <v>1</v>
      </c>
      <c r="E116">
        <v>0</v>
      </c>
      <c r="F116">
        <v>1</v>
      </c>
      <c r="G116">
        <v>0</v>
      </c>
      <c r="H116">
        <f t="shared" si="1"/>
        <v>2</v>
      </c>
      <c r="K116" s="248">
        <v>0.28000000000000003</v>
      </c>
      <c r="L116" s="249">
        <v>228571428.57142854</v>
      </c>
    </row>
    <row r="117" spans="1:12">
      <c r="A117">
        <v>1519</v>
      </c>
      <c r="C117">
        <v>0</v>
      </c>
      <c r="D117">
        <v>0</v>
      </c>
      <c r="E117">
        <v>0</v>
      </c>
      <c r="F117">
        <v>0</v>
      </c>
      <c r="G117">
        <v>0</v>
      </c>
      <c r="H117">
        <f t="shared" si="1"/>
        <v>0</v>
      </c>
      <c r="K117" s="248">
        <v>0.16</v>
      </c>
      <c r="L117" s="249">
        <v>256250000</v>
      </c>
    </row>
    <row r="118" spans="1:12">
      <c r="A118">
        <v>1521</v>
      </c>
      <c r="C118">
        <v>0</v>
      </c>
      <c r="D118">
        <v>1</v>
      </c>
      <c r="E118">
        <v>0</v>
      </c>
      <c r="F118">
        <v>1</v>
      </c>
      <c r="G118">
        <v>0</v>
      </c>
      <c r="H118">
        <f t="shared" si="1"/>
        <v>2</v>
      </c>
      <c r="K118" s="248">
        <v>1.43</v>
      </c>
      <c r="L118" s="249">
        <v>76223776.223776221</v>
      </c>
    </row>
    <row r="119" spans="1:12">
      <c r="A119">
        <v>1522</v>
      </c>
      <c r="C119">
        <v>1</v>
      </c>
      <c r="D119">
        <v>1</v>
      </c>
      <c r="E119">
        <v>0</v>
      </c>
      <c r="F119">
        <v>1</v>
      </c>
      <c r="G119">
        <v>0</v>
      </c>
      <c r="H119">
        <f t="shared" si="1"/>
        <v>3</v>
      </c>
      <c r="K119" s="248">
        <v>0.91</v>
      </c>
      <c r="L119" s="249">
        <v>312087912.08791208</v>
      </c>
    </row>
    <row r="120" spans="1:12">
      <c r="A120">
        <v>1524</v>
      </c>
      <c r="C120">
        <v>1</v>
      </c>
      <c r="D120">
        <v>1</v>
      </c>
      <c r="E120">
        <v>2</v>
      </c>
      <c r="F120">
        <v>1</v>
      </c>
      <c r="G120">
        <v>0</v>
      </c>
      <c r="H120">
        <f t="shared" si="1"/>
        <v>5</v>
      </c>
      <c r="K120" s="248">
        <v>0.2</v>
      </c>
      <c r="L120" s="249">
        <v>180000000</v>
      </c>
    </row>
    <row r="121" spans="1:12">
      <c r="A121">
        <v>1525</v>
      </c>
      <c r="C121">
        <v>0</v>
      </c>
      <c r="D121">
        <v>1</v>
      </c>
      <c r="E121">
        <v>0</v>
      </c>
      <c r="F121">
        <v>0</v>
      </c>
      <c r="G121">
        <v>0</v>
      </c>
      <c r="H121">
        <f t="shared" si="1"/>
        <v>1</v>
      </c>
      <c r="K121" s="248">
        <v>1.36</v>
      </c>
      <c r="L121" s="249">
        <v>69852941.176470578</v>
      </c>
    </row>
    <row r="122" spans="1:12">
      <c r="A122">
        <v>1526</v>
      </c>
      <c r="C122">
        <v>1</v>
      </c>
      <c r="D122">
        <v>1</v>
      </c>
      <c r="E122">
        <v>0</v>
      </c>
      <c r="F122">
        <v>0</v>
      </c>
      <c r="G122">
        <v>1</v>
      </c>
      <c r="H122">
        <f t="shared" si="1"/>
        <v>3</v>
      </c>
      <c r="K122" s="248">
        <v>0.97</v>
      </c>
      <c r="L122" s="249">
        <v>49484536.082474232</v>
      </c>
    </row>
    <row r="123" spans="1:12">
      <c r="A123">
        <v>1527</v>
      </c>
      <c r="C123">
        <v>1</v>
      </c>
      <c r="D123">
        <v>1</v>
      </c>
      <c r="E123">
        <v>0</v>
      </c>
      <c r="F123">
        <v>0</v>
      </c>
      <c r="G123">
        <v>1</v>
      </c>
      <c r="H123">
        <f t="shared" si="1"/>
        <v>3</v>
      </c>
      <c r="K123" s="248">
        <v>4.43</v>
      </c>
      <c r="L123" s="249">
        <v>145372460.49661401</v>
      </c>
    </row>
    <row r="124" spans="1:12">
      <c r="A124">
        <v>1528</v>
      </c>
      <c r="C124">
        <v>0</v>
      </c>
      <c r="D124">
        <v>1</v>
      </c>
      <c r="E124">
        <v>0</v>
      </c>
      <c r="F124">
        <v>0</v>
      </c>
      <c r="G124">
        <v>0</v>
      </c>
      <c r="H124">
        <f t="shared" si="1"/>
        <v>1</v>
      </c>
      <c r="K124" s="248">
        <v>0</v>
      </c>
      <c r="L124" s="249">
        <v>0</v>
      </c>
    </row>
    <row r="125" spans="1:12">
      <c r="A125">
        <v>1529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f t="shared" si="1"/>
        <v>0</v>
      </c>
      <c r="K125" s="248">
        <v>-0.05</v>
      </c>
      <c r="L125" s="249">
        <v>300000000</v>
      </c>
    </row>
    <row r="126" spans="1:12">
      <c r="A126">
        <v>1530</v>
      </c>
      <c r="C126">
        <v>1</v>
      </c>
      <c r="D126">
        <v>1</v>
      </c>
      <c r="E126">
        <v>0</v>
      </c>
      <c r="F126">
        <v>0</v>
      </c>
      <c r="G126">
        <v>0</v>
      </c>
      <c r="H126">
        <f t="shared" si="1"/>
        <v>2</v>
      </c>
      <c r="K126" s="248">
        <v>1.75</v>
      </c>
      <c r="L126" s="249">
        <v>92000000</v>
      </c>
    </row>
    <row r="127" spans="1:12">
      <c r="A127">
        <v>1531</v>
      </c>
      <c r="C127">
        <v>1</v>
      </c>
      <c r="D127">
        <v>1</v>
      </c>
      <c r="E127">
        <v>1</v>
      </c>
      <c r="F127">
        <v>0</v>
      </c>
      <c r="G127">
        <v>0</v>
      </c>
      <c r="H127">
        <f t="shared" si="1"/>
        <v>3</v>
      </c>
      <c r="K127" s="248">
        <v>0.35</v>
      </c>
      <c r="L127" s="249">
        <v>182857142.85714287</v>
      </c>
    </row>
    <row r="128" spans="1:12">
      <c r="A128">
        <v>1532</v>
      </c>
      <c r="C128">
        <v>0</v>
      </c>
      <c r="D128">
        <v>1</v>
      </c>
      <c r="E128">
        <v>2</v>
      </c>
      <c r="F128">
        <v>1</v>
      </c>
      <c r="G128">
        <v>0</v>
      </c>
      <c r="H128">
        <f t="shared" si="1"/>
        <v>4</v>
      </c>
      <c r="K128" s="248">
        <v>0.87</v>
      </c>
      <c r="L128" s="249">
        <v>393103448.2758621</v>
      </c>
    </row>
    <row r="129" spans="1:12">
      <c r="A129">
        <v>1533</v>
      </c>
      <c r="C129">
        <v>1</v>
      </c>
      <c r="D129">
        <v>1</v>
      </c>
      <c r="E129">
        <v>0</v>
      </c>
      <c r="F129">
        <v>1</v>
      </c>
      <c r="G129">
        <v>0</v>
      </c>
      <c r="H129">
        <f t="shared" si="1"/>
        <v>3</v>
      </c>
      <c r="K129" s="248">
        <v>0.79</v>
      </c>
      <c r="L129" s="249">
        <v>94936708.860759497</v>
      </c>
    </row>
    <row r="130" spans="1:12">
      <c r="A130">
        <v>1535</v>
      </c>
      <c r="C130">
        <v>0</v>
      </c>
      <c r="D130">
        <v>1</v>
      </c>
      <c r="E130">
        <v>0</v>
      </c>
      <c r="F130">
        <v>0</v>
      </c>
      <c r="G130">
        <v>0</v>
      </c>
      <c r="H130">
        <f t="shared" ref="H130:H193" si="2">SUM(C130:G130)</f>
        <v>1</v>
      </c>
      <c r="K130" s="248">
        <v>1.01</v>
      </c>
      <c r="L130" s="249">
        <v>123762376.23762377</v>
      </c>
    </row>
    <row r="131" spans="1:12">
      <c r="A131">
        <v>1536</v>
      </c>
      <c r="C131">
        <v>1</v>
      </c>
      <c r="D131">
        <v>1</v>
      </c>
      <c r="E131">
        <v>0</v>
      </c>
      <c r="F131">
        <v>1</v>
      </c>
      <c r="G131">
        <v>1</v>
      </c>
      <c r="H131">
        <f t="shared" si="2"/>
        <v>4</v>
      </c>
      <c r="K131" s="248">
        <v>1.48</v>
      </c>
      <c r="L131" s="249">
        <v>235135135.13513514</v>
      </c>
    </row>
    <row r="132" spans="1:12">
      <c r="A132">
        <v>1537</v>
      </c>
      <c r="C132">
        <v>1</v>
      </c>
      <c r="D132">
        <v>1</v>
      </c>
      <c r="E132">
        <v>0</v>
      </c>
      <c r="F132">
        <v>1</v>
      </c>
      <c r="G132">
        <v>1</v>
      </c>
      <c r="H132">
        <f t="shared" si="2"/>
        <v>4</v>
      </c>
      <c r="K132" s="248">
        <v>3.08</v>
      </c>
      <c r="L132" s="249">
        <v>81493506.493506491</v>
      </c>
    </row>
    <row r="133" spans="1:12">
      <c r="A133">
        <v>1538</v>
      </c>
      <c r="C133">
        <v>1</v>
      </c>
      <c r="D133">
        <v>1</v>
      </c>
      <c r="E133">
        <v>0</v>
      </c>
      <c r="F133">
        <v>0</v>
      </c>
      <c r="G133">
        <v>0</v>
      </c>
      <c r="H133">
        <f t="shared" si="2"/>
        <v>2</v>
      </c>
      <c r="K133" s="248">
        <v>1.77</v>
      </c>
      <c r="L133" s="249">
        <v>83050847.457627118</v>
      </c>
    </row>
    <row r="134" spans="1:12">
      <c r="A134">
        <v>1539</v>
      </c>
      <c r="C134">
        <v>1</v>
      </c>
      <c r="D134">
        <v>1</v>
      </c>
      <c r="E134">
        <v>1</v>
      </c>
      <c r="F134">
        <v>1</v>
      </c>
      <c r="G134">
        <v>0</v>
      </c>
      <c r="H134">
        <f t="shared" si="2"/>
        <v>4</v>
      </c>
      <c r="K134" s="248">
        <v>1.88</v>
      </c>
      <c r="L134" s="249">
        <v>65425531.91489362</v>
      </c>
    </row>
    <row r="135" spans="1:12">
      <c r="A135">
        <v>1540</v>
      </c>
      <c r="C135">
        <v>0</v>
      </c>
      <c r="D135">
        <v>1</v>
      </c>
      <c r="E135">
        <v>0</v>
      </c>
      <c r="F135">
        <v>0</v>
      </c>
      <c r="G135">
        <v>0</v>
      </c>
      <c r="H135">
        <f t="shared" si="2"/>
        <v>1</v>
      </c>
      <c r="K135" s="248">
        <v>0.44</v>
      </c>
      <c r="L135" s="249">
        <v>79545454.545454547</v>
      </c>
    </row>
    <row r="136" spans="1:12">
      <c r="A136">
        <v>1541</v>
      </c>
      <c r="C136">
        <v>1</v>
      </c>
      <c r="D136">
        <v>1</v>
      </c>
      <c r="E136">
        <v>2</v>
      </c>
      <c r="F136">
        <v>0</v>
      </c>
      <c r="G136">
        <v>0</v>
      </c>
      <c r="H136">
        <f t="shared" si="2"/>
        <v>4</v>
      </c>
      <c r="K136" s="248">
        <v>1.91</v>
      </c>
      <c r="L136" s="249">
        <v>78534031.413612574</v>
      </c>
    </row>
    <row r="137" spans="1:12">
      <c r="A137">
        <v>1558</v>
      </c>
      <c r="C137">
        <v>1</v>
      </c>
      <c r="D137">
        <v>1</v>
      </c>
      <c r="E137">
        <v>1</v>
      </c>
      <c r="F137">
        <v>1</v>
      </c>
      <c r="G137">
        <v>0</v>
      </c>
      <c r="H137">
        <f t="shared" si="2"/>
        <v>4</v>
      </c>
      <c r="K137" s="248">
        <v>6.15</v>
      </c>
      <c r="L137" s="249">
        <v>60487804.878048778</v>
      </c>
    </row>
    <row r="138" spans="1:12">
      <c r="A138">
        <v>1560</v>
      </c>
      <c r="C138">
        <v>0</v>
      </c>
      <c r="D138">
        <v>1</v>
      </c>
      <c r="E138">
        <v>2</v>
      </c>
      <c r="F138">
        <v>1</v>
      </c>
      <c r="G138">
        <v>0</v>
      </c>
      <c r="H138">
        <f t="shared" si="2"/>
        <v>4</v>
      </c>
      <c r="K138" s="248">
        <v>1.1000000000000001</v>
      </c>
      <c r="L138" s="249">
        <v>141818181.81818181</v>
      </c>
    </row>
    <row r="139" spans="1:12">
      <c r="A139">
        <v>1565</v>
      </c>
      <c r="C139">
        <v>1</v>
      </c>
      <c r="D139">
        <v>1</v>
      </c>
      <c r="E139">
        <v>2</v>
      </c>
      <c r="F139">
        <v>1</v>
      </c>
      <c r="G139">
        <v>0</v>
      </c>
      <c r="H139">
        <f t="shared" si="2"/>
        <v>5</v>
      </c>
      <c r="K139" s="248">
        <v>9.35</v>
      </c>
      <c r="L139" s="249">
        <v>50374331.550802141</v>
      </c>
    </row>
    <row r="140" spans="1:12">
      <c r="A140">
        <v>1566</v>
      </c>
      <c r="C140">
        <v>0</v>
      </c>
      <c r="D140">
        <v>1</v>
      </c>
      <c r="E140">
        <v>0</v>
      </c>
      <c r="F140">
        <v>1</v>
      </c>
      <c r="G140">
        <v>1</v>
      </c>
      <c r="H140">
        <f t="shared" si="2"/>
        <v>3</v>
      </c>
      <c r="K140" s="248">
        <v>0.42</v>
      </c>
      <c r="L140" s="249">
        <v>66666666.666666672</v>
      </c>
    </row>
    <row r="141" spans="1:12">
      <c r="A141">
        <v>1568</v>
      </c>
      <c r="C141">
        <v>1</v>
      </c>
      <c r="D141">
        <v>1</v>
      </c>
      <c r="E141">
        <v>0</v>
      </c>
      <c r="F141">
        <v>1</v>
      </c>
      <c r="G141">
        <v>0</v>
      </c>
      <c r="H141">
        <f t="shared" si="2"/>
        <v>3</v>
      </c>
      <c r="K141" s="248">
        <v>0.48</v>
      </c>
      <c r="L141" s="249">
        <v>104166666.66666667</v>
      </c>
    </row>
    <row r="142" spans="1:12">
      <c r="A142">
        <v>1569</v>
      </c>
      <c r="C142">
        <v>0</v>
      </c>
      <c r="D142">
        <v>1</v>
      </c>
      <c r="E142">
        <v>0</v>
      </c>
      <c r="F142">
        <v>0</v>
      </c>
      <c r="G142">
        <v>0</v>
      </c>
      <c r="H142">
        <f t="shared" si="2"/>
        <v>1</v>
      </c>
      <c r="K142" s="248">
        <v>-1.01</v>
      </c>
      <c r="L142" s="249">
        <v>94059405.940594062</v>
      </c>
    </row>
    <row r="143" spans="1:12">
      <c r="A143">
        <v>1570</v>
      </c>
      <c r="C143">
        <v>1</v>
      </c>
      <c r="D143">
        <v>1</v>
      </c>
      <c r="E143">
        <v>2</v>
      </c>
      <c r="F143">
        <v>1</v>
      </c>
      <c r="G143">
        <v>0</v>
      </c>
      <c r="H143">
        <f t="shared" si="2"/>
        <v>5</v>
      </c>
      <c r="K143" s="248">
        <v>0.8</v>
      </c>
      <c r="L143" s="249">
        <v>51250000</v>
      </c>
    </row>
    <row r="144" spans="1:12">
      <c r="A144">
        <v>1580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f t="shared" si="2"/>
        <v>1</v>
      </c>
      <c r="K144" s="248">
        <v>2.78</v>
      </c>
      <c r="L144" s="249">
        <v>48561151.079136692</v>
      </c>
    </row>
    <row r="145" spans="1:12">
      <c r="A145">
        <v>1582</v>
      </c>
      <c r="C145">
        <v>1</v>
      </c>
      <c r="D145">
        <v>1</v>
      </c>
      <c r="E145">
        <v>0</v>
      </c>
      <c r="F145">
        <v>1</v>
      </c>
      <c r="G145">
        <v>0</v>
      </c>
      <c r="H145">
        <f t="shared" si="2"/>
        <v>3</v>
      </c>
      <c r="K145" s="248">
        <v>1.84</v>
      </c>
      <c r="L145" s="249">
        <v>150000000</v>
      </c>
    </row>
    <row r="146" spans="1:12">
      <c r="A146">
        <v>1583</v>
      </c>
      <c r="C146">
        <v>0</v>
      </c>
      <c r="D146">
        <v>1</v>
      </c>
      <c r="E146">
        <v>0</v>
      </c>
      <c r="F146">
        <v>0</v>
      </c>
      <c r="G146">
        <v>0</v>
      </c>
      <c r="H146">
        <f t="shared" si="2"/>
        <v>1</v>
      </c>
      <c r="K146" s="248">
        <v>2.84</v>
      </c>
      <c r="L146" s="249">
        <v>100000000</v>
      </c>
    </row>
    <row r="147" spans="1:12">
      <c r="A147">
        <v>1584</v>
      </c>
      <c r="C147">
        <v>0</v>
      </c>
      <c r="D147">
        <v>0</v>
      </c>
      <c r="E147">
        <v>0</v>
      </c>
      <c r="F147">
        <v>1</v>
      </c>
      <c r="G147">
        <v>0</v>
      </c>
      <c r="H147">
        <f t="shared" si="2"/>
        <v>1</v>
      </c>
      <c r="K147" s="248">
        <v>-0.24</v>
      </c>
      <c r="L147" s="249">
        <v>104166666.66666667</v>
      </c>
    </row>
    <row r="148" spans="1:12">
      <c r="A148">
        <v>1586</v>
      </c>
      <c r="C148">
        <v>0</v>
      </c>
      <c r="D148">
        <v>0</v>
      </c>
      <c r="E148">
        <v>0</v>
      </c>
      <c r="F148">
        <v>0</v>
      </c>
      <c r="G148">
        <v>0</v>
      </c>
      <c r="H148">
        <f t="shared" si="2"/>
        <v>0</v>
      </c>
      <c r="K148" s="248">
        <v>-0.34</v>
      </c>
      <c r="L148" s="249">
        <v>44117647.058823526</v>
      </c>
    </row>
    <row r="149" spans="1:12">
      <c r="A149">
        <v>1589</v>
      </c>
      <c r="C149">
        <v>1</v>
      </c>
      <c r="D149">
        <v>1</v>
      </c>
      <c r="E149">
        <v>0</v>
      </c>
      <c r="F149">
        <v>1</v>
      </c>
      <c r="G149">
        <v>1</v>
      </c>
      <c r="H149">
        <f t="shared" si="2"/>
        <v>4</v>
      </c>
      <c r="K149" s="248">
        <v>3.29</v>
      </c>
      <c r="L149" s="249">
        <v>112158054.71124619</v>
      </c>
    </row>
    <row r="150" spans="1:12">
      <c r="A150">
        <v>1590</v>
      </c>
      <c r="C150">
        <v>0</v>
      </c>
      <c r="D150">
        <v>0</v>
      </c>
      <c r="E150">
        <v>0</v>
      </c>
      <c r="F150">
        <v>1</v>
      </c>
      <c r="G150">
        <v>0</v>
      </c>
      <c r="H150">
        <f t="shared" si="2"/>
        <v>1</v>
      </c>
      <c r="K150" s="248">
        <v>1.45</v>
      </c>
      <c r="L150" s="249">
        <v>178620689.65517241</v>
      </c>
    </row>
    <row r="151" spans="1:12">
      <c r="A151">
        <v>1591</v>
      </c>
      <c r="C151">
        <v>0</v>
      </c>
      <c r="D151">
        <v>1</v>
      </c>
      <c r="E151">
        <v>0</v>
      </c>
      <c r="F151">
        <v>0</v>
      </c>
      <c r="G151">
        <v>0</v>
      </c>
      <c r="H151">
        <f t="shared" si="2"/>
        <v>1</v>
      </c>
      <c r="K151" s="248">
        <v>0.26</v>
      </c>
      <c r="L151" s="249">
        <v>30769230.769230768</v>
      </c>
    </row>
    <row r="152" spans="1:12">
      <c r="A152">
        <v>1592</v>
      </c>
      <c r="C152">
        <v>1</v>
      </c>
      <c r="D152">
        <v>1</v>
      </c>
      <c r="E152">
        <v>0</v>
      </c>
      <c r="F152">
        <v>1</v>
      </c>
      <c r="G152">
        <v>0</v>
      </c>
      <c r="H152">
        <f t="shared" si="2"/>
        <v>3</v>
      </c>
      <c r="K152" s="248">
        <v>0.87</v>
      </c>
      <c r="L152" s="249">
        <v>100000000</v>
      </c>
    </row>
    <row r="153" spans="1:12">
      <c r="A153">
        <v>1593</v>
      </c>
      <c r="C153">
        <v>1</v>
      </c>
      <c r="D153">
        <v>1</v>
      </c>
      <c r="E153">
        <v>0</v>
      </c>
      <c r="F153">
        <v>1</v>
      </c>
      <c r="G153">
        <v>0</v>
      </c>
      <c r="H153">
        <f t="shared" si="2"/>
        <v>3</v>
      </c>
      <c r="K153" s="248">
        <v>1.23</v>
      </c>
      <c r="L153" s="249">
        <v>30081300.81300813</v>
      </c>
    </row>
    <row r="154" spans="1:12">
      <c r="A154">
        <v>1595</v>
      </c>
      <c r="C154">
        <v>0</v>
      </c>
      <c r="D154">
        <v>1</v>
      </c>
      <c r="E154">
        <v>0</v>
      </c>
      <c r="F154">
        <v>1</v>
      </c>
      <c r="G154">
        <v>0</v>
      </c>
      <c r="H154">
        <f t="shared" si="2"/>
        <v>2</v>
      </c>
      <c r="K154" s="248">
        <v>2.11</v>
      </c>
      <c r="L154" s="249">
        <v>38862559.241706163</v>
      </c>
    </row>
    <row r="155" spans="1:12">
      <c r="A155">
        <v>1597</v>
      </c>
      <c r="C155">
        <v>1</v>
      </c>
      <c r="D155">
        <v>1</v>
      </c>
      <c r="E155">
        <v>0</v>
      </c>
      <c r="F155">
        <v>1</v>
      </c>
      <c r="G155">
        <v>0</v>
      </c>
      <c r="H155">
        <f t="shared" si="2"/>
        <v>3</v>
      </c>
      <c r="K155" s="248">
        <v>0.78</v>
      </c>
      <c r="L155" s="249">
        <v>56410256.410256408</v>
      </c>
    </row>
    <row r="156" spans="1:12">
      <c r="A156">
        <v>1599</v>
      </c>
      <c r="C156">
        <v>1</v>
      </c>
      <c r="D156">
        <v>1</v>
      </c>
      <c r="E156">
        <v>0</v>
      </c>
      <c r="F156">
        <v>1</v>
      </c>
      <c r="G156">
        <v>1</v>
      </c>
      <c r="H156">
        <f t="shared" si="2"/>
        <v>4</v>
      </c>
      <c r="K156" s="248">
        <v>2.7</v>
      </c>
      <c r="L156" s="249">
        <v>44814814.814814813</v>
      </c>
    </row>
    <row r="157" spans="1:12">
      <c r="A157">
        <v>1603</v>
      </c>
      <c r="C157">
        <v>0</v>
      </c>
      <c r="D157">
        <v>1</v>
      </c>
      <c r="E157">
        <v>0</v>
      </c>
      <c r="F157">
        <v>0</v>
      </c>
      <c r="G157">
        <v>0</v>
      </c>
      <c r="H157">
        <f t="shared" si="2"/>
        <v>1</v>
      </c>
      <c r="K157" s="248">
        <v>0.52</v>
      </c>
      <c r="L157" s="249">
        <v>282692307.69230771</v>
      </c>
    </row>
    <row r="158" spans="1:12">
      <c r="A158">
        <v>1604</v>
      </c>
      <c r="C158">
        <v>0</v>
      </c>
      <c r="D158">
        <v>0</v>
      </c>
      <c r="E158">
        <v>0</v>
      </c>
      <c r="F158">
        <v>1</v>
      </c>
      <c r="G158">
        <v>0</v>
      </c>
      <c r="H158">
        <f t="shared" si="2"/>
        <v>1</v>
      </c>
      <c r="K158" s="248">
        <v>0.26</v>
      </c>
      <c r="L158" s="249">
        <v>500000000</v>
      </c>
    </row>
    <row r="159" spans="1:12">
      <c r="A159">
        <v>1605</v>
      </c>
      <c r="C159">
        <v>0</v>
      </c>
      <c r="D159">
        <v>1</v>
      </c>
      <c r="E159">
        <v>0</v>
      </c>
      <c r="F159">
        <v>0</v>
      </c>
      <c r="G159">
        <v>0</v>
      </c>
      <c r="H159">
        <f t="shared" si="2"/>
        <v>1</v>
      </c>
      <c r="K159" s="248">
        <v>0.19</v>
      </c>
      <c r="L159" s="249">
        <v>3500000000</v>
      </c>
    </row>
    <row r="160" spans="1:12">
      <c r="A160">
        <v>1608</v>
      </c>
      <c r="C160">
        <v>0</v>
      </c>
      <c r="D160">
        <v>0</v>
      </c>
      <c r="E160">
        <v>0</v>
      </c>
      <c r="F160">
        <v>1</v>
      </c>
      <c r="G160">
        <v>0</v>
      </c>
      <c r="H160">
        <f t="shared" si="2"/>
        <v>1</v>
      </c>
      <c r="K160" s="248">
        <v>-0.43</v>
      </c>
      <c r="L160" s="249">
        <v>423255813.95348835</v>
      </c>
    </row>
    <row r="161" spans="1:12">
      <c r="A161">
        <v>1609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f t="shared" si="2"/>
        <v>0</v>
      </c>
      <c r="K161" s="248">
        <v>-0.45</v>
      </c>
      <c r="L161" s="249">
        <v>564444444.44444442</v>
      </c>
    </row>
    <row r="162" spans="1:12">
      <c r="A162">
        <v>1611</v>
      </c>
      <c r="C162">
        <v>1</v>
      </c>
      <c r="D162">
        <v>1</v>
      </c>
      <c r="E162">
        <v>2</v>
      </c>
      <c r="F162">
        <v>1</v>
      </c>
      <c r="G162">
        <v>0</v>
      </c>
      <c r="H162">
        <f t="shared" si="2"/>
        <v>5</v>
      </c>
      <c r="K162" s="248">
        <v>0.65</v>
      </c>
      <c r="L162" s="249">
        <v>400000000</v>
      </c>
    </row>
    <row r="163" spans="1:12">
      <c r="A163">
        <v>1612</v>
      </c>
      <c r="C163">
        <v>0</v>
      </c>
      <c r="D163">
        <v>0</v>
      </c>
      <c r="E163">
        <v>0</v>
      </c>
      <c r="F163">
        <v>1</v>
      </c>
      <c r="G163">
        <v>0</v>
      </c>
      <c r="H163">
        <f t="shared" si="2"/>
        <v>1</v>
      </c>
      <c r="K163" s="248">
        <v>-0.03</v>
      </c>
      <c r="L163" s="249">
        <v>300000000</v>
      </c>
    </row>
    <row r="164" spans="1:12">
      <c r="A164">
        <v>1613</v>
      </c>
      <c r="C164">
        <v>0</v>
      </c>
      <c r="D164">
        <v>0</v>
      </c>
      <c r="E164">
        <v>1</v>
      </c>
      <c r="F164">
        <v>0</v>
      </c>
      <c r="G164">
        <v>0</v>
      </c>
      <c r="H164">
        <f t="shared" si="2"/>
        <v>1</v>
      </c>
      <c r="K164" s="248">
        <v>-0.73</v>
      </c>
      <c r="L164" s="249">
        <v>227397260.2739726</v>
      </c>
    </row>
    <row r="165" spans="1:12">
      <c r="A165">
        <v>1614</v>
      </c>
      <c r="C165">
        <v>0</v>
      </c>
      <c r="D165">
        <v>1</v>
      </c>
      <c r="E165">
        <v>0</v>
      </c>
      <c r="F165">
        <v>1</v>
      </c>
      <c r="G165">
        <v>0</v>
      </c>
      <c r="H165">
        <f t="shared" si="2"/>
        <v>2</v>
      </c>
      <c r="K165" s="248">
        <v>0.32</v>
      </c>
      <c r="L165" s="249">
        <v>256250000</v>
      </c>
    </row>
    <row r="166" spans="1:12">
      <c r="A166">
        <v>1615</v>
      </c>
      <c r="C166">
        <v>0</v>
      </c>
      <c r="D166">
        <v>1</v>
      </c>
      <c r="E166">
        <v>1</v>
      </c>
      <c r="F166">
        <v>0</v>
      </c>
      <c r="G166">
        <v>0</v>
      </c>
      <c r="H166">
        <f t="shared" si="2"/>
        <v>2</v>
      </c>
      <c r="K166" s="248">
        <v>0.16</v>
      </c>
      <c r="L166" s="249">
        <v>0</v>
      </c>
    </row>
    <row r="167" spans="1:12">
      <c r="A167">
        <v>1616</v>
      </c>
      <c r="C167">
        <v>0</v>
      </c>
      <c r="D167">
        <v>0</v>
      </c>
      <c r="E167">
        <v>1</v>
      </c>
      <c r="F167">
        <v>0</v>
      </c>
      <c r="G167">
        <v>0</v>
      </c>
      <c r="H167">
        <f t="shared" si="2"/>
        <v>1</v>
      </c>
      <c r="K167" s="248">
        <v>-0.5</v>
      </c>
      <c r="L167" s="249">
        <v>190000000</v>
      </c>
    </row>
    <row r="168" spans="1:12">
      <c r="A168">
        <v>1617</v>
      </c>
      <c r="C168">
        <v>0</v>
      </c>
      <c r="D168">
        <v>1</v>
      </c>
      <c r="E168">
        <v>0</v>
      </c>
      <c r="F168">
        <v>1</v>
      </c>
      <c r="G168">
        <v>0</v>
      </c>
      <c r="H168">
        <f t="shared" si="2"/>
        <v>2</v>
      </c>
      <c r="K168" s="248">
        <v>0.24</v>
      </c>
      <c r="L168" s="249">
        <v>141666666.66666669</v>
      </c>
    </row>
    <row r="169" spans="1:12">
      <c r="A169">
        <v>1618</v>
      </c>
      <c r="C169">
        <v>0</v>
      </c>
      <c r="D169">
        <v>1</v>
      </c>
      <c r="E169">
        <v>2</v>
      </c>
      <c r="F169">
        <v>0</v>
      </c>
      <c r="G169">
        <v>0</v>
      </c>
      <c r="H169">
        <f t="shared" si="2"/>
        <v>3</v>
      </c>
      <c r="K169" s="248">
        <v>0.14000000000000001</v>
      </c>
      <c r="L169" s="249">
        <v>242857142.85714284</v>
      </c>
    </row>
    <row r="170" spans="1:12">
      <c r="A170">
        <v>1626</v>
      </c>
      <c r="C170">
        <v>0</v>
      </c>
      <c r="D170">
        <v>0</v>
      </c>
      <c r="E170">
        <v>0</v>
      </c>
      <c r="F170">
        <v>0</v>
      </c>
      <c r="G170">
        <v>0</v>
      </c>
      <c r="H170">
        <f t="shared" si="2"/>
        <v>0</v>
      </c>
      <c r="K170" s="248">
        <v>-1.1399999999999999</v>
      </c>
      <c r="L170" s="249">
        <v>122807017.54385966</v>
      </c>
    </row>
    <row r="171" spans="1:12">
      <c r="A171">
        <v>1701</v>
      </c>
      <c r="C171">
        <v>0</v>
      </c>
      <c r="D171">
        <v>1</v>
      </c>
      <c r="E171">
        <v>1</v>
      </c>
      <c r="F171">
        <v>1</v>
      </c>
      <c r="G171">
        <v>0</v>
      </c>
      <c r="H171">
        <f t="shared" si="2"/>
        <v>3</v>
      </c>
      <c r="K171" s="248">
        <v>0.4</v>
      </c>
      <c r="L171" s="249">
        <v>297500000</v>
      </c>
    </row>
    <row r="172" spans="1:12">
      <c r="A172">
        <v>1702</v>
      </c>
      <c r="C172">
        <v>0</v>
      </c>
      <c r="D172">
        <v>0</v>
      </c>
      <c r="E172">
        <v>1</v>
      </c>
      <c r="F172">
        <v>1</v>
      </c>
      <c r="G172">
        <v>0</v>
      </c>
      <c r="H172">
        <f t="shared" si="2"/>
        <v>2</v>
      </c>
      <c r="K172" s="248">
        <v>0.91</v>
      </c>
      <c r="L172" s="249">
        <v>247252747.25274724</v>
      </c>
    </row>
    <row r="173" spans="1:12">
      <c r="A173">
        <v>1704</v>
      </c>
      <c r="C173">
        <v>1</v>
      </c>
      <c r="D173">
        <v>1</v>
      </c>
      <c r="E173">
        <v>2</v>
      </c>
      <c r="F173">
        <v>0</v>
      </c>
      <c r="G173">
        <v>0</v>
      </c>
      <c r="H173">
        <f t="shared" si="2"/>
        <v>4</v>
      </c>
      <c r="K173" s="248">
        <v>9.08</v>
      </c>
      <c r="L173" s="249">
        <v>852863436.123348</v>
      </c>
    </row>
    <row r="174" spans="1:12">
      <c r="A174">
        <v>1707</v>
      </c>
      <c r="C174">
        <v>0</v>
      </c>
      <c r="D174">
        <v>1</v>
      </c>
      <c r="E174">
        <v>0</v>
      </c>
      <c r="F174">
        <v>0</v>
      </c>
      <c r="G174">
        <v>1</v>
      </c>
      <c r="H174">
        <f t="shared" si="2"/>
        <v>2</v>
      </c>
      <c r="K174" s="248">
        <v>2.0099999999999998</v>
      </c>
      <c r="L174" s="249">
        <v>130348258.70646767</v>
      </c>
    </row>
    <row r="175" spans="1:12">
      <c r="A175">
        <v>1708</v>
      </c>
      <c r="C175">
        <v>1</v>
      </c>
      <c r="D175">
        <v>1</v>
      </c>
      <c r="E175">
        <v>1</v>
      </c>
      <c r="F175">
        <v>1</v>
      </c>
      <c r="G175">
        <v>0</v>
      </c>
      <c r="H175">
        <f t="shared" si="2"/>
        <v>4</v>
      </c>
      <c r="K175" s="248">
        <v>1.21</v>
      </c>
      <c r="L175" s="249">
        <v>182644628.09917355</v>
      </c>
    </row>
    <row r="176" spans="1:12">
      <c r="A176">
        <v>1709</v>
      </c>
      <c r="C176">
        <v>1</v>
      </c>
      <c r="D176">
        <v>1</v>
      </c>
      <c r="E176">
        <v>0</v>
      </c>
      <c r="F176">
        <v>0</v>
      </c>
      <c r="G176">
        <v>0</v>
      </c>
      <c r="H176">
        <f t="shared" si="2"/>
        <v>2</v>
      </c>
      <c r="K176" s="248">
        <v>0.59</v>
      </c>
      <c r="L176" s="249">
        <v>428813559.32203394</v>
      </c>
    </row>
    <row r="177" spans="1:12">
      <c r="A177">
        <v>1710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f t="shared" si="2"/>
        <v>0</v>
      </c>
      <c r="K177" s="248">
        <v>-0.27</v>
      </c>
      <c r="L177" s="249">
        <v>870370370.37037027</v>
      </c>
    </row>
    <row r="178" spans="1:12">
      <c r="A178">
        <v>1711</v>
      </c>
      <c r="C178">
        <v>1</v>
      </c>
      <c r="D178">
        <v>1</v>
      </c>
      <c r="E178">
        <v>0</v>
      </c>
      <c r="F178">
        <v>1</v>
      </c>
      <c r="G178">
        <v>0</v>
      </c>
      <c r="H178">
        <f t="shared" si="2"/>
        <v>3</v>
      </c>
      <c r="K178" s="248">
        <v>0.36</v>
      </c>
      <c r="L178" s="249">
        <v>522222222.22222227</v>
      </c>
    </row>
    <row r="179" spans="1:12">
      <c r="A179">
        <v>1712</v>
      </c>
      <c r="C179">
        <v>0</v>
      </c>
      <c r="D179">
        <v>0</v>
      </c>
      <c r="E179">
        <v>1</v>
      </c>
      <c r="F179">
        <v>1</v>
      </c>
      <c r="G179">
        <v>0</v>
      </c>
      <c r="H179">
        <f t="shared" si="2"/>
        <v>2</v>
      </c>
      <c r="K179" s="248">
        <v>0.05</v>
      </c>
      <c r="L179" s="249">
        <v>340000000</v>
      </c>
    </row>
    <row r="180" spans="1:12">
      <c r="A180">
        <v>1713</v>
      </c>
      <c r="C180">
        <v>0</v>
      </c>
      <c r="D180">
        <v>1</v>
      </c>
      <c r="E180">
        <v>0</v>
      </c>
      <c r="F180">
        <v>0</v>
      </c>
      <c r="G180">
        <v>0</v>
      </c>
      <c r="H180">
        <f t="shared" si="2"/>
        <v>1</v>
      </c>
      <c r="K180" s="248">
        <v>0.12</v>
      </c>
      <c r="L180" s="249">
        <v>150000000</v>
      </c>
    </row>
    <row r="181" spans="1:12">
      <c r="A181">
        <v>1714</v>
      </c>
      <c r="C181">
        <v>0</v>
      </c>
      <c r="D181">
        <v>1</v>
      </c>
      <c r="E181">
        <v>0</v>
      </c>
      <c r="F181">
        <v>0</v>
      </c>
      <c r="G181">
        <v>0</v>
      </c>
      <c r="H181">
        <f t="shared" si="2"/>
        <v>1</v>
      </c>
      <c r="K181" s="248">
        <v>0.33</v>
      </c>
      <c r="L181" s="249">
        <v>954545454.5454545</v>
      </c>
    </row>
    <row r="182" spans="1:12">
      <c r="A182">
        <v>1715</v>
      </c>
      <c r="C182">
        <v>0</v>
      </c>
      <c r="D182">
        <v>1</v>
      </c>
      <c r="E182">
        <v>2</v>
      </c>
      <c r="F182">
        <v>1</v>
      </c>
      <c r="G182">
        <v>1</v>
      </c>
      <c r="H182">
        <f t="shared" si="2"/>
        <v>5</v>
      </c>
      <c r="K182" s="248">
        <v>0.31</v>
      </c>
      <c r="L182" s="249">
        <v>409677419.35483873</v>
      </c>
    </row>
    <row r="183" spans="1:12">
      <c r="A183">
        <v>1717</v>
      </c>
      <c r="C183">
        <v>1</v>
      </c>
      <c r="D183">
        <v>1</v>
      </c>
      <c r="E183">
        <v>0</v>
      </c>
      <c r="F183">
        <v>1</v>
      </c>
      <c r="G183">
        <v>0</v>
      </c>
      <c r="H183">
        <f t="shared" si="2"/>
        <v>3</v>
      </c>
      <c r="K183" s="248">
        <v>0.77</v>
      </c>
      <c r="L183" s="249">
        <v>1019480519.4805194</v>
      </c>
    </row>
    <row r="184" spans="1:12">
      <c r="A184">
        <v>1720</v>
      </c>
      <c r="C184">
        <v>0</v>
      </c>
      <c r="D184">
        <v>1</v>
      </c>
      <c r="E184">
        <v>1</v>
      </c>
      <c r="F184">
        <v>1</v>
      </c>
      <c r="G184">
        <v>0</v>
      </c>
      <c r="H184">
        <f t="shared" si="2"/>
        <v>3</v>
      </c>
      <c r="K184" s="248">
        <v>0.53</v>
      </c>
      <c r="L184" s="249">
        <v>177358490.56603771</v>
      </c>
    </row>
    <row r="185" spans="1:12">
      <c r="A185">
        <v>1721</v>
      </c>
      <c r="C185">
        <v>1</v>
      </c>
      <c r="D185">
        <v>1</v>
      </c>
      <c r="E185">
        <v>0</v>
      </c>
      <c r="F185">
        <v>1</v>
      </c>
      <c r="G185">
        <v>0</v>
      </c>
      <c r="H185">
        <f t="shared" si="2"/>
        <v>3</v>
      </c>
      <c r="K185" s="248">
        <v>0.3</v>
      </c>
      <c r="L185" s="249">
        <v>83333333.333333343</v>
      </c>
    </row>
    <row r="186" spans="1:12">
      <c r="A186">
        <v>1722</v>
      </c>
      <c r="C186">
        <v>0</v>
      </c>
      <c r="D186">
        <v>1</v>
      </c>
      <c r="E186">
        <v>1</v>
      </c>
      <c r="F186">
        <v>1</v>
      </c>
      <c r="G186">
        <v>0</v>
      </c>
      <c r="H186">
        <f t="shared" si="2"/>
        <v>3</v>
      </c>
      <c r="K186" s="248">
        <v>1.17</v>
      </c>
      <c r="L186" s="249">
        <v>982051282.05128217</v>
      </c>
    </row>
    <row r="187" spans="1:12">
      <c r="A187">
        <v>1723</v>
      </c>
      <c r="C187">
        <v>0</v>
      </c>
      <c r="D187">
        <v>0</v>
      </c>
      <c r="E187">
        <v>0</v>
      </c>
      <c r="F187">
        <v>1</v>
      </c>
      <c r="G187">
        <v>0</v>
      </c>
      <c r="H187">
        <f t="shared" si="2"/>
        <v>1</v>
      </c>
      <c r="K187" s="248">
        <v>1.3</v>
      </c>
      <c r="L187" s="249">
        <v>231538461.53846154</v>
      </c>
    </row>
    <row r="188" spans="1:12">
      <c r="A188">
        <v>1724</v>
      </c>
      <c r="C188">
        <v>1</v>
      </c>
      <c r="D188">
        <v>1</v>
      </c>
      <c r="E188">
        <v>1</v>
      </c>
      <c r="F188">
        <v>1</v>
      </c>
      <c r="G188">
        <v>0</v>
      </c>
      <c r="H188">
        <f t="shared" si="2"/>
        <v>4</v>
      </c>
      <c r="K188" s="248">
        <v>0.44</v>
      </c>
      <c r="L188" s="249">
        <v>127272727.27272727</v>
      </c>
    </row>
    <row r="189" spans="1:12">
      <c r="A189">
        <v>1725</v>
      </c>
      <c r="C189">
        <v>0</v>
      </c>
      <c r="D189">
        <v>1</v>
      </c>
      <c r="E189">
        <v>1</v>
      </c>
      <c r="F189">
        <v>1</v>
      </c>
      <c r="G189">
        <v>0</v>
      </c>
      <c r="H189">
        <f t="shared" si="2"/>
        <v>3</v>
      </c>
      <c r="K189" s="248">
        <v>0.56999999999999995</v>
      </c>
      <c r="L189" s="249">
        <v>182456140.3508772</v>
      </c>
    </row>
    <row r="190" spans="1:12">
      <c r="A190">
        <v>1726</v>
      </c>
      <c r="C190">
        <v>1</v>
      </c>
      <c r="D190">
        <v>1</v>
      </c>
      <c r="E190">
        <v>0</v>
      </c>
      <c r="F190">
        <v>1</v>
      </c>
      <c r="G190">
        <v>0</v>
      </c>
      <c r="H190">
        <f t="shared" si="2"/>
        <v>3</v>
      </c>
      <c r="K190" s="248">
        <v>1.65</v>
      </c>
      <c r="L190" s="249">
        <v>161818181.81818181</v>
      </c>
    </row>
    <row r="191" spans="1:12">
      <c r="A191">
        <v>1727</v>
      </c>
      <c r="C191">
        <v>0</v>
      </c>
      <c r="D191">
        <v>1</v>
      </c>
      <c r="E191">
        <v>0</v>
      </c>
      <c r="F191">
        <v>1</v>
      </c>
      <c r="G191">
        <v>0</v>
      </c>
      <c r="H191">
        <f t="shared" si="2"/>
        <v>2</v>
      </c>
      <c r="K191" s="248">
        <v>0.25</v>
      </c>
      <c r="L191" s="249">
        <v>108000000</v>
      </c>
    </row>
    <row r="192" spans="1:12">
      <c r="A192">
        <v>1729</v>
      </c>
      <c r="C192">
        <v>1</v>
      </c>
      <c r="D192">
        <v>1</v>
      </c>
      <c r="E192">
        <v>2</v>
      </c>
      <c r="F192">
        <v>0</v>
      </c>
      <c r="G192">
        <v>0</v>
      </c>
      <c r="H192">
        <f t="shared" si="2"/>
        <v>4</v>
      </c>
      <c r="K192" s="248">
        <v>0.03</v>
      </c>
      <c r="L192" s="249">
        <v>200000000</v>
      </c>
    </row>
    <row r="193" spans="1:12">
      <c r="A193">
        <v>1730</v>
      </c>
      <c r="C193">
        <v>1</v>
      </c>
      <c r="D193">
        <v>1</v>
      </c>
      <c r="E193">
        <v>2</v>
      </c>
      <c r="F193">
        <v>1</v>
      </c>
      <c r="G193">
        <v>1</v>
      </c>
      <c r="H193">
        <f t="shared" si="2"/>
        <v>6</v>
      </c>
      <c r="K193" s="248">
        <v>0.81</v>
      </c>
      <c r="L193" s="249">
        <v>53086419.753086418</v>
      </c>
    </row>
    <row r="194" spans="1:12">
      <c r="A194">
        <v>1731</v>
      </c>
      <c r="C194">
        <v>0</v>
      </c>
      <c r="D194">
        <v>1</v>
      </c>
      <c r="E194">
        <v>0</v>
      </c>
      <c r="F194">
        <v>1</v>
      </c>
      <c r="G194">
        <v>0</v>
      </c>
      <c r="H194">
        <f t="shared" ref="H194:H257" si="3">SUM(C194:G194)</f>
        <v>2</v>
      </c>
      <c r="K194" s="248">
        <v>0.11</v>
      </c>
      <c r="L194" s="249">
        <v>127272727.27272727</v>
      </c>
    </row>
    <row r="195" spans="1:12">
      <c r="A195">
        <v>1732</v>
      </c>
      <c r="C195">
        <v>1</v>
      </c>
      <c r="D195">
        <v>1</v>
      </c>
      <c r="E195">
        <v>0</v>
      </c>
      <c r="F195">
        <v>1</v>
      </c>
      <c r="G195">
        <v>0</v>
      </c>
      <c r="H195">
        <f t="shared" si="3"/>
        <v>3</v>
      </c>
      <c r="K195" s="248">
        <v>0.01</v>
      </c>
      <c r="L195" s="249">
        <v>100000000</v>
      </c>
    </row>
    <row r="196" spans="1:12">
      <c r="A196">
        <v>1733</v>
      </c>
      <c r="C196">
        <v>1</v>
      </c>
      <c r="D196">
        <v>1</v>
      </c>
      <c r="E196">
        <v>2</v>
      </c>
      <c r="F196">
        <v>0</v>
      </c>
      <c r="G196">
        <v>0</v>
      </c>
      <c r="H196">
        <f t="shared" si="3"/>
        <v>4</v>
      </c>
      <c r="K196" s="248">
        <v>1.1100000000000001</v>
      </c>
      <c r="L196" s="249">
        <v>98198198.198198184</v>
      </c>
    </row>
    <row r="197" spans="1:12">
      <c r="A197">
        <v>1734</v>
      </c>
      <c r="C197">
        <v>0</v>
      </c>
      <c r="D197">
        <v>1</v>
      </c>
      <c r="E197">
        <v>0</v>
      </c>
      <c r="F197">
        <v>1</v>
      </c>
      <c r="G197">
        <v>0</v>
      </c>
      <c r="H197">
        <f t="shared" si="3"/>
        <v>2</v>
      </c>
      <c r="K197" s="248">
        <v>-0.1</v>
      </c>
      <c r="L197" s="249">
        <v>170000000</v>
      </c>
    </row>
    <row r="198" spans="1:12">
      <c r="A198">
        <v>1735</v>
      </c>
      <c r="C198">
        <v>0</v>
      </c>
      <c r="D198">
        <v>1</v>
      </c>
      <c r="E198">
        <v>0</v>
      </c>
      <c r="F198">
        <v>1</v>
      </c>
      <c r="G198">
        <v>0</v>
      </c>
      <c r="H198">
        <f t="shared" si="3"/>
        <v>2</v>
      </c>
      <c r="K198" s="248">
        <v>0.28999999999999998</v>
      </c>
      <c r="L198" s="249">
        <v>100000000</v>
      </c>
    </row>
    <row r="199" spans="1:12">
      <c r="A199">
        <v>1736</v>
      </c>
      <c r="C199">
        <v>0</v>
      </c>
      <c r="D199">
        <v>1</v>
      </c>
      <c r="E199">
        <v>0</v>
      </c>
      <c r="F199">
        <v>0</v>
      </c>
      <c r="G199">
        <v>0</v>
      </c>
      <c r="H199">
        <f t="shared" si="3"/>
        <v>1</v>
      </c>
      <c r="K199" s="248">
        <v>0.73</v>
      </c>
      <c r="L199" s="249">
        <v>302739726.02739727</v>
      </c>
    </row>
    <row r="200" spans="1:12">
      <c r="A200">
        <v>1737</v>
      </c>
      <c r="C200">
        <v>1</v>
      </c>
      <c r="D200">
        <v>1</v>
      </c>
      <c r="E200">
        <v>0</v>
      </c>
      <c r="F200">
        <v>1</v>
      </c>
      <c r="G200">
        <v>0</v>
      </c>
      <c r="H200">
        <f t="shared" si="3"/>
        <v>3</v>
      </c>
      <c r="K200" s="248">
        <v>0.6</v>
      </c>
      <c r="L200" s="249">
        <v>200000000</v>
      </c>
    </row>
    <row r="201" spans="1:12">
      <c r="A201">
        <v>1742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f t="shared" si="3"/>
        <v>0</v>
      </c>
      <c r="K201" s="248">
        <v>-0.46</v>
      </c>
      <c r="L201" s="249">
        <v>65217391.304347821</v>
      </c>
    </row>
    <row r="202" spans="1:12">
      <c r="A202">
        <v>1752</v>
      </c>
      <c r="C202">
        <v>1</v>
      </c>
      <c r="D202">
        <v>1</v>
      </c>
      <c r="E202">
        <v>0</v>
      </c>
      <c r="F202">
        <v>1</v>
      </c>
      <c r="G202">
        <v>0</v>
      </c>
      <c r="H202">
        <f t="shared" si="3"/>
        <v>3</v>
      </c>
      <c r="K202" s="248">
        <v>0.69</v>
      </c>
      <c r="L202" s="249">
        <v>91304347.826086968</v>
      </c>
    </row>
    <row r="203" spans="1:12">
      <c r="A203">
        <v>1762</v>
      </c>
      <c r="C203">
        <v>0</v>
      </c>
      <c r="D203">
        <v>1</v>
      </c>
      <c r="E203">
        <v>0</v>
      </c>
      <c r="F203">
        <v>1</v>
      </c>
      <c r="G203">
        <v>0</v>
      </c>
      <c r="H203">
        <f t="shared" si="3"/>
        <v>2</v>
      </c>
      <c r="K203" s="248">
        <v>0.41</v>
      </c>
      <c r="L203" s="249">
        <v>78048780.48780489</v>
      </c>
    </row>
    <row r="204" spans="1:12">
      <c r="A204">
        <v>1773</v>
      </c>
      <c r="C204">
        <v>1</v>
      </c>
      <c r="D204">
        <v>1</v>
      </c>
      <c r="E204">
        <v>2</v>
      </c>
      <c r="F204">
        <v>1</v>
      </c>
      <c r="G204">
        <v>0</v>
      </c>
      <c r="H204">
        <f t="shared" si="3"/>
        <v>5</v>
      </c>
      <c r="K204" s="248">
        <v>1.07</v>
      </c>
      <c r="L204" s="249">
        <v>149532710.28037381</v>
      </c>
    </row>
    <row r="205" spans="1:12">
      <c r="A205">
        <v>1777</v>
      </c>
      <c r="C205">
        <v>1</v>
      </c>
      <c r="D205">
        <v>1</v>
      </c>
      <c r="E205">
        <v>1</v>
      </c>
      <c r="F205">
        <v>1</v>
      </c>
      <c r="G205">
        <v>1</v>
      </c>
      <c r="H205">
        <f t="shared" si="3"/>
        <v>5</v>
      </c>
      <c r="K205" s="248">
        <v>1.74</v>
      </c>
      <c r="L205" s="249">
        <v>29885057.47126437</v>
      </c>
    </row>
    <row r="206" spans="1:12">
      <c r="A206">
        <v>1781</v>
      </c>
      <c r="C206">
        <v>0</v>
      </c>
      <c r="D206">
        <v>1</v>
      </c>
      <c r="E206">
        <v>2</v>
      </c>
      <c r="F206">
        <v>1</v>
      </c>
      <c r="G206">
        <v>0</v>
      </c>
      <c r="H206">
        <f t="shared" si="3"/>
        <v>4</v>
      </c>
      <c r="K206" s="248">
        <v>0.01</v>
      </c>
      <c r="L206" s="249">
        <v>0</v>
      </c>
    </row>
    <row r="207" spans="1:12">
      <c r="A207">
        <v>1783</v>
      </c>
      <c r="C207">
        <v>0</v>
      </c>
      <c r="D207">
        <v>1</v>
      </c>
      <c r="E207">
        <v>0</v>
      </c>
      <c r="F207">
        <v>0</v>
      </c>
      <c r="G207">
        <v>1</v>
      </c>
      <c r="H207">
        <f t="shared" si="3"/>
        <v>2</v>
      </c>
      <c r="K207" s="248">
        <v>-0.08</v>
      </c>
      <c r="L207" s="249">
        <v>75000000</v>
      </c>
    </row>
    <row r="208" spans="1:12">
      <c r="A208">
        <v>1784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f t="shared" si="3"/>
        <v>0</v>
      </c>
      <c r="K208" s="248">
        <v>0.1</v>
      </c>
      <c r="L208" s="249">
        <v>50000000</v>
      </c>
    </row>
    <row r="209" spans="1:12">
      <c r="A209">
        <v>1785</v>
      </c>
      <c r="C209">
        <v>0</v>
      </c>
      <c r="D209">
        <v>1</v>
      </c>
      <c r="E209">
        <v>0</v>
      </c>
      <c r="F209">
        <v>0</v>
      </c>
      <c r="G209">
        <v>0</v>
      </c>
      <c r="H209">
        <f t="shared" si="3"/>
        <v>1</v>
      </c>
      <c r="K209" s="248">
        <v>0.21</v>
      </c>
      <c r="L209" s="249">
        <v>395238095.23809522</v>
      </c>
    </row>
    <row r="210" spans="1:12">
      <c r="A210">
        <v>1786</v>
      </c>
      <c r="C210">
        <v>1</v>
      </c>
      <c r="D210">
        <v>1</v>
      </c>
      <c r="E210">
        <v>2</v>
      </c>
      <c r="F210">
        <v>1</v>
      </c>
      <c r="G210">
        <v>0</v>
      </c>
      <c r="H210">
        <f t="shared" si="3"/>
        <v>5</v>
      </c>
      <c r="K210" s="248">
        <v>0.48</v>
      </c>
      <c r="L210" s="249">
        <v>52083333.333333336</v>
      </c>
    </row>
    <row r="211" spans="1:12">
      <c r="A211">
        <v>1787</v>
      </c>
      <c r="C211">
        <v>1</v>
      </c>
      <c r="D211">
        <v>1</v>
      </c>
      <c r="E211">
        <v>1</v>
      </c>
      <c r="F211">
        <v>1</v>
      </c>
      <c r="G211">
        <v>1</v>
      </c>
      <c r="H211">
        <f t="shared" si="3"/>
        <v>5</v>
      </c>
      <c r="K211" s="248">
        <v>0.6</v>
      </c>
      <c r="L211" s="249">
        <v>66666666.666666672</v>
      </c>
    </row>
    <row r="212" spans="1:12">
      <c r="A212">
        <v>1788</v>
      </c>
      <c r="C212">
        <v>0</v>
      </c>
      <c r="D212">
        <v>0</v>
      </c>
      <c r="E212">
        <v>0</v>
      </c>
      <c r="F212">
        <v>1</v>
      </c>
      <c r="G212">
        <v>0</v>
      </c>
      <c r="H212">
        <f t="shared" si="3"/>
        <v>1</v>
      </c>
      <c r="K212" s="248">
        <v>1.39</v>
      </c>
      <c r="L212" s="249">
        <v>35251798.56115108</v>
      </c>
    </row>
    <row r="213" spans="1:12">
      <c r="A213">
        <v>1789</v>
      </c>
      <c r="C213">
        <v>1</v>
      </c>
      <c r="D213">
        <v>1</v>
      </c>
      <c r="E213">
        <v>1</v>
      </c>
      <c r="F213">
        <v>0</v>
      </c>
      <c r="G213">
        <v>0</v>
      </c>
      <c r="H213">
        <f t="shared" si="3"/>
        <v>3</v>
      </c>
      <c r="K213" s="248">
        <v>0.27</v>
      </c>
      <c r="L213" s="249">
        <v>722222222.22222221</v>
      </c>
    </row>
    <row r="214" spans="1:12">
      <c r="A214">
        <v>1795</v>
      </c>
      <c r="C214">
        <v>0</v>
      </c>
      <c r="D214">
        <v>1</v>
      </c>
      <c r="E214">
        <v>2</v>
      </c>
      <c r="F214">
        <v>1</v>
      </c>
      <c r="G214">
        <v>0</v>
      </c>
      <c r="H214">
        <f t="shared" si="3"/>
        <v>4</v>
      </c>
      <c r="K214" s="248">
        <v>0.06</v>
      </c>
      <c r="L214" s="249">
        <v>250000000</v>
      </c>
    </row>
    <row r="215" spans="1:12">
      <c r="A215">
        <v>1799</v>
      </c>
      <c r="C215">
        <v>1</v>
      </c>
      <c r="D215">
        <v>1</v>
      </c>
      <c r="E215">
        <v>0</v>
      </c>
      <c r="F215">
        <v>0</v>
      </c>
      <c r="G215">
        <v>1</v>
      </c>
      <c r="H215">
        <f t="shared" si="3"/>
        <v>3</v>
      </c>
      <c r="K215" s="248">
        <v>-0.37</v>
      </c>
      <c r="L215" s="249">
        <v>64864864.864864863</v>
      </c>
    </row>
    <row r="216" spans="1:12">
      <c r="A216">
        <v>1802</v>
      </c>
      <c r="C216">
        <v>0</v>
      </c>
      <c r="D216">
        <v>0</v>
      </c>
      <c r="E216">
        <v>2</v>
      </c>
      <c r="F216">
        <v>1</v>
      </c>
      <c r="G216">
        <v>0</v>
      </c>
      <c r="H216">
        <f t="shared" si="3"/>
        <v>3</v>
      </c>
      <c r="K216" s="248">
        <v>-0.61</v>
      </c>
      <c r="L216" s="249">
        <v>2359016393.4426231</v>
      </c>
    </row>
    <row r="217" spans="1:12">
      <c r="A217">
        <v>1805</v>
      </c>
      <c r="C217">
        <v>1</v>
      </c>
      <c r="D217">
        <v>0</v>
      </c>
      <c r="E217">
        <v>0</v>
      </c>
      <c r="F217">
        <v>0</v>
      </c>
      <c r="G217">
        <v>0</v>
      </c>
      <c r="H217">
        <f t="shared" si="3"/>
        <v>1</v>
      </c>
      <c r="K217" s="248">
        <v>-0.25</v>
      </c>
      <c r="L217" s="249">
        <v>80000000</v>
      </c>
    </row>
    <row r="218" spans="1:12">
      <c r="A218">
        <v>1806</v>
      </c>
      <c r="C218">
        <v>1</v>
      </c>
      <c r="D218">
        <v>1</v>
      </c>
      <c r="E218">
        <v>0</v>
      </c>
      <c r="F218">
        <v>1</v>
      </c>
      <c r="G218">
        <v>0</v>
      </c>
      <c r="H218">
        <f t="shared" si="3"/>
        <v>3</v>
      </c>
      <c r="K218" s="248">
        <v>0.13</v>
      </c>
      <c r="L218" s="249">
        <v>430769230.76923078</v>
      </c>
    </row>
    <row r="219" spans="1:12">
      <c r="A219">
        <v>1808</v>
      </c>
      <c r="C219">
        <v>1</v>
      </c>
      <c r="D219">
        <v>1</v>
      </c>
      <c r="E219">
        <v>2</v>
      </c>
      <c r="F219">
        <v>1</v>
      </c>
      <c r="G219">
        <v>1</v>
      </c>
      <c r="H219">
        <f t="shared" si="3"/>
        <v>6</v>
      </c>
      <c r="K219" s="248">
        <v>2.85</v>
      </c>
      <c r="L219" s="249">
        <v>214736842.10526314</v>
      </c>
    </row>
    <row r="220" spans="1:12">
      <c r="A220">
        <v>1809</v>
      </c>
      <c r="C220">
        <v>0</v>
      </c>
      <c r="D220">
        <v>1</v>
      </c>
      <c r="E220">
        <v>0</v>
      </c>
      <c r="F220">
        <v>0</v>
      </c>
      <c r="G220">
        <v>0</v>
      </c>
      <c r="H220">
        <f t="shared" si="3"/>
        <v>1</v>
      </c>
      <c r="K220" s="248">
        <v>0.12</v>
      </c>
      <c r="L220" s="249">
        <v>191666666.66666669</v>
      </c>
    </row>
    <row r="221" spans="1:12">
      <c r="A221">
        <v>1810</v>
      </c>
      <c r="C221">
        <v>0</v>
      </c>
      <c r="D221">
        <v>1</v>
      </c>
      <c r="E221">
        <v>0</v>
      </c>
      <c r="F221">
        <v>1</v>
      </c>
      <c r="G221">
        <v>0</v>
      </c>
      <c r="H221">
        <f t="shared" si="3"/>
        <v>2</v>
      </c>
      <c r="K221" s="248">
        <v>0.12</v>
      </c>
      <c r="L221" s="249">
        <v>358333333.33333337</v>
      </c>
    </row>
    <row r="222" spans="1:12">
      <c r="A222">
        <v>1813</v>
      </c>
      <c r="C222">
        <v>1</v>
      </c>
      <c r="D222">
        <v>1</v>
      </c>
      <c r="E222">
        <v>0</v>
      </c>
      <c r="F222">
        <v>1</v>
      </c>
      <c r="G222">
        <v>0</v>
      </c>
      <c r="H222">
        <f t="shared" si="3"/>
        <v>3</v>
      </c>
      <c r="K222" s="248">
        <v>0.81</v>
      </c>
      <c r="L222" s="249">
        <v>46913580.246913575</v>
      </c>
    </row>
    <row r="223" spans="1:12">
      <c r="A223">
        <v>1815</v>
      </c>
      <c r="C223">
        <v>1</v>
      </c>
      <c r="D223">
        <v>1</v>
      </c>
      <c r="E223">
        <v>0</v>
      </c>
      <c r="F223">
        <v>1</v>
      </c>
      <c r="G223">
        <v>0</v>
      </c>
      <c r="H223">
        <f t="shared" si="3"/>
        <v>3</v>
      </c>
      <c r="K223" s="248">
        <v>0.35</v>
      </c>
      <c r="L223" s="249">
        <v>411428571.42857146</v>
      </c>
    </row>
    <row r="224" spans="1:12">
      <c r="A224">
        <v>1817</v>
      </c>
      <c r="C224">
        <v>1</v>
      </c>
      <c r="D224">
        <v>1</v>
      </c>
      <c r="E224">
        <v>0</v>
      </c>
      <c r="F224">
        <v>1</v>
      </c>
      <c r="G224">
        <v>0</v>
      </c>
      <c r="H224">
        <f t="shared" si="3"/>
        <v>3</v>
      </c>
      <c r="K224" s="248">
        <v>0.97</v>
      </c>
      <c r="L224" s="249">
        <v>72164948.453608245</v>
      </c>
    </row>
    <row r="225" spans="1:12">
      <c r="A225">
        <v>1902</v>
      </c>
      <c r="C225">
        <v>1</v>
      </c>
      <c r="D225">
        <v>1</v>
      </c>
      <c r="E225">
        <v>0</v>
      </c>
      <c r="F225">
        <v>1</v>
      </c>
      <c r="G225">
        <v>0</v>
      </c>
      <c r="H225">
        <f t="shared" si="3"/>
        <v>3</v>
      </c>
      <c r="K225" s="248">
        <v>0.18</v>
      </c>
      <c r="L225" s="249">
        <v>400000000</v>
      </c>
    </row>
    <row r="226" spans="1:12">
      <c r="A226">
        <v>1903</v>
      </c>
      <c r="C226">
        <v>0</v>
      </c>
      <c r="D226">
        <v>1</v>
      </c>
      <c r="E226">
        <v>0</v>
      </c>
      <c r="F226">
        <v>1</v>
      </c>
      <c r="G226">
        <v>0</v>
      </c>
      <c r="H226">
        <f t="shared" si="3"/>
        <v>2</v>
      </c>
      <c r="K226" s="248">
        <v>-0.01</v>
      </c>
      <c r="L226" s="249">
        <v>400000000</v>
      </c>
    </row>
    <row r="227" spans="1:12">
      <c r="A227">
        <v>1904</v>
      </c>
      <c r="C227">
        <v>0</v>
      </c>
      <c r="D227">
        <v>1</v>
      </c>
      <c r="E227">
        <v>0</v>
      </c>
      <c r="F227">
        <v>0</v>
      </c>
      <c r="G227">
        <v>0</v>
      </c>
      <c r="H227">
        <f t="shared" si="3"/>
        <v>1</v>
      </c>
      <c r="K227" s="248">
        <v>0.22</v>
      </c>
      <c r="L227" s="249">
        <v>1095454545.4545455</v>
      </c>
    </row>
    <row r="228" spans="1:12">
      <c r="A228">
        <v>1905</v>
      </c>
      <c r="C228">
        <v>1</v>
      </c>
      <c r="D228">
        <v>1</v>
      </c>
      <c r="E228">
        <v>1</v>
      </c>
      <c r="F228">
        <v>1</v>
      </c>
      <c r="G228">
        <v>0</v>
      </c>
      <c r="H228">
        <f t="shared" si="3"/>
        <v>4</v>
      </c>
      <c r="K228" s="248">
        <v>0.23</v>
      </c>
      <c r="L228" s="249">
        <v>1169565217.3913043</v>
      </c>
    </row>
    <row r="229" spans="1:12">
      <c r="A229">
        <v>1906</v>
      </c>
      <c r="C229">
        <v>0</v>
      </c>
      <c r="D229">
        <v>1</v>
      </c>
      <c r="E229">
        <v>1</v>
      </c>
      <c r="F229">
        <v>1</v>
      </c>
      <c r="G229">
        <v>0</v>
      </c>
      <c r="H229">
        <f t="shared" si="3"/>
        <v>3</v>
      </c>
      <c r="K229" s="248">
        <v>-0.04</v>
      </c>
      <c r="L229" s="249">
        <v>150000000</v>
      </c>
    </row>
    <row r="230" spans="1:12">
      <c r="A230">
        <v>1907</v>
      </c>
      <c r="C230">
        <v>0</v>
      </c>
      <c r="D230">
        <v>1</v>
      </c>
      <c r="E230">
        <v>0</v>
      </c>
      <c r="F230">
        <v>1</v>
      </c>
      <c r="G230">
        <v>0</v>
      </c>
      <c r="H230">
        <f t="shared" si="3"/>
        <v>2</v>
      </c>
      <c r="K230" s="248">
        <v>0.27</v>
      </c>
      <c r="L230" s="249">
        <v>1674074074.074074</v>
      </c>
    </row>
    <row r="231" spans="1:12">
      <c r="A231">
        <v>1909</v>
      </c>
      <c r="C231">
        <v>0</v>
      </c>
      <c r="D231">
        <v>0</v>
      </c>
      <c r="E231">
        <v>1</v>
      </c>
      <c r="F231">
        <v>1</v>
      </c>
      <c r="G231">
        <v>0</v>
      </c>
      <c r="H231">
        <f t="shared" si="3"/>
        <v>2</v>
      </c>
      <c r="K231" s="248">
        <v>0.31</v>
      </c>
      <c r="L231" s="249">
        <v>841935483.87096775</v>
      </c>
    </row>
    <row r="232" spans="1:12">
      <c r="A232">
        <v>2002</v>
      </c>
      <c r="C232">
        <v>0</v>
      </c>
      <c r="D232">
        <v>0</v>
      </c>
      <c r="E232">
        <v>0</v>
      </c>
      <c r="F232">
        <v>1</v>
      </c>
      <c r="G232">
        <v>0</v>
      </c>
      <c r="H232">
        <f t="shared" si="3"/>
        <v>1</v>
      </c>
      <c r="K232" s="248">
        <v>0.05</v>
      </c>
      <c r="L232" s="249">
        <v>14880000000</v>
      </c>
    </row>
    <row r="233" spans="1:12">
      <c r="A233">
        <v>2006</v>
      </c>
      <c r="C233">
        <v>0</v>
      </c>
      <c r="D233">
        <v>0</v>
      </c>
      <c r="E233">
        <v>0</v>
      </c>
      <c r="F233">
        <v>1</v>
      </c>
      <c r="G233">
        <v>0</v>
      </c>
      <c r="H233">
        <f t="shared" si="3"/>
        <v>1</v>
      </c>
      <c r="K233" s="248">
        <v>0.15</v>
      </c>
      <c r="L233" s="249">
        <v>1013333333.3333334</v>
      </c>
    </row>
    <row r="234" spans="1:12">
      <c r="A234">
        <v>2007</v>
      </c>
      <c r="C234">
        <v>0</v>
      </c>
      <c r="D234">
        <v>0</v>
      </c>
      <c r="E234">
        <v>1</v>
      </c>
      <c r="F234">
        <v>0</v>
      </c>
      <c r="G234">
        <v>0</v>
      </c>
      <c r="H234">
        <f t="shared" si="3"/>
        <v>1</v>
      </c>
      <c r="K234" s="248">
        <v>-0.24</v>
      </c>
      <c r="L234" s="249">
        <v>620833333.33333337</v>
      </c>
    </row>
    <row r="235" spans="1:12">
      <c r="A235">
        <v>2008</v>
      </c>
      <c r="C235">
        <v>0</v>
      </c>
      <c r="D235">
        <v>0</v>
      </c>
      <c r="E235">
        <v>0</v>
      </c>
      <c r="F235">
        <v>1</v>
      </c>
      <c r="G235">
        <v>0</v>
      </c>
      <c r="H235">
        <f t="shared" si="3"/>
        <v>1</v>
      </c>
      <c r="K235" s="248">
        <v>-0.28000000000000003</v>
      </c>
      <c r="L235" s="249">
        <v>275000000</v>
      </c>
    </row>
    <row r="236" spans="1:12">
      <c r="A236">
        <v>2009</v>
      </c>
      <c r="C236">
        <v>0</v>
      </c>
      <c r="D236">
        <v>0</v>
      </c>
      <c r="E236">
        <v>0</v>
      </c>
      <c r="F236">
        <v>1</v>
      </c>
      <c r="G236">
        <v>0</v>
      </c>
      <c r="H236">
        <f t="shared" si="3"/>
        <v>1</v>
      </c>
      <c r="K236" s="248">
        <v>-0.37</v>
      </c>
      <c r="L236" s="249">
        <v>356756756.75675678</v>
      </c>
    </row>
    <row r="237" spans="1:12">
      <c r="A237">
        <v>2010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f t="shared" si="3"/>
        <v>0</v>
      </c>
      <c r="K237" s="248">
        <v>0.11</v>
      </c>
      <c r="L237" s="249">
        <v>663636363.63636363</v>
      </c>
    </row>
    <row r="238" spans="1:12">
      <c r="A238">
        <v>2012</v>
      </c>
      <c r="C238">
        <v>1</v>
      </c>
      <c r="D238">
        <v>1</v>
      </c>
      <c r="E238">
        <v>0</v>
      </c>
      <c r="F238">
        <v>1</v>
      </c>
      <c r="G238">
        <v>0</v>
      </c>
      <c r="H238">
        <f t="shared" si="3"/>
        <v>3</v>
      </c>
      <c r="K238" s="248">
        <v>0.32</v>
      </c>
      <c r="L238" s="249">
        <v>265625000</v>
      </c>
    </row>
    <row r="239" spans="1:12">
      <c r="A239">
        <v>2013</v>
      </c>
      <c r="C239">
        <v>0</v>
      </c>
      <c r="D239">
        <v>0</v>
      </c>
      <c r="E239">
        <v>0</v>
      </c>
      <c r="F239">
        <v>0</v>
      </c>
      <c r="G239">
        <v>0</v>
      </c>
      <c r="H239">
        <f t="shared" si="3"/>
        <v>0</v>
      </c>
      <c r="K239" s="248">
        <v>0.24</v>
      </c>
      <c r="L239" s="249">
        <v>191666666.66666669</v>
      </c>
    </row>
    <row r="240" spans="1:12">
      <c r="A240">
        <v>2014</v>
      </c>
      <c r="C240">
        <v>0</v>
      </c>
      <c r="D240">
        <v>1</v>
      </c>
      <c r="E240">
        <v>2</v>
      </c>
      <c r="F240">
        <v>1</v>
      </c>
      <c r="G240">
        <v>0</v>
      </c>
      <c r="H240">
        <f t="shared" si="3"/>
        <v>4</v>
      </c>
      <c r="K240" s="248">
        <v>0.35</v>
      </c>
      <c r="L240" s="249">
        <v>1454285714.2857144</v>
      </c>
    </row>
    <row r="241" spans="1:12">
      <c r="A241">
        <v>2015</v>
      </c>
      <c r="C241">
        <v>0</v>
      </c>
      <c r="D241">
        <v>1</v>
      </c>
      <c r="E241">
        <v>1</v>
      </c>
      <c r="F241">
        <v>1</v>
      </c>
      <c r="G241">
        <v>0</v>
      </c>
      <c r="H241">
        <f t="shared" si="3"/>
        <v>3</v>
      </c>
      <c r="K241" s="248">
        <v>0.64</v>
      </c>
      <c r="L241" s="249">
        <v>581250000</v>
      </c>
    </row>
    <row r="242" spans="1:12">
      <c r="A242">
        <v>2017</v>
      </c>
      <c r="C242">
        <v>0</v>
      </c>
      <c r="D242">
        <v>0</v>
      </c>
      <c r="E242">
        <v>0</v>
      </c>
      <c r="F242">
        <v>1</v>
      </c>
      <c r="G242">
        <v>0</v>
      </c>
      <c r="H242">
        <f t="shared" si="3"/>
        <v>1</v>
      </c>
      <c r="K242" s="248">
        <v>-0.17</v>
      </c>
      <c r="L242" s="249">
        <v>382352941.17647058</v>
      </c>
    </row>
    <row r="243" spans="1:12">
      <c r="A243">
        <v>2020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f t="shared" si="3"/>
        <v>0</v>
      </c>
      <c r="K243" s="248">
        <v>-1.84</v>
      </c>
      <c r="L243" s="249">
        <v>257065217.39130434</v>
      </c>
    </row>
    <row r="244" spans="1:12">
      <c r="A244">
        <v>2022</v>
      </c>
      <c r="C244">
        <v>0</v>
      </c>
      <c r="D244">
        <v>0</v>
      </c>
      <c r="E244">
        <v>1</v>
      </c>
      <c r="F244">
        <v>0</v>
      </c>
      <c r="G244">
        <v>0</v>
      </c>
      <c r="H244">
        <f t="shared" si="3"/>
        <v>1</v>
      </c>
      <c r="K244" s="248">
        <v>-0.36</v>
      </c>
      <c r="L244" s="249">
        <v>541666666.66666675</v>
      </c>
    </row>
    <row r="245" spans="1:12">
      <c r="A245">
        <v>2023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f t="shared" si="3"/>
        <v>0</v>
      </c>
      <c r="K245" s="248">
        <v>-0.26</v>
      </c>
      <c r="L245" s="249">
        <v>1711538461.5384614</v>
      </c>
    </row>
    <row r="246" spans="1:12">
      <c r="A246">
        <v>2024</v>
      </c>
      <c r="C246">
        <v>0</v>
      </c>
      <c r="D246">
        <v>1</v>
      </c>
      <c r="E246">
        <v>0</v>
      </c>
      <c r="F246">
        <v>1</v>
      </c>
      <c r="G246">
        <v>0</v>
      </c>
      <c r="H246">
        <f t="shared" si="3"/>
        <v>2</v>
      </c>
      <c r="K246" s="248">
        <v>0.08</v>
      </c>
      <c r="L246" s="249">
        <v>100000000</v>
      </c>
    </row>
    <row r="247" spans="1:12">
      <c r="A247">
        <v>2025</v>
      </c>
      <c r="C247">
        <v>0</v>
      </c>
      <c r="D247">
        <v>0</v>
      </c>
      <c r="E247">
        <v>1</v>
      </c>
      <c r="F247">
        <v>0</v>
      </c>
      <c r="G247">
        <v>0</v>
      </c>
      <c r="H247">
        <f t="shared" si="3"/>
        <v>1</v>
      </c>
      <c r="K247" s="248">
        <v>-0.56000000000000005</v>
      </c>
      <c r="L247" s="249">
        <v>278571428.57142854</v>
      </c>
    </row>
    <row r="248" spans="1:12">
      <c r="A248">
        <v>2027</v>
      </c>
      <c r="C248">
        <v>0</v>
      </c>
      <c r="D248">
        <v>0</v>
      </c>
      <c r="E248">
        <v>0</v>
      </c>
      <c r="F248">
        <v>1</v>
      </c>
      <c r="G248">
        <v>0</v>
      </c>
      <c r="H248">
        <f t="shared" si="3"/>
        <v>1</v>
      </c>
      <c r="K248" s="248">
        <v>-0.33</v>
      </c>
      <c r="L248" s="249">
        <v>787878787.87878788</v>
      </c>
    </row>
    <row r="249" spans="1:12">
      <c r="A249">
        <v>2028</v>
      </c>
      <c r="C249">
        <v>0</v>
      </c>
      <c r="D249">
        <v>0</v>
      </c>
      <c r="E249">
        <v>0</v>
      </c>
      <c r="F249">
        <v>1</v>
      </c>
      <c r="G249">
        <v>0</v>
      </c>
      <c r="H249">
        <f t="shared" si="3"/>
        <v>1</v>
      </c>
      <c r="K249" s="248">
        <v>-1.5</v>
      </c>
      <c r="L249" s="249">
        <v>343333333.33333331</v>
      </c>
    </row>
    <row r="250" spans="1:12">
      <c r="A250">
        <v>2029</v>
      </c>
      <c r="C250">
        <v>0</v>
      </c>
      <c r="D250">
        <v>0</v>
      </c>
      <c r="E250">
        <v>0</v>
      </c>
      <c r="F250">
        <v>1</v>
      </c>
      <c r="G250">
        <v>0</v>
      </c>
      <c r="H250">
        <f t="shared" si="3"/>
        <v>1</v>
      </c>
      <c r="K250" s="248">
        <v>-1.38</v>
      </c>
      <c r="L250" s="249">
        <v>320289855.07246381</v>
      </c>
    </row>
    <row r="251" spans="1:12">
      <c r="A251">
        <v>2030</v>
      </c>
      <c r="C251">
        <v>0</v>
      </c>
      <c r="D251">
        <v>0</v>
      </c>
      <c r="E251">
        <v>1</v>
      </c>
      <c r="F251">
        <v>1</v>
      </c>
      <c r="G251">
        <v>0</v>
      </c>
      <c r="H251">
        <f t="shared" si="3"/>
        <v>2</v>
      </c>
      <c r="K251" s="248">
        <v>-0.35</v>
      </c>
      <c r="L251" s="249">
        <v>282857142.85714287</v>
      </c>
    </row>
    <row r="252" spans="1:12">
      <c r="A252">
        <v>2031</v>
      </c>
      <c r="C252">
        <v>0</v>
      </c>
      <c r="D252">
        <v>0</v>
      </c>
      <c r="E252">
        <v>0</v>
      </c>
      <c r="F252">
        <v>0</v>
      </c>
      <c r="G252">
        <v>0</v>
      </c>
      <c r="H252">
        <f t="shared" si="3"/>
        <v>0</v>
      </c>
      <c r="K252" s="248">
        <v>-0.71</v>
      </c>
      <c r="L252" s="249">
        <v>278873239.43661976</v>
      </c>
    </row>
    <row r="253" spans="1:12">
      <c r="A253">
        <v>2032</v>
      </c>
      <c r="C253">
        <v>0</v>
      </c>
      <c r="D253">
        <v>1</v>
      </c>
      <c r="E253">
        <v>1</v>
      </c>
      <c r="F253">
        <v>1</v>
      </c>
      <c r="G253">
        <v>0</v>
      </c>
      <c r="H253">
        <f t="shared" si="3"/>
        <v>3</v>
      </c>
      <c r="K253" s="248">
        <v>-0.01</v>
      </c>
      <c r="L253" s="249">
        <v>100000000</v>
      </c>
    </row>
    <row r="254" spans="1:12">
      <c r="A254">
        <v>2033</v>
      </c>
      <c r="C254">
        <v>0</v>
      </c>
      <c r="D254">
        <v>1</v>
      </c>
      <c r="E254">
        <v>0</v>
      </c>
      <c r="F254">
        <v>0</v>
      </c>
      <c r="G254">
        <v>0</v>
      </c>
      <c r="H254">
        <f t="shared" si="3"/>
        <v>1</v>
      </c>
      <c r="K254" s="248">
        <v>-0.05</v>
      </c>
      <c r="L254" s="249">
        <v>80000000</v>
      </c>
    </row>
    <row r="255" spans="1:12">
      <c r="A255">
        <v>2034</v>
      </c>
      <c r="C255">
        <v>0</v>
      </c>
      <c r="D255">
        <v>1</v>
      </c>
      <c r="E255">
        <v>1</v>
      </c>
      <c r="F255">
        <v>0</v>
      </c>
      <c r="G255">
        <v>0</v>
      </c>
      <c r="H255">
        <f t="shared" si="3"/>
        <v>2</v>
      </c>
      <c r="K255" s="248">
        <v>0.56000000000000005</v>
      </c>
      <c r="L255" s="249">
        <v>369642857.14285713</v>
      </c>
    </row>
    <row r="256" spans="1:12">
      <c r="A256">
        <v>2035</v>
      </c>
      <c r="C256">
        <v>0</v>
      </c>
      <c r="D256">
        <v>0</v>
      </c>
      <c r="E256">
        <v>1</v>
      </c>
      <c r="F256">
        <v>1</v>
      </c>
      <c r="G256">
        <v>0</v>
      </c>
      <c r="H256">
        <f t="shared" si="3"/>
        <v>2</v>
      </c>
      <c r="K256" s="248">
        <v>-1.0900000000000001</v>
      </c>
      <c r="L256" s="249">
        <v>349541284.40366971</v>
      </c>
    </row>
    <row r="257" spans="1:12">
      <c r="A257">
        <v>2038</v>
      </c>
      <c r="C257">
        <v>0</v>
      </c>
      <c r="D257">
        <v>0</v>
      </c>
      <c r="E257">
        <v>1</v>
      </c>
      <c r="F257">
        <v>1</v>
      </c>
      <c r="G257">
        <v>0</v>
      </c>
      <c r="H257">
        <f t="shared" si="3"/>
        <v>2</v>
      </c>
      <c r="K257" s="248">
        <v>-0.42</v>
      </c>
      <c r="L257" s="249">
        <v>173809523.80952382</v>
      </c>
    </row>
    <row r="258" spans="1:12">
      <c r="A258">
        <v>2049</v>
      </c>
      <c r="C258">
        <v>0</v>
      </c>
      <c r="D258">
        <v>1</v>
      </c>
      <c r="E258">
        <v>0</v>
      </c>
      <c r="F258">
        <v>1</v>
      </c>
      <c r="G258">
        <v>1</v>
      </c>
      <c r="H258">
        <f t="shared" ref="H258:H321" si="4">SUM(C258:G258)</f>
        <v>3</v>
      </c>
      <c r="K258" s="248">
        <v>2.21</v>
      </c>
      <c r="L258" s="249">
        <v>269683257.91855204</v>
      </c>
    </row>
    <row r="259" spans="1:12">
      <c r="A259">
        <v>2059</v>
      </c>
      <c r="C259">
        <v>1</v>
      </c>
      <c r="D259">
        <v>1</v>
      </c>
      <c r="E259">
        <v>1</v>
      </c>
      <c r="F259">
        <v>1</v>
      </c>
      <c r="G259">
        <v>0</v>
      </c>
      <c r="H259">
        <f t="shared" si="4"/>
        <v>4</v>
      </c>
      <c r="K259" s="248">
        <v>7.99</v>
      </c>
      <c r="L259" s="249">
        <v>95244055.068836048</v>
      </c>
    </row>
    <row r="260" spans="1:12">
      <c r="A260">
        <v>2061</v>
      </c>
      <c r="C260">
        <v>0</v>
      </c>
      <c r="D260">
        <v>0</v>
      </c>
      <c r="E260">
        <v>0</v>
      </c>
      <c r="F260">
        <v>0</v>
      </c>
      <c r="G260">
        <v>0</v>
      </c>
      <c r="H260">
        <f t="shared" si="4"/>
        <v>0</v>
      </c>
      <c r="K260" s="248">
        <v>-0.43</v>
      </c>
      <c r="L260" s="249">
        <v>60465116.279069766</v>
      </c>
    </row>
    <row r="261" spans="1:12">
      <c r="A261">
        <v>2062</v>
      </c>
      <c r="C261">
        <v>0</v>
      </c>
      <c r="D261">
        <v>1</v>
      </c>
      <c r="E261">
        <v>0</v>
      </c>
      <c r="F261">
        <v>1</v>
      </c>
      <c r="G261">
        <v>1</v>
      </c>
      <c r="H261">
        <f t="shared" si="4"/>
        <v>3</v>
      </c>
      <c r="K261" s="248">
        <v>1.07</v>
      </c>
      <c r="L261" s="249">
        <v>162616822.42990655</v>
      </c>
    </row>
    <row r="262" spans="1:12">
      <c r="A262">
        <v>2063</v>
      </c>
      <c r="C262">
        <v>0</v>
      </c>
      <c r="D262">
        <v>1</v>
      </c>
      <c r="E262">
        <v>0</v>
      </c>
      <c r="F262">
        <v>1</v>
      </c>
      <c r="G262">
        <v>0</v>
      </c>
      <c r="H262">
        <f t="shared" si="4"/>
        <v>2</v>
      </c>
      <c r="K262" s="248">
        <v>0.68</v>
      </c>
      <c r="L262" s="249">
        <v>42647058.823529407</v>
      </c>
    </row>
    <row r="263" spans="1:12">
      <c r="A263">
        <v>2064</v>
      </c>
      <c r="C263">
        <v>0</v>
      </c>
      <c r="D263">
        <v>1</v>
      </c>
      <c r="E263">
        <v>0</v>
      </c>
      <c r="F263">
        <v>1</v>
      </c>
      <c r="G263">
        <v>0</v>
      </c>
      <c r="H263">
        <f t="shared" si="4"/>
        <v>2</v>
      </c>
      <c r="K263" s="248">
        <v>0.75</v>
      </c>
      <c r="L263" s="249">
        <v>69333333.333333328</v>
      </c>
    </row>
    <row r="264" spans="1:12">
      <c r="A264">
        <v>2066</v>
      </c>
      <c r="C264">
        <v>1</v>
      </c>
      <c r="D264">
        <v>1</v>
      </c>
      <c r="E264">
        <v>0</v>
      </c>
      <c r="F264">
        <v>1</v>
      </c>
      <c r="G264">
        <v>0</v>
      </c>
      <c r="H264">
        <f t="shared" si="4"/>
        <v>3</v>
      </c>
      <c r="K264" s="248">
        <v>2.62</v>
      </c>
      <c r="L264" s="249">
        <v>35877862.595419846</v>
      </c>
    </row>
    <row r="265" spans="1:12">
      <c r="A265">
        <v>2067</v>
      </c>
      <c r="C265">
        <v>0</v>
      </c>
      <c r="D265">
        <v>1</v>
      </c>
      <c r="E265">
        <v>0</v>
      </c>
      <c r="F265">
        <v>1</v>
      </c>
      <c r="G265">
        <v>0</v>
      </c>
      <c r="H265">
        <f t="shared" si="4"/>
        <v>2</v>
      </c>
      <c r="K265" s="248">
        <v>-0.25</v>
      </c>
      <c r="L265" s="249">
        <v>32000000</v>
      </c>
    </row>
    <row r="266" spans="1:12">
      <c r="A266">
        <v>2101</v>
      </c>
      <c r="C266">
        <v>0</v>
      </c>
      <c r="D266">
        <v>1</v>
      </c>
      <c r="E266">
        <v>0</v>
      </c>
      <c r="F266">
        <v>1</v>
      </c>
      <c r="G266">
        <v>0</v>
      </c>
      <c r="H266">
        <f t="shared" si="4"/>
        <v>2</v>
      </c>
      <c r="K266" s="248">
        <v>0.28000000000000003</v>
      </c>
      <c r="L266" s="249">
        <v>821428571.42857134</v>
      </c>
    </row>
    <row r="267" spans="1:12">
      <c r="A267">
        <v>2102</v>
      </c>
      <c r="C267">
        <v>1</v>
      </c>
      <c r="D267">
        <v>1</v>
      </c>
      <c r="E267">
        <v>0</v>
      </c>
      <c r="F267">
        <v>1</v>
      </c>
      <c r="G267">
        <v>0</v>
      </c>
      <c r="H267">
        <f t="shared" si="4"/>
        <v>3</v>
      </c>
      <c r="K267" s="248">
        <v>0.47</v>
      </c>
      <c r="L267" s="249">
        <v>455319148.93617022</v>
      </c>
    </row>
    <row r="268" spans="1:12">
      <c r="A268">
        <v>2103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f t="shared" si="4"/>
        <v>0</v>
      </c>
      <c r="K268" s="248">
        <v>-0.09</v>
      </c>
      <c r="L268" s="249">
        <v>866666666.66666675</v>
      </c>
    </row>
    <row r="269" spans="1:12">
      <c r="A269">
        <v>2104</v>
      </c>
      <c r="C269">
        <v>0</v>
      </c>
      <c r="D269">
        <v>1</v>
      </c>
      <c r="E269">
        <v>0</v>
      </c>
      <c r="F269">
        <v>0</v>
      </c>
      <c r="G269">
        <v>0</v>
      </c>
      <c r="H269">
        <f t="shared" si="4"/>
        <v>1</v>
      </c>
      <c r="K269" s="248">
        <v>0.57999999999999996</v>
      </c>
      <c r="L269" s="249">
        <v>582758620.68965518</v>
      </c>
    </row>
    <row r="270" spans="1:12">
      <c r="A270">
        <v>2105</v>
      </c>
      <c r="C270">
        <v>0</v>
      </c>
      <c r="D270">
        <v>0</v>
      </c>
      <c r="E270">
        <v>0</v>
      </c>
      <c r="F270">
        <v>1</v>
      </c>
      <c r="G270">
        <v>0</v>
      </c>
      <c r="H270">
        <f t="shared" si="4"/>
        <v>1</v>
      </c>
      <c r="K270" s="248">
        <v>0.94</v>
      </c>
      <c r="L270" s="249">
        <v>3244680851.0638299</v>
      </c>
    </row>
    <row r="271" spans="1:12">
      <c r="A271">
        <v>2106</v>
      </c>
      <c r="C271">
        <v>1</v>
      </c>
      <c r="D271">
        <v>1</v>
      </c>
      <c r="E271">
        <v>0</v>
      </c>
      <c r="F271">
        <v>1</v>
      </c>
      <c r="G271">
        <v>0</v>
      </c>
      <c r="H271">
        <f t="shared" si="4"/>
        <v>3</v>
      </c>
      <c r="K271" s="248">
        <v>1.48</v>
      </c>
      <c r="L271" s="249">
        <v>858783783.78378379</v>
      </c>
    </row>
    <row r="272" spans="1:12">
      <c r="A272">
        <v>2107</v>
      </c>
      <c r="C272">
        <v>0</v>
      </c>
      <c r="D272">
        <v>1</v>
      </c>
      <c r="E272">
        <v>0</v>
      </c>
      <c r="F272">
        <v>1</v>
      </c>
      <c r="G272">
        <v>0</v>
      </c>
      <c r="H272">
        <f t="shared" si="4"/>
        <v>2</v>
      </c>
      <c r="K272" s="248">
        <v>0.52</v>
      </c>
      <c r="L272" s="249">
        <v>490384615.38461536</v>
      </c>
    </row>
    <row r="273" spans="1:12">
      <c r="A273">
        <v>2108</v>
      </c>
      <c r="C273">
        <v>1</v>
      </c>
      <c r="D273">
        <v>1</v>
      </c>
      <c r="E273">
        <v>0</v>
      </c>
      <c r="F273">
        <v>1</v>
      </c>
      <c r="G273">
        <v>0</v>
      </c>
      <c r="H273">
        <f t="shared" si="4"/>
        <v>3</v>
      </c>
      <c r="K273" s="248">
        <v>0.82</v>
      </c>
      <c r="L273" s="249">
        <v>424390243.90243906</v>
      </c>
    </row>
    <row r="274" spans="1:12">
      <c r="A274">
        <v>2109</v>
      </c>
      <c r="C274">
        <v>0</v>
      </c>
      <c r="D274">
        <v>0</v>
      </c>
      <c r="E274">
        <v>0</v>
      </c>
      <c r="F274">
        <v>1</v>
      </c>
      <c r="G274">
        <v>0</v>
      </c>
      <c r="H274">
        <f t="shared" si="4"/>
        <v>1</v>
      </c>
      <c r="K274" s="248">
        <v>0.02</v>
      </c>
      <c r="L274" s="249">
        <v>350000000</v>
      </c>
    </row>
    <row r="275" spans="1:12">
      <c r="A275">
        <v>2114</v>
      </c>
      <c r="C275">
        <v>1</v>
      </c>
      <c r="D275">
        <v>1</v>
      </c>
      <c r="E275">
        <v>1</v>
      </c>
      <c r="F275">
        <v>1</v>
      </c>
      <c r="G275">
        <v>0</v>
      </c>
      <c r="H275">
        <f t="shared" si="4"/>
        <v>4</v>
      </c>
      <c r="K275" s="248">
        <v>2.17</v>
      </c>
      <c r="L275" s="249">
        <v>67281105.990783408</v>
      </c>
    </row>
    <row r="276" spans="1:12">
      <c r="A276">
        <v>2115</v>
      </c>
      <c r="C276">
        <v>1</v>
      </c>
      <c r="D276">
        <v>1</v>
      </c>
      <c r="E276">
        <v>0</v>
      </c>
      <c r="F276">
        <v>1</v>
      </c>
      <c r="G276">
        <v>0</v>
      </c>
      <c r="H276">
        <f t="shared" si="4"/>
        <v>3</v>
      </c>
      <c r="K276" s="248">
        <v>0.89</v>
      </c>
      <c r="L276" s="249">
        <v>74157303.370786518</v>
      </c>
    </row>
    <row r="277" spans="1:12">
      <c r="A277">
        <v>2201</v>
      </c>
      <c r="C277">
        <v>0</v>
      </c>
      <c r="D277">
        <v>1</v>
      </c>
      <c r="E277">
        <v>0</v>
      </c>
      <c r="F277">
        <v>0</v>
      </c>
      <c r="G277">
        <v>0</v>
      </c>
      <c r="H277">
        <f t="shared" si="4"/>
        <v>1</v>
      </c>
      <c r="K277" s="248">
        <v>0.53</v>
      </c>
      <c r="L277" s="249">
        <v>1466037735.8490565</v>
      </c>
    </row>
    <row r="278" spans="1:12">
      <c r="A278">
        <v>2204</v>
      </c>
      <c r="C278">
        <v>0</v>
      </c>
      <c r="D278">
        <v>1</v>
      </c>
      <c r="E278">
        <v>1</v>
      </c>
      <c r="F278">
        <v>1</v>
      </c>
      <c r="G278">
        <v>0</v>
      </c>
      <c r="H278">
        <f t="shared" si="4"/>
        <v>3</v>
      </c>
      <c r="K278" s="248">
        <v>0.51</v>
      </c>
      <c r="L278" s="249">
        <v>1372549019.6078432</v>
      </c>
    </row>
    <row r="279" spans="1:12">
      <c r="A279">
        <v>2206</v>
      </c>
      <c r="C279">
        <v>1</v>
      </c>
      <c r="D279">
        <v>1</v>
      </c>
      <c r="E279">
        <v>0</v>
      </c>
      <c r="F279">
        <v>0</v>
      </c>
      <c r="G279">
        <v>0</v>
      </c>
      <c r="H279">
        <f t="shared" si="4"/>
        <v>2</v>
      </c>
      <c r="K279" s="248">
        <v>3.44</v>
      </c>
      <c r="L279" s="249">
        <v>889534883.72093022</v>
      </c>
    </row>
    <row r="280" spans="1:12">
      <c r="A280">
        <v>2207</v>
      </c>
      <c r="C280">
        <v>0</v>
      </c>
      <c r="D280">
        <v>1</v>
      </c>
      <c r="E280">
        <v>0</v>
      </c>
      <c r="F280">
        <v>1</v>
      </c>
      <c r="G280">
        <v>0</v>
      </c>
      <c r="H280">
        <f t="shared" si="4"/>
        <v>2</v>
      </c>
      <c r="K280" s="248">
        <v>4.05</v>
      </c>
      <c r="L280" s="249">
        <v>545925925.92592597</v>
      </c>
    </row>
    <row r="281" spans="1:12">
      <c r="A281">
        <v>2208</v>
      </c>
      <c r="C281">
        <v>0</v>
      </c>
      <c r="D281">
        <v>1</v>
      </c>
      <c r="E281">
        <v>2</v>
      </c>
      <c r="F281">
        <v>1</v>
      </c>
      <c r="G281">
        <v>0</v>
      </c>
      <c r="H281">
        <f t="shared" si="4"/>
        <v>4</v>
      </c>
      <c r="K281" s="248">
        <v>0.11</v>
      </c>
      <c r="L281" s="249">
        <v>745454545.4545455</v>
      </c>
    </row>
    <row r="282" spans="1:12">
      <c r="A282">
        <v>2221</v>
      </c>
      <c r="C282">
        <v>0</v>
      </c>
      <c r="D282">
        <v>1</v>
      </c>
      <c r="E282">
        <v>0</v>
      </c>
      <c r="F282">
        <v>0</v>
      </c>
      <c r="G282">
        <v>0</v>
      </c>
      <c r="H282">
        <f t="shared" si="4"/>
        <v>1</v>
      </c>
      <c r="K282" s="248">
        <v>0.37</v>
      </c>
      <c r="L282" s="249">
        <v>43243243.243243247</v>
      </c>
    </row>
    <row r="283" spans="1:12">
      <c r="A283">
        <v>2227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 t="shared" si="4"/>
        <v>0</v>
      </c>
      <c r="K283" s="248">
        <v>2.85</v>
      </c>
      <c r="L283" s="249">
        <v>300000000</v>
      </c>
    </row>
    <row r="284" spans="1:12">
      <c r="A284">
        <v>2228</v>
      </c>
      <c r="C284">
        <v>1</v>
      </c>
      <c r="D284">
        <v>1</v>
      </c>
      <c r="E284">
        <v>1</v>
      </c>
      <c r="F284">
        <v>1</v>
      </c>
      <c r="G284">
        <v>0</v>
      </c>
      <c r="H284">
        <f t="shared" si="4"/>
        <v>4</v>
      </c>
      <c r="K284" s="248">
        <v>2.7</v>
      </c>
      <c r="L284" s="249">
        <v>71851851.851851851</v>
      </c>
    </row>
    <row r="285" spans="1:12">
      <c r="A285">
        <v>2230</v>
      </c>
      <c r="C285">
        <v>0</v>
      </c>
      <c r="D285">
        <v>1</v>
      </c>
      <c r="E285">
        <v>0</v>
      </c>
      <c r="F285">
        <v>0</v>
      </c>
      <c r="G285">
        <v>0</v>
      </c>
      <c r="H285">
        <f t="shared" si="4"/>
        <v>1</v>
      </c>
      <c r="K285" s="248">
        <v>0.28999999999999998</v>
      </c>
      <c r="L285" s="249">
        <v>0</v>
      </c>
    </row>
    <row r="286" spans="1:12">
      <c r="A286">
        <v>2231</v>
      </c>
      <c r="C286">
        <v>1</v>
      </c>
      <c r="D286">
        <v>1</v>
      </c>
      <c r="E286">
        <v>1</v>
      </c>
      <c r="F286">
        <v>1</v>
      </c>
      <c r="G286">
        <v>0</v>
      </c>
      <c r="H286">
        <f t="shared" si="4"/>
        <v>4</v>
      </c>
      <c r="K286" s="248">
        <v>4.63</v>
      </c>
      <c r="L286" s="249">
        <v>72570194.384449244</v>
      </c>
    </row>
    <row r="287" spans="1:12">
      <c r="A287">
        <v>2233</v>
      </c>
      <c r="C287">
        <v>0</v>
      </c>
      <c r="D287">
        <v>1</v>
      </c>
      <c r="E287">
        <v>0</v>
      </c>
      <c r="F287">
        <v>0</v>
      </c>
      <c r="G287">
        <v>0</v>
      </c>
      <c r="H287">
        <f t="shared" si="4"/>
        <v>1</v>
      </c>
      <c r="K287" s="248">
        <v>1.23</v>
      </c>
      <c r="L287" s="249">
        <v>48780487.804878049</v>
      </c>
    </row>
    <row r="288" spans="1:12">
      <c r="A288">
        <v>2235</v>
      </c>
      <c r="C288">
        <v>1</v>
      </c>
      <c r="D288">
        <v>1</v>
      </c>
      <c r="E288">
        <v>1</v>
      </c>
      <c r="F288">
        <v>0</v>
      </c>
      <c r="G288">
        <v>0</v>
      </c>
      <c r="H288">
        <f t="shared" si="4"/>
        <v>3</v>
      </c>
      <c r="K288" s="248">
        <v>2.02</v>
      </c>
      <c r="L288" s="249">
        <v>32178217.821782179</v>
      </c>
    </row>
    <row r="289" spans="1:12">
      <c r="A289">
        <v>2236</v>
      </c>
      <c r="C289">
        <v>0</v>
      </c>
      <c r="D289">
        <v>1</v>
      </c>
      <c r="E289">
        <v>0</v>
      </c>
      <c r="F289">
        <v>0</v>
      </c>
      <c r="G289">
        <v>0</v>
      </c>
      <c r="H289">
        <f t="shared" si="4"/>
        <v>1</v>
      </c>
      <c r="K289" s="248">
        <v>0.9</v>
      </c>
      <c r="L289" s="249">
        <v>33333333.333333332</v>
      </c>
    </row>
    <row r="290" spans="1:12">
      <c r="A290">
        <v>2301</v>
      </c>
      <c r="C290">
        <v>1</v>
      </c>
      <c r="D290">
        <v>1</v>
      </c>
      <c r="E290">
        <v>0</v>
      </c>
      <c r="F290">
        <v>1</v>
      </c>
      <c r="G290">
        <v>0</v>
      </c>
      <c r="H290">
        <f t="shared" si="4"/>
        <v>3</v>
      </c>
      <c r="K290" s="248">
        <v>0.71</v>
      </c>
      <c r="L290" s="249">
        <v>2308450704.2253523</v>
      </c>
    </row>
    <row r="291" spans="1:12">
      <c r="A291">
        <v>2302</v>
      </c>
      <c r="C291">
        <v>0</v>
      </c>
      <c r="D291">
        <v>1</v>
      </c>
      <c r="E291">
        <v>0</v>
      </c>
      <c r="F291">
        <v>1</v>
      </c>
      <c r="G291">
        <v>0</v>
      </c>
      <c r="H291">
        <f t="shared" si="4"/>
        <v>2</v>
      </c>
      <c r="K291" s="248">
        <v>0.11</v>
      </c>
      <c r="L291" s="249">
        <v>0</v>
      </c>
    </row>
    <row r="292" spans="1:12">
      <c r="A292">
        <v>2303</v>
      </c>
      <c r="C292">
        <v>0</v>
      </c>
      <c r="D292">
        <v>0</v>
      </c>
      <c r="E292">
        <v>0</v>
      </c>
      <c r="F292">
        <v>1</v>
      </c>
      <c r="G292">
        <v>1</v>
      </c>
      <c r="H292">
        <f t="shared" si="4"/>
        <v>2</v>
      </c>
      <c r="K292" s="248">
        <v>0.14000000000000001</v>
      </c>
      <c r="L292" s="249">
        <v>12199999999.999998</v>
      </c>
    </row>
    <row r="293" spans="1:12">
      <c r="A293">
        <v>2305</v>
      </c>
      <c r="C293">
        <v>0</v>
      </c>
      <c r="D293">
        <v>0</v>
      </c>
      <c r="E293">
        <v>0</v>
      </c>
      <c r="F293">
        <v>1</v>
      </c>
      <c r="G293">
        <v>0</v>
      </c>
      <c r="H293">
        <f t="shared" si="4"/>
        <v>1</v>
      </c>
      <c r="K293" s="248">
        <v>-0.14000000000000001</v>
      </c>
      <c r="L293" s="249">
        <v>207142857.14285713</v>
      </c>
    </row>
    <row r="294" spans="1:12">
      <c r="A294">
        <v>2308</v>
      </c>
      <c r="C294">
        <v>1</v>
      </c>
      <c r="D294">
        <v>1</v>
      </c>
      <c r="E294">
        <v>0</v>
      </c>
      <c r="F294">
        <v>1</v>
      </c>
      <c r="G294">
        <v>1</v>
      </c>
      <c r="H294">
        <f t="shared" si="4"/>
        <v>4</v>
      </c>
      <c r="K294" s="248">
        <v>2.42</v>
      </c>
      <c r="L294" s="249">
        <v>2436363636.3636365</v>
      </c>
    </row>
    <row r="295" spans="1:12">
      <c r="A295">
        <v>2311</v>
      </c>
      <c r="C295">
        <v>0</v>
      </c>
      <c r="D295">
        <v>1</v>
      </c>
      <c r="E295">
        <v>0</v>
      </c>
      <c r="F295">
        <v>1</v>
      </c>
      <c r="G295">
        <v>0</v>
      </c>
      <c r="H295">
        <f t="shared" si="4"/>
        <v>2</v>
      </c>
      <c r="K295" s="248">
        <v>0.83</v>
      </c>
      <c r="L295" s="249">
        <v>7673493975.903615</v>
      </c>
    </row>
    <row r="296" spans="1:12">
      <c r="A296">
        <v>2312</v>
      </c>
      <c r="C296">
        <v>0</v>
      </c>
      <c r="D296">
        <v>0</v>
      </c>
      <c r="E296">
        <v>1</v>
      </c>
      <c r="F296">
        <v>0</v>
      </c>
      <c r="G296">
        <v>0</v>
      </c>
      <c r="H296">
        <f t="shared" si="4"/>
        <v>1</v>
      </c>
      <c r="K296" s="248">
        <v>0.11</v>
      </c>
      <c r="L296" s="249">
        <v>1445454545.4545455</v>
      </c>
    </row>
    <row r="297" spans="1:12">
      <c r="A297">
        <v>2313</v>
      </c>
      <c r="C297">
        <v>1</v>
      </c>
      <c r="D297">
        <v>1</v>
      </c>
      <c r="E297">
        <v>2</v>
      </c>
      <c r="F297">
        <v>1</v>
      </c>
      <c r="G297">
        <v>1</v>
      </c>
      <c r="H297">
        <f t="shared" si="4"/>
        <v>6</v>
      </c>
      <c r="K297" s="248">
        <v>0.8</v>
      </c>
      <c r="L297" s="249">
        <v>1192500000</v>
      </c>
    </row>
    <row r="298" spans="1:12">
      <c r="A298">
        <v>2314</v>
      </c>
      <c r="C298">
        <v>1</v>
      </c>
      <c r="D298">
        <v>1</v>
      </c>
      <c r="E298">
        <v>2</v>
      </c>
      <c r="F298">
        <v>0</v>
      </c>
      <c r="G298">
        <v>0</v>
      </c>
      <c r="H298">
        <f t="shared" si="4"/>
        <v>4</v>
      </c>
      <c r="K298" s="248">
        <v>0.36</v>
      </c>
      <c r="L298" s="249">
        <v>402777777.77777779</v>
      </c>
    </row>
    <row r="299" spans="1:12">
      <c r="A299">
        <v>2316</v>
      </c>
      <c r="C299">
        <v>0</v>
      </c>
      <c r="D299">
        <v>1</v>
      </c>
      <c r="E299">
        <v>0</v>
      </c>
      <c r="F299">
        <v>1</v>
      </c>
      <c r="G299">
        <v>0</v>
      </c>
      <c r="H299">
        <f t="shared" si="4"/>
        <v>2</v>
      </c>
      <c r="K299" s="248">
        <v>1.06</v>
      </c>
      <c r="L299" s="249">
        <v>316981132.0754717</v>
      </c>
    </row>
    <row r="300" spans="1:12">
      <c r="A300">
        <v>2317</v>
      </c>
      <c r="C300">
        <v>0</v>
      </c>
      <c r="D300">
        <v>1</v>
      </c>
      <c r="E300">
        <v>0</v>
      </c>
      <c r="F300">
        <v>0</v>
      </c>
      <c r="G300">
        <v>0</v>
      </c>
      <c r="H300">
        <f t="shared" si="4"/>
        <v>1</v>
      </c>
      <c r="K300" s="248">
        <v>2.42</v>
      </c>
      <c r="L300" s="249">
        <v>15643801652.892563</v>
      </c>
    </row>
    <row r="301" spans="1:12">
      <c r="A301">
        <v>2321</v>
      </c>
      <c r="C301">
        <v>0</v>
      </c>
      <c r="D301">
        <v>1</v>
      </c>
      <c r="E301">
        <v>1</v>
      </c>
      <c r="F301">
        <v>0</v>
      </c>
      <c r="G301">
        <v>0</v>
      </c>
      <c r="H301">
        <f t="shared" si="4"/>
        <v>2</v>
      </c>
      <c r="K301" s="248">
        <v>-0.06</v>
      </c>
      <c r="L301" s="249">
        <v>283333333.33333337</v>
      </c>
    </row>
    <row r="302" spans="1:12">
      <c r="A302">
        <v>2323</v>
      </c>
      <c r="C302">
        <v>0</v>
      </c>
      <c r="D302">
        <v>0</v>
      </c>
      <c r="E302">
        <v>0</v>
      </c>
      <c r="F302">
        <v>0</v>
      </c>
      <c r="G302">
        <v>0</v>
      </c>
      <c r="H302">
        <f t="shared" si="4"/>
        <v>0</v>
      </c>
      <c r="K302" s="248">
        <v>-0.26</v>
      </c>
      <c r="L302" s="249">
        <v>2088461538.4615383</v>
      </c>
    </row>
    <row r="303" spans="1:12">
      <c r="A303">
        <v>2324</v>
      </c>
      <c r="C303">
        <v>0</v>
      </c>
      <c r="D303">
        <v>1</v>
      </c>
      <c r="E303">
        <v>1</v>
      </c>
      <c r="F303">
        <v>0</v>
      </c>
      <c r="G303">
        <v>0</v>
      </c>
      <c r="H303">
        <f t="shared" si="4"/>
        <v>2</v>
      </c>
      <c r="K303" s="248">
        <v>0.67</v>
      </c>
      <c r="L303" s="249">
        <v>4311940298.5074625</v>
      </c>
    </row>
    <row r="304" spans="1:12">
      <c r="A304">
        <v>2325</v>
      </c>
      <c r="C304">
        <v>0</v>
      </c>
      <c r="D304">
        <v>0</v>
      </c>
      <c r="E304">
        <v>0</v>
      </c>
      <c r="F304">
        <v>1</v>
      </c>
      <c r="G304">
        <v>0</v>
      </c>
      <c r="H304">
        <f t="shared" si="4"/>
        <v>1</v>
      </c>
      <c r="K304" s="248">
        <v>0.86</v>
      </c>
      <c r="L304" s="249">
        <v>3118604651.1627908</v>
      </c>
    </row>
    <row r="305" spans="1:12">
      <c r="A305">
        <v>2327</v>
      </c>
      <c r="C305">
        <v>1</v>
      </c>
      <c r="D305">
        <v>1</v>
      </c>
      <c r="E305">
        <v>0</v>
      </c>
      <c r="F305">
        <v>1</v>
      </c>
      <c r="G305">
        <v>0</v>
      </c>
      <c r="H305">
        <f t="shared" si="4"/>
        <v>3</v>
      </c>
      <c r="K305" s="248">
        <v>1.86</v>
      </c>
      <c r="L305" s="249">
        <v>660215053.76344085</v>
      </c>
    </row>
    <row r="306" spans="1:12">
      <c r="A306">
        <v>2328</v>
      </c>
      <c r="C306">
        <v>0</v>
      </c>
      <c r="D306">
        <v>1</v>
      </c>
      <c r="E306">
        <v>0</v>
      </c>
      <c r="F306">
        <v>0</v>
      </c>
      <c r="G306">
        <v>1</v>
      </c>
      <c r="H306">
        <f t="shared" si="4"/>
        <v>2</v>
      </c>
      <c r="K306" s="248">
        <v>0.63</v>
      </c>
      <c r="L306" s="249">
        <v>504761904.76190478</v>
      </c>
    </row>
    <row r="307" spans="1:12">
      <c r="A307">
        <v>2329</v>
      </c>
      <c r="C307">
        <v>0</v>
      </c>
      <c r="D307">
        <v>0</v>
      </c>
      <c r="E307">
        <v>0</v>
      </c>
      <c r="F307">
        <v>1</v>
      </c>
      <c r="G307">
        <v>1</v>
      </c>
      <c r="H307">
        <f t="shared" si="4"/>
        <v>2</v>
      </c>
      <c r="K307" s="248">
        <v>0.26</v>
      </c>
      <c r="L307" s="249">
        <v>815384615.3846153</v>
      </c>
    </row>
    <row r="308" spans="1:12">
      <c r="A308">
        <v>2330</v>
      </c>
      <c r="C308">
        <v>0</v>
      </c>
      <c r="D308">
        <v>0</v>
      </c>
      <c r="E308">
        <v>1</v>
      </c>
      <c r="F308">
        <v>1</v>
      </c>
      <c r="G308">
        <v>0</v>
      </c>
      <c r="H308">
        <f t="shared" si="4"/>
        <v>2</v>
      </c>
      <c r="K308" s="248">
        <v>2.91</v>
      </c>
      <c r="L308" s="249">
        <v>25886254295.532646</v>
      </c>
    </row>
    <row r="309" spans="1:12">
      <c r="A309">
        <v>2331</v>
      </c>
      <c r="C309">
        <v>1</v>
      </c>
      <c r="D309">
        <v>1</v>
      </c>
      <c r="E309">
        <v>1</v>
      </c>
      <c r="F309">
        <v>1</v>
      </c>
      <c r="G309">
        <v>0</v>
      </c>
      <c r="H309">
        <f t="shared" si="4"/>
        <v>4</v>
      </c>
      <c r="K309" s="248">
        <v>0.85</v>
      </c>
      <c r="L309" s="249">
        <v>555294117.64705884</v>
      </c>
    </row>
    <row r="310" spans="1:12">
      <c r="A310">
        <v>2332</v>
      </c>
      <c r="C310">
        <v>0</v>
      </c>
      <c r="D310">
        <v>0</v>
      </c>
      <c r="E310">
        <v>2</v>
      </c>
      <c r="F310">
        <v>0</v>
      </c>
      <c r="G310">
        <v>0</v>
      </c>
      <c r="H310">
        <f t="shared" si="4"/>
        <v>2</v>
      </c>
      <c r="K310" s="248">
        <v>-0.81</v>
      </c>
      <c r="L310" s="249">
        <v>651851851.85185182</v>
      </c>
    </row>
    <row r="311" spans="1:12">
      <c r="A311">
        <v>2337</v>
      </c>
      <c r="C311">
        <v>0</v>
      </c>
      <c r="D311">
        <v>1</v>
      </c>
      <c r="E311">
        <v>1</v>
      </c>
      <c r="F311">
        <v>1</v>
      </c>
      <c r="G311">
        <v>0</v>
      </c>
      <c r="H311">
        <f t="shared" si="4"/>
        <v>3</v>
      </c>
      <c r="K311" s="248">
        <v>-0.27</v>
      </c>
      <c r="L311" s="249">
        <v>3514814814.8148146</v>
      </c>
    </row>
    <row r="312" spans="1:12">
      <c r="A312">
        <v>2338</v>
      </c>
      <c r="C312">
        <v>1</v>
      </c>
      <c r="D312">
        <v>1</v>
      </c>
      <c r="E312">
        <v>0</v>
      </c>
      <c r="F312">
        <v>1</v>
      </c>
      <c r="G312">
        <v>0</v>
      </c>
      <c r="H312">
        <f t="shared" si="4"/>
        <v>3</v>
      </c>
      <c r="K312" s="248">
        <v>0.15</v>
      </c>
      <c r="L312" s="249">
        <v>240000000</v>
      </c>
    </row>
    <row r="313" spans="1:12">
      <c r="A313">
        <v>2340</v>
      </c>
      <c r="C313">
        <v>1</v>
      </c>
      <c r="D313">
        <v>1</v>
      </c>
      <c r="E313">
        <v>0</v>
      </c>
      <c r="F313">
        <v>1</v>
      </c>
      <c r="G313">
        <v>0</v>
      </c>
      <c r="H313">
        <f t="shared" si="4"/>
        <v>3</v>
      </c>
      <c r="K313" s="248">
        <v>0.28999999999999998</v>
      </c>
      <c r="L313" s="249">
        <v>548275862.06896555</v>
      </c>
    </row>
    <row r="314" spans="1:12">
      <c r="A314">
        <v>2342</v>
      </c>
      <c r="C314">
        <v>0</v>
      </c>
      <c r="D314">
        <v>1</v>
      </c>
      <c r="E314">
        <v>0</v>
      </c>
      <c r="F314">
        <v>0</v>
      </c>
      <c r="G314">
        <v>0</v>
      </c>
      <c r="H314">
        <f t="shared" si="4"/>
        <v>1</v>
      </c>
      <c r="K314" s="248">
        <v>-0.12</v>
      </c>
      <c r="L314" s="249">
        <v>375000000</v>
      </c>
    </row>
    <row r="315" spans="1:12">
      <c r="A315">
        <v>2344</v>
      </c>
      <c r="C315">
        <v>0</v>
      </c>
      <c r="D315">
        <v>0</v>
      </c>
      <c r="E315">
        <v>0</v>
      </c>
      <c r="F315">
        <v>1</v>
      </c>
      <c r="G315">
        <v>0</v>
      </c>
      <c r="H315">
        <f t="shared" si="4"/>
        <v>1</v>
      </c>
      <c r="K315" s="248">
        <v>0.18</v>
      </c>
      <c r="L315" s="249">
        <v>3738888888.8888888</v>
      </c>
    </row>
    <row r="316" spans="1:12">
      <c r="A316">
        <v>2345</v>
      </c>
      <c r="C316">
        <v>1</v>
      </c>
      <c r="D316">
        <v>1</v>
      </c>
      <c r="E316">
        <v>1</v>
      </c>
      <c r="F316">
        <v>1</v>
      </c>
      <c r="G316">
        <v>0</v>
      </c>
      <c r="H316">
        <f t="shared" si="4"/>
        <v>4</v>
      </c>
      <c r="K316" s="248">
        <v>0.71</v>
      </c>
      <c r="L316" s="249">
        <v>535211267.60563385</v>
      </c>
    </row>
    <row r="317" spans="1:12">
      <c r="A317">
        <v>2347</v>
      </c>
      <c r="C317">
        <v>0</v>
      </c>
      <c r="D317">
        <v>0</v>
      </c>
      <c r="E317">
        <v>0</v>
      </c>
      <c r="F317">
        <v>0</v>
      </c>
      <c r="G317">
        <v>0</v>
      </c>
      <c r="H317">
        <f t="shared" si="4"/>
        <v>0</v>
      </c>
      <c r="K317" s="248">
        <v>0.19</v>
      </c>
      <c r="L317" s="249">
        <v>1589473684.2105262</v>
      </c>
    </row>
    <row r="318" spans="1:12">
      <c r="A318">
        <v>2348</v>
      </c>
      <c r="C318">
        <v>0</v>
      </c>
      <c r="D318">
        <v>1</v>
      </c>
      <c r="E318">
        <v>1</v>
      </c>
      <c r="F318">
        <v>0</v>
      </c>
      <c r="G318">
        <v>0</v>
      </c>
      <c r="H318">
        <f t="shared" si="4"/>
        <v>2</v>
      </c>
      <c r="K318" s="248">
        <v>0.53</v>
      </c>
      <c r="L318" s="249">
        <v>84905660.377358481</v>
      </c>
    </row>
    <row r="319" spans="1:12">
      <c r="A319">
        <v>2349</v>
      </c>
      <c r="C319">
        <v>0</v>
      </c>
      <c r="D319">
        <v>0</v>
      </c>
      <c r="E319">
        <v>0</v>
      </c>
      <c r="F319">
        <v>0</v>
      </c>
      <c r="G319">
        <v>0</v>
      </c>
      <c r="H319">
        <f t="shared" si="4"/>
        <v>0</v>
      </c>
      <c r="K319" s="248">
        <v>-0.22</v>
      </c>
      <c r="L319" s="249">
        <v>2668181818.181818</v>
      </c>
    </row>
    <row r="320" spans="1:12">
      <c r="A320">
        <v>2351</v>
      </c>
      <c r="C320">
        <v>0</v>
      </c>
      <c r="D320">
        <v>1</v>
      </c>
      <c r="E320">
        <v>0</v>
      </c>
      <c r="F320">
        <v>1</v>
      </c>
      <c r="G320">
        <v>0</v>
      </c>
      <c r="H320">
        <f t="shared" si="4"/>
        <v>2</v>
      </c>
      <c r="K320" s="248">
        <v>1.0900000000000001</v>
      </c>
      <c r="L320" s="249">
        <v>182568807.33944952</v>
      </c>
    </row>
    <row r="321" spans="1:12">
      <c r="A321">
        <v>2352</v>
      </c>
      <c r="C321">
        <v>0</v>
      </c>
      <c r="D321">
        <v>0</v>
      </c>
      <c r="E321">
        <v>1</v>
      </c>
      <c r="F321">
        <v>0</v>
      </c>
      <c r="G321">
        <v>0</v>
      </c>
      <c r="H321">
        <f t="shared" si="4"/>
        <v>1</v>
      </c>
      <c r="K321" s="248">
        <v>0.28999999999999998</v>
      </c>
      <c r="L321" s="249">
        <v>1975862068.9655173</v>
      </c>
    </row>
    <row r="322" spans="1:12">
      <c r="A322">
        <v>2353</v>
      </c>
      <c r="C322">
        <v>0</v>
      </c>
      <c r="D322">
        <v>1</v>
      </c>
      <c r="E322">
        <v>0</v>
      </c>
      <c r="F322">
        <v>0</v>
      </c>
      <c r="G322">
        <v>0</v>
      </c>
      <c r="H322">
        <f t="shared" ref="H322:H385" si="5">SUM(C322:G322)</f>
        <v>1</v>
      </c>
      <c r="K322" s="248">
        <v>0.06</v>
      </c>
      <c r="L322" s="249">
        <v>3183333333.3333335</v>
      </c>
    </row>
    <row r="323" spans="1:12">
      <c r="A323">
        <v>2354</v>
      </c>
      <c r="C323">
        <v>0</v>
      </c>
      <c r="D323">
        <v>0</v>
      </c>
      <c r="E323">
        <v>0</v>
      </c>
      <c r="F323">
        <v>0</v>
      </c>
      <c r="G323">
        <v>0</v>
      </c>
      <c r="H323">
        <f t="shared" si="5"/>
        <v>0</v>
      </c>
      <c r="K323" s="248">
        <v>2.09</v>
      </c>
      <c r="L323" s="249">
        <v>1394736842.1052632</v>
      </c>
    </row>
    <row r="324" spans="1:12">
      <c r="A324">
        <v>2355</v>
      </c>
      <c r="C324">
        <v>1</v>
      </c>
      <c r="D324">
        <v>1</v>
      </c>
      <c r="E324">
        <v>0</v>
      </c>
      <c r="F324">
        <v>1</v>
      </c>
      <c r="G324">
        <v>0</v>
      </c>
      <c r="H324">
        <f t="shared" si="5"/>
        <v>3</v>
      </c>
      <c r="K324" s="248">
        <v>1.71</v>
      </c>
      <c r="L324" s="249">
        <v>397076023.39181286</v>
      </c>
    </row>
    <row r="325" spans="1:12">
      <c r="A325">
        <v>2356</v>
      </c>
      <c r="C325">
        <v>0</v>
      </c>
      <c r="D325">
        <v>1</v>
      </c>
      <c r="E325">
        <v>2</v>
      </c>
      <c r="F325">
        <v>1</v>
      </c>
      <c r="G325">
        <v>0</v>
      </c>
      <c r="H325">
        <f t="shared" si="5"/>
        <v>4</v>
      </c>
      <c r="K325" s="248">
        <v>0.54</v>
      </c>
      <c r="L325" s="249">
        <v>3598148148.1481481</v>
      </c>
    </row>
    <row r="326" spans="1:12">
      <c r="A326">
        <v>2357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f t="shared" si="5"/>
        <v>0</v>
      </c>
      <c r="K326" s="248">
        <v>5.67</v>
      </c>
      <c r="L326" s="249">
        <v>743386243.38624334</v>
      </c>
    </row>
    <row r="327" spans="1:12">
      <c r="A327">
        <v>2358</v>
      </c>
      <c r="C327">
        <v>0</v>
      </c>
      <c r="D327">
        <v>0</v>
      </c>
      <c r="E327">
        <v>1</v>
      </c>
      <c r="F327">
        <v>1</v>
      </c>
      <c r="G327">
        <v>0</v>
      </c>
      <c r="H327">
        <f t="shared" si="5"/>
        <v>2</v>
      </c>
      <c r="K327" s="248" t="e">
        <v>#N/A</v>
      </c>
      <c r="L327" s="249" t="e">
        <v>#N/A</v>
      </c>
    </row>
    <row r="328" spans="1:12">
      <c r="A328">
        <v>2359</v>
      </c>
      <c r="C328">
        <v>0</v>
      </c>
      <c r="D328">
        <v>1</v>
      </c>
      <c r="E328">
        <v>0</v>
      </c>
      <c r="F328">
        <v>1</v>
      </c>
      <c r="G328">
        <v>0</v>
      </c>
      <c r="H328">
        <f t="shared" si="5"/>
        <v>2</v>
      </c>
      <c r="K328" s="248">
        <v>0.6</v>
      </c>
      <c r="L328" s="249">
        <v>171666666.66666669</v>
      </c>
    </row>
    <row r="329" spans="1:12">
      <c r="A329">
        <v>2360</v>
      </c>
      <c r="C329">
        <v>0</v>
      </c>
      <c r="D329">
        <v>1</v>
      </c>
      <c r="E329">
        <v>0</v>
      </c>
      <c r="F329">
        <v>0</v>
      </c>
      <c r="G329">
        <v>0</v>
      </c>
      <c r="H329">
        <f t="shared" si="5"/>
        <v>1</v>
      </c>
      <c r="K329" s="248">
        <v>1.28</v>
      </c>
      <c r="L329" s="249">
        <v>376562500</v>
      </c>
    </row>
    <row r="330" spans="1:12">
      <c r="A330">
        <v>2361</v>
      </c>
      <c r="C330">
        <v>1</v>
      </c>
      <c r="D330">
        <v>1</v>
      </c>
      <c r="E330">
        <v>0</v>
      </c>
      <c r="F330">
        <v>1</v>
      </c>
      <c r="G330">
        <v>0</v>
      </c>
      <c r="H330">
        <f t="shared" si="5"/>
        <v>3</v>
      </c>
      <c r="K330" s="248">
        <v>0.26</v>
      </c>
      <c r="L330" s="249">
        <v>73076923.076923072</v>
      </c>
    </row>
    <row r="331" spans="1:12">
      <c r="A331">
        <v>2362</v>
      </c>
      <c r="C331">
        <v>0</v>
      </c>
      <c r="D331">
        <v>0</v>
      </c>
      <c r="E331">
        <v>1</v>
      </c>
      <c r="F331">
        <v>0</v>
      </c>
      <c r="G331">
        <v>0</v>
      </c>
      <c r="H331">
        <f t="shared" si="5"/>
        <v>1</v>
      </c>
      <c r="K331" s="248">
        <v>0.06</v>
      </c>
      <c r="L331" s="249">
        <v>700000000</v>
      </c>
    </row>
    <row r="332" spans="1:12">
      <c r="A332">
        <v>2363</v>
      </c>
      <c r="C332">
        <v>1</v>
      </c>
      <c r="D332">
        <v>1</v>
      </c>
      <c r="E332">
        <v>0</v>
      </c>
      <c r="F332">
        <v>0</v>
      </c>
      <c r="G332">
        <v>0</v>
      </c>
      <c r="H332">
        <f t="shared" si="5"/>
        <v>2</v>
      </c>
      <c r="K332" s="248">
        <v>0.17</v>
      </c>
      <c r="L332" s="249">
        <v>600000000</v>
      </c>
    </row>
    <row r="333" spans="1:12">
      <c r="A333">
        <v>2364</v>
      </c>
      <c r="C333">
        <v>1</v>
      </c>
      <c r="D333">
        <v>1</v>
      </c>
      <c r="E333">
        <v>1</v>
      </c>
      <c r="F333">
        <v>1</v>
      </c>
      <c r="G333">
        <v>0</v>
      </c>
      <c r="H333">
        <f t="shared" si="5"/>
        <v>4</v>
      </c>
      <c r="K333" s="248">
        <v>-0.2</v>
      </c>
      <c r="L333" s="249">
        <v>185000000</v>
      </c>
    </row>
    <row r="334" spans="1:12">
      <c r="A334">
        <v>2365</v>
      </c>
      <c r="C334">
        <v>0</v>
      </c>
      <c r="D334">
        <v>1</v>
      </c>
      <c r="E334">
        <v>0</v>
      </c>
      <c r="F334">
        <v>1</v>
      </c>
      <c r="G334">
        <v>0</v>
      </c>
      <c r="H334">
        <f t="shared" si="5"/>
        <v>2</v>
      </c>
      <c r="K334" s="248">
        <v>0.11</v>
      </c>
      <c r="L334" s="249">
        <v>281818181.81818181</v>
      </c>
    </row>
    <row r="335" spans="1:12">
      <c r="A335">
        <v>2367</v>
      </c>
      <c r="C335">
        <v>1</v>
      </c>
      <c r="D335">
        <v>1</v>
      </c>
      <c r="E335">
        <v>0</v>
      </c>
      <c r="F335">
        <v>1</v>
      </c>
      <c r="G335">
        <v>0</v>
      </c>
      <c r="H335">
        <f t="shared" si="5"/>
        <v>3</v>
      </c>
      <c r="K335" s="248">
        <v>0.53</v>
      </c>
      <c r="L335" s="249">
        <v>562264150.94339621</v>
      </c>
    </row>
    <row r="336" spans="1:12">
      <c r="A336">
        <v>2368</v>
      </c>
      <c r="C336">
        <v>0</v>
      </c>
      <c r="D336">
        <v>1</v>
      </c>
      <c r="E336">
        <v>1</v>
      </c>
      <c r="F336">
        <v>0</v>
      </c>
      <c r="G336">
        <v>0</v>
      </c>
      <c r="H336">
        <f t="shared" si="5"/>
        <v>2</v>
      </c>
      <c r="K336" s="248">
        <v>-0.04</v>
      </c>
      <c r="L336" s="249">
        <v>550000000</v>
      </c>
    </row>
    <row r="337" spans="1:12">
      <c r="A337">
        <v>2369</v>
      </c>
      <c r="C337">
        <v>0</v>
      </c>
      <c r="D337">
        <v>1</v>
      </c>
      <c r="E337">
        <v>0</v>
      </c>
      <c r="F337">
        <v>1</v>
      </c>
      <c r="G337">
        <v>0</v>
      </c>
      <c r="H337">
        <f t="shared" si="5"/>
        <v>2</v>
      </c>
      <c r="K337" s="248">
        <v>-0.03</v>
      </c>
      <c r="L337" s="249">
        <v>366666666.66666669</v>
      </c>
    </row>
    <row r="338" spans="1:12">
      <c r="A338">
        <v>2371</v>
      </c>
      <c r="C338">
        <v>0</v>
      </c>
      <c r="D338">
        <v>0</v>
      </c>
      <c r="E338">
        <v>2</v>
      </c>
      <c r="F338">
        <v>0</v>
      </c>
      <c r="G338">
        <v>0</v>
      </c>
      <c r="H338">
        <f t="shared" si="5"/>
        <v>2</v>
      </c>
      <c r="K338" s="248">
        <v>-0.45</v>
      </c>
      <c r="L338" s="249">
        <v>2280000000</v>
      </c>
    </row>
    <row r="339" spans="1:12">
      <c r="A339">
        <v>2373</v>
      </c>
      <c r="C339">
        <v>0</v>
      </c>
      <c r="D339">
        <v>1</v>
      </c>
      <c r="E339">
        <v>0</v>
      </c>
      <c r="F339">
        <v>0</v>
      </c>
      <c r="G339">
        <v>0</v>
      </c>
      <c r="H339">
        <f t="shared" si="5"/>
        <v>1</v>
      </c>
      <c r="K339" s="248">
        <v>0.99</v>
      </c>
      <c r="L339" s="249">
        <v>311111111.1111111</v>
      </c>
    </row>
    <row r="340" spans="1:12">
      <c r="A340">
        <v>2374</v>
      </c>
      <c r="C340">
        <v>1</v>
      </c>
      <c r="D340">
        <v>1</v>
      </c>
      <c r="E340">
        <v>0</v>
      </c>
      <c r="F340">
        <v>0</v>
      </c>
      <c r="G340">
        <v>0</v>
      </c>
      <c r="H340">
        <f t="shared" si="5"/>
        <v>2</v>
      </c>
      <c r="K340" s="248">
        <v>0.72</v>
      </c>
      <c r="L340" s="249">
        <v>402777777.77777779</v>
      </c>
    </row>
    <row r="341" spans="1:12">
      <c r="A341">
        <v>2375</v>
      </c>
      <c r="C341">
        <v>0</v>
      </c>
      <c r="D341">
        <v>0</v>
      </c>
      <c r="E341">
        <v>1</v>
      </c>
      <c r="F341">
        <v>0</v>
      </c>
      <c r="G341">
        <v>0</v>
      </c>
      <c r="H341">
        <f t="shared" si="5"/>
        <v>1</v>
      </c>
      <c r="K341" s="248">
        <v>0.06</v>
      </c>
      <c r="L341" s="249">
        <v>66666666.666666672</v>
      </c>
    </row>
    <row r="342" spans="1:12">
      <c r="A342">
        <v>2376</v>
      </c>
      <c r="C342">
        <v>1</v>
      </c>
      <c r="D342">
        <v>1</v>
      </c>
      <c r="E342">
        <v>2</v>
      </c>
      <c r="F342">
        <v>0</v>
      </c>
      <c r="G342">
        <v>0</v>
      </c>
      <c r="H342">
        <f t="shared" si="5"/>
        <v>4</v>
      </c>
      <c r="K342" s="248">
        <v>1.3</v>
      </c>
      <c r="L342" s="249">
        <v>629230769.23076916</v>
      </c>
    </row>
    <row r="343" spans="1:12">
      <c r="A343">
        <v>2377</v>
      </c>
      <c r="C343">
        <v>1</v>
      </c>
      <c r="D343">
        <v>1</v>
      </c>
      <c r="E343">
        <v>2</v>
      </c>
      <c r="F343">
        <v>1</v>
      </c>
      <c r="G343">
        <v>0</v>
      </c>
      <c r="H343">
        <f t="shared" si="5"/>
        <v>5</v>
      </c>
      <c r="K343" s="248">
        <v>1.35</v>
      </c>
      <c r="L343" s="249">
        <v>847407407.4074074</v>
      </c>
    </row>
    <row r="344" spans="1:12">
      <c r="A344">
        <v>2379</v>
      </c>
      <c r="C344">
        <v>0</v>
      </c>
      <c r="D344">
        <v>1</v>
      </c>
      <c r="E344">
        <v>1</v>
      </c>
      <c r="F344">
        <v>0</v>
      </c>
      <c r="G344">
        <v>0</v>
      </c>
      <c r="H344">
        <f t="shared" si="5"/>
        <v>2</v>
      </c>
      <c r="K344" s="248">
        <v>1.19</v>
      </c>
      <c r="L344" s="249">
        <v>504201680.67226893</v>
      </c>
    </row>
    <row r="345" spans="1:12">
      <c r="A345">
        <v>2380</v>
      </c>
      <c r="C345">
        <v>0</v>
      </c>
      <c r="D345">
        <v>1</v>
      </c>
      <c r="E345">
        <v>0</v>
      </c>
      <c r="F345">
        <v>1</v>
      </c>
      <c r="G345">
        <v>0</v>
      </c>
      <c r="H345">
        <f t="shared" si="5"/>
        <v>2</v>
      </c>
      <c r="K345" s="248">
        <v>-0.08</v>
      </c>
      <c r="L345" s="249">
        <v>212500000</v>
      </c>
    </row>
    <row r="346" spans="1:12">
      <c r="A346">
        <v>2382</v>
      </c>
      <c r="C346">
        <v>0</v>
      </c>
      <c r="D346">
        <v>1</v>
      </c>
      <c r="E346">
        <v>0</v>
      </c>
      <c r="F346">
        <v>1</v>
      </c>
      <c r="G346">
        <v>0</v>
      </c>
      <c r="H346">
        <f t="shared" si="5"/>
        <v>2</v>
      </c>
      <c r="K346" s="248">
        <v>1.51</v>
      </c>
      <c r="L346" s="249">
        <v>3861589403.9735098</v>
      </c>
    </row>
    <row r="347" spans="1:12">
      <c r="A347">
        <v>2383</v>
      </c>
      <c r="C347">
        <v>1</v>
      </c>
      <c r="D347">
        <v>1</v>
      </c>
      <c r="E347">
        <v>2</v>
      </c>
      <c r="F347">
        <v>1</v>
      </c>
      <c r="G347">
        <v>0</v>
      </c>
      <c r="H347">
        <f t="shared" si="5"/>
        <v>5</v>
      </c>
      <c r="K347" s="248">
        <v>2.4300000000000002</v>
      </c>
      <c r="L347" s="249">
        <v>316872427.98353904</v>
      </c>
    </row>
    <row r="348" spans="1:12">
      <c r="A348">
        <v>2385</v>
      </c>
      <c r="C348">
        <v>0</v>
      </c>
      <c r="D348">
        <v>0</v>
      </c>
      <c r="E348">
        <v>0</v>
      </c>
      <c r="F348">
        <v>1</v>
      </c>
      <c r="G348">
        <v>0</v>
      </c>
      <c r="H348">
        <f t="shared" si="5"/>
        <v>1</v>
      </c>
      <c r="K348" s="248">
        <v>1.25</v>
      </c>
      <c r="L348" s="249">
        <v>664800000</v>
      </c>
    </row>
    <row r="349" spans="1:12">
      <c r="A349">
        <v>2387</v>
      </c>
      <c r="C349">
        <v>1</v>
      </c>
      <c r="D349">
        <v>1</v>
      </c>
      <c r="E349">
        <v>1</v>
      </c>
      <c r="F349">
        <v>1</v>
      </c>
      <c r="G349">
        <v>0</v>
      </c>
      <c r="H349">
        <f t="shared" si="5"/>
        <v>4</v>
      </c>
      <c r="K349" s="248">
        <v>0.81</v>
      </c>
      <c r="L349" s="249">
        <v>351851851.85185182</v>
      </c>
    </row>
    <row r="350" spans="1:12">
      <c r="A350">
        <v>2388</v>
      </c>
      <c r="C350">
        <v>1</v>
      </c>
      <c r="D350">
        <v>1</v>
      </c>
      <c r="E350">
        <v>2</v>
      </c>
      <c r="F350">
        <v>0</v>
      </c>
      <c r="G350">
        <v>0</v>
      </c>
      <c r="H350">
        <f t="shared" si="5"/>
        <v>4</v>
      </c>
      <c r="K350" s="248">
        <v>3.47</v>
      </c>
      <c r="L350" s="249">
        <v>493083573.4870317</v>
      </c>
    </row>
    <row r="351" spans="1:12">
      <c r="A351">
        <v>2390</v>
      </c>
      <c r="C351">
        <v>1</v>
      </c>
      <c r="D351">
        <v>1</v>
      </c>
      <c r="E351">
        <v>1</v>
      </c>
      <c r="F351">
        <v>0</v>
      </c>
      <c r="G351">
        <v>0</v>
      </c>
      <c r="H351">
        <f t="shared" si="5"/>
        <v>3</v>
      </c>
      <c r="K351" s="248">
        <v>0.4</v>
      </c>
      <c r="L351" s="249">
        <v>215000000</v>
      </c>
    </row>
    <row r="352" spans="1:12">
      <c r="A352">
        <v>2392</v>
      </c>
      <c r="C352">
        <v>1</v>
      </c>
      <c r="D352">
        <v>1</v>
      </c>
      <c r="E352">
        <v>1</v>
      </c>
      <c r="F352">
        <v>0</v>
      </c>
      <c r="G352">
        <v>0</v>
      </c>
      <c r="H352">
        <f t="shared" si="5"/>
        <v>3</v>
      </c>
      <c r="K352" s="248">
        <v>2</v>
      </c>
      <c r="L352" s="249">
        <v>512500000</v>
      </c>
    </row>
    <row r="353" spans="1:12">
      <c r="A353">
        <v>2393</v>
      </c>
      <c r="C353">
        <v>0</v>
      </c>
      <c r="D353">
        <v>1</v>
      </c>
      <c r="E353">
        <v>0</v>
      </c>
      <c r="F353">
        <v>1</v>
      </c>
      <c r="G353">
        <v>0</v>
      </c>
      <c r="H353">
        <f t="shared" si="5"/>
        <v>2</v>
      </c>
      <c r="K353" s="248">
        <v>0.96</v>
      </c>
      <c r="L353" s="249">
        <v>431250000</v>
      </c>
    </row>
    <row r="354" spans="1:12">
      <c r="A354">
        <v>2395</v>
      </c>
      <c r="C354">
        <v>0</v>
      </c>
      <c r="D354">
        <v>0</v>
      </c>
      <c r="E354">
        <v>0</v>
      </c>
      <c r="F354">
        <v>1</v>
      </c>
      <c r="G354">
        <v>0</v>
      </c>
      <c r="H354">
        <f t="shared" si="5"/>
        <v>1</v>
      </c>
      <c r="K354" s="248">
        <v>1.94</v>
      </c>
      <c r="L354" s="249">
        <v>632989690.72164953</v>
      </c>
    </row>
    <row r="355" spans="1:12">
      <c r="A355">
        <v>2397</v>
      </c>
      <c r="C355">
        <v>1</v>
      </c>
      <c r="D355">
        <v>1</v>
      </c>
      <c r="E355">
        <v>0</v>
      </c>
      <c r="F355">
        <v>1</v>
      </c>
      <c r="G355">
        <v>0</v>
      </c>
      <c r="H355">
        <f t="shared" si="5"/>
        <v>3</v>
      </c>
      <c r="K355" s="248">
        <v>1.05</v>
      </c>
      <c r="L355" s="249">
        <v>114285714.28571428</v>
      </c>
    </row>
    <row r="356" spans="1:12">
      <c r="A356">
        <v>2399</v>
      </c>
      <c r="C356">
        <v>0</v>
      </c>
      <c r="D356">
        <v>1</v>
      </c>
      <c r="E356">
        <v>1</v>
      </c>
      <c r="F356">
        <v>1</v>
      </c>
      <c r="G356">
        <v>0</v>
      </c>
      <c r="H356">
        <f t="shared" si="5"/>
        <v>3</v>
      </c>
      <c r="K356" s="248">
        <v>0.09</v>
      </c>
      <c r="L356" s="249">
        <v>177777777.77777779</v>
      </c>
    </row>
    <row r="357" spans="1:12">
      <c r="A357">
        <v>2401</v>
      </c>
      <c r="C357">
        <v>0</v>
      </c>
      <c r="D357">
        <v>0</v>
      </c>
      <c r="E357">
        <v>0</v>
      </c>
      <c r="F357">
        <v>0</v>
      </c>
      <c r="G357">
        <v>0</v>
      </c>
      <c r="H357">
        <f t="shared" si="5"/>
        <v>0</v>
      </c>
      <c r="K357" s="248">
        <v>-0.51</v>
      </c>
      <c r="L357" s="249">
        <v>584313725.49019611</v>
      </c>
    </row>
    <row r="358" spans="1:12">
      <c r="A358">
        <v>2402</v>
      </c>
      <c r="C358">
        <v>0</v>
      </c>
      <c r="D358">
        <v>1</v>
      </c>
      <c r="E358">
        <v>0</v>
      </c>
      <c r="F358">
        <v>1</v>
      </c>
      <c r="G358">
        <v>0</v>
      </c>
      <c r="H358">
        <f t="shared" si="5"/>
        <v>2</v>
      </c>
      <c r="K358" s="248">
        <v>0.23</v>
      </c>
      <c r="L358" s="249">
        <v>330434782.60869563</v>
      </c>
    </row>
    <row r="359" spans="1:12">
      <c r="A359">
        <v>2404</v>
      </c>
      <c r="C359">
        <v>0</v>
      </c>
      <c r="D359">
        <v>1</v>
      </c>
      <c r="E359">
        <v>1</v>
      </c>
      <c r="F359">
        <v>1</v>
      </c>
      <c r="G359">
        <v>0</v>
      </c>
      <c r="H359">
        <f t="shared" si="5"/>
        <v>3</v>
      </c>
      <c r="K359" s="248">
        <v>1.82</v>
      </c>
      <c r="L359" s="249">
        <v>237362637.36263734</v>
      </c>
    </row>
    <row r="360" spans="1:12">
      <c r="A360">
        <v>2405</v>
      </c>
      <c r="C360">
        <v>0</v>
      </c>
      <c r="D360">
        <v>1</v>
      </c>
      <c r="E360">
        <v>2</v>
      </c>
      <c r="F360">
        <v>1</v>
      </c>
      <c r="G360">
        <v>0</v>
      </c>
      <c r="H360">
        <f t="shared" si="5"/>
        <v>4</v>
      </c>
      <c r="K360" s="248">
        <v>-0.1</v>
      </c>
      <c r="L360" s="249">
        <v>340000000</v>
      </c>
    </row>
    <row r="361" spans="1:12">
      <c r="A361">
        <v>2406</v>
      </c>
      <c r="C361">
        <v>1</v>
      </c>
      <c r="D361">
        <v>1</v>
      </c>
      <c r="E361">
        <v>2</v>
      </c>
      <c r="F361">
        <v>1</v>
      </c>
      <c r="G361">
        <v>0</v>
      </c>
      <c r="H361">
        <f t="shared" si="5"/>
        <v>5</v>
      </c>
      <c r="K361" s="248">
        <v>0.44</v>
      </c>
      <c r="L361" s="249">
        <v>304545454.54545456</v>
      </c>
    </row>
    <row r="362" spans="1:12">
      <c r="A362">
        <v>2408</v>
      </c>
      <c r="C362">
        <v>0</v>
      </c>
      <c r="D362">
        <v>1</v>
      </c>
      <c r="E362">
        <v>0</v>
      </c>
      <c r="F362">
        <v>1</v>
      </c>
      <c r="G362">
        <v>0</v>
      </c>
      <c r="H362">
        <f t="shared" si="5"/>
        <v>2</v>
      </c>
      <c r="K362" s="248">
        <v>1.95</v>
      </c>
      <c r="L362" s="249">
        <v>2424102564.1025643</v>
      </c>
    </row>
    <row r="363" spans="1:12">
      <c r="A363">
        <v>2409</v>
      </c>
      <c r="C363">
        <v>0</v>
      </c>
      <c r="D363">
        <v>0</v>
      </c>
      <c r="E363">
        <v>0</v>
      </c>
      <c r="F363">
        <v>1</v>
      </c>
      <c r="G363">
        <v>0</v>
      </c>
      <c r="H363">
        <f t="shared" si="5"/>
        <v>1</v>
      </c>
      <c r="K363" s="248">
        <v>0.36</v>
      </c>
      <c r="L363" s="249">
        <v>9619444444.4444447</v>
      </c>
    </row>
    <row r="364" spans="1:12">
      <c r="A364">
        <v>2412</v>
      </c>
      <c r="C364">
        <v>1</v>
      </c>
      <c r="D364">
        <v>1</v>
      </c>
      <c r="E364">
        <v>0</v>
      </c>
      <c r="F364">
        <v>1</v>
      </c>
      <c r="G364">
        <v>0</v>
      </c>
      <c r="H364">
        <f t="shared" si="5"/>
        <v>3</v>
      </c>
      <c r="K364" s="248">
        <v>1.52</v>
      </c>
      <c r="L364" s="249">
        <v>7763815789.4736843</v>
      </c>
    </row>
    <row r="365" spans="1:12">
      <c r="A365">
        <v>2413</v>
      </c>
      <c r="C365">
        <v>1</v>
      </c>
      <c r="D365">
        <v>1</v>
      </c>
      <c r="E365">
        <v>2</v>
      </c>
      <c r="F365">
        <v>0</v>
      </c>
      <c r="G365">
        <v>0</v>
      </c>
      <c r="H365">
        <f t="shared" si="5"/>
        <v>4</v>
      </c>
      <c r="K365" s="248">
        <v>0.71</v>
      </c>
      <c r="L365" s="249">
        <v>126760563.3802817</v>
      </c>
    </row>
    <row r="366" spans="1:12">
      <c r="A366">
        <v>2414</v>
      </c>
      <c r="C366">
        <v>0</v>
      </c>
      <c r="D366">
        <v>1</v>
      </c>
      <c r="E366">
        <v>0</v>
      </c>
      <c r="F366">
        <v>0</v>
      </c>
      <c r="G366">
        <v>0</v>
      </c>
      <c r="H366">
        <f t="shared" si="5"/>
        <v>1</v>
      </c>
      <c r="K366" s="248">
        <v>0.35</v>
      </c>
      <c r="L366" s="249">
        <v>160000000</v>
      </c>
    </row>
    <row r="367" spans="1:12">
      <c r="A367">
        <v>2415</v>
      </c>
      <c r="C367">
        <v>0</v>
      </c>
      <c r="D367">
        <v>1</v>
      </c>
      <c r="E367">
        <v>2</v>
      </c>
      <c r="F367">
        <v>1</v>
      </c>
      <c r="G367">
        <v>0</v>
      </c>
      <c r="H367">
        <f t="shared" si="5"/>
        <v>4</v>
      </c>
      <c r="K367" s="248">
        <v>0.4</v>
      </c>
      <c r="L367" s="249">
        <v>90000000</v>
      </c>
    </row>
    <row r="368" spans="1:12">
      <c r="A368">
        <v>2417</v>
      </c>
      <c r="C368">
        <v>0</v>
      </c>
      <c r="D368">
        <v>1</v>
      </c>
      <c r="E368">
        <v>0</v>
      </c>
      <c r="F368">
        <v>0</v>
      </c>
      <c r="G368">
        <v>0</v>
      </c>
      <c r="H368">
        <f t="shared" si="5"/>
        <v>1</v>
      </c>
      <c r="K368" s="248">
        <v>-0.27</v>
      </c>
      <c r="L368" s="249">
        <v>192592592.59259257</v>
      </c>
    </row>
    <row r="369" spans="1:12">
      <c r="A369">
        <v>2419</v>
      </c>
      <c r="C369">
        <v>1</v>
      </c>
      <c r="D369">
        <v>1</v>
      </c>
      <c r="E369">
        <v>1</v>
      </c>
      <c r="F369">
        <v>1</v>
      </c>
      <c r="G369">
        <v>0</v>
      </c>
      <c r="H369">
        <f t="shared" si="5"/>
        <v>4</v>
      </c>
      <c r="K369" s="248">
        <v>0.32</v>
      </c>
      <c r="L369" s="249">
        <v>234375000</v>
      </c>
    </row>
    <row r="370" spans="1:12">
      <c r="A370">
        <v>2420</v>
      </c>
      <c r="C370">
        <v>1</v>
      </c>
      <c r="D370">
        <v>1</v>
      </c>
      <c r="E370">
        <v>0</v>
      </c>
      <c r="F370">
        <v>1</v>
      </c>
      <c r="G370">
        <v>0</v>
      </c>
      <c r="H370">
        <f t="shared" si="5"/>
        <v>3</v>
      </c>
      <c r="K370" s="248">
        <v>1.36</v>
      </c>
      <c r="L370" s="249">
        <v>152941176.47058824</v>
      </c>
    </row>
    <row r="371" spans="1:12">
      <c r="A371">
        <v>2421</v>
      </c>
      <c r="C371">
        <v>1</v>
      </c>
      <c r="D371">
        <v>1</v>
      </c>
      <c r="E371">
        <v>1</v>
      </c>
      <c r="F371">
        <v>1</v>
      </c>
      <c r="G371">
        <v>1</v>
      </c>
      <c r="H371">
        <f t="shared" si="5"/>
        <v>5</v>
      </c>
      <c r="K371" s="248">
        <v>0.7</v>
      </c>
      <c r="L371" s="249">
        <v>251428571.42857143</v>
      </c>
    </row>
    <row r="372" spans="1:12">
      <c r="A372">
        <v>2423</v>
      </c>
      <c r="C372">
        <v>0</v>
      </c>
      <c r="D372">
        <v>1</v>
      </c>
      <c r="E372">
        <v>0</v>
      </c>
      <c r="F372">
        <v>1</v>
      </c>
      <c r="G372">
        <v>0</v>
      </c>
      <c r="H372">
        <f t="shared" si="5"/>
        <v>2</v>
      </c>
      <c r="K372" s="248">
        <v>0.5</v>
      </c>
      <c r="L372" s="249">
        <v>138000000</v>
      </c>
    </row>
    <row r="373" spans="1:12">
      <c r="A373">
        <v>2424</v>
      </c>
      <c r="C373">
        <v>0</v>
      </c>
      <c r="D373">
        <v>0</v>
      </c>
      <c r="E373">
        <v>0</v>
      </c>
      <c r="F373">
        <v>0</v>
      </c>
      <c r="G373">
        <v>0</v>
      </c>
      <c r="H373">
        <f t="shared" si="5"/>
        <v>0</v>
      </c>
      <c r="K373" s="248">
        <v>0.49</v>
      </c>
      <c r="L373" s="249">
        <v>30612244.897959184</v>
      </c>
    </row>
    <row r="374" spans="1:12">
      <c r="A374">
        <v>2425</v>
      </c>
      <c r="C374">
        <v>0</v>
      </c>
      <c r="D374">
        <v>1</v>
      </c>
      <c r="E374">
        <v>0</v>
      </c>
      <c r="F374">
        <v>1</v>
      </c>
      <c r="G374">
        <v>0</v>
      </c>
      <c r="H374">
        <f t="shared" si="5"/>
        <v>2</v>
      </c>
      <c r="K374" s="248">
        <v>1.1399999999999999</v>
      </c>
      <c r="L374" s="249">
        <v>108771929.82456142</v>
      </c>
    </row>
    <row r="375" spans="1:12">
      <c r="A375">
        <v>2426</v>
      </c>
      <c r="C375">
        <v>0</v>
      </c>
      <c r="D375">
        <v>1</v>
      </c>
      <c r="E375">
        <v>0</v>
      </c>
      <c r="F375">
        <v>1</v>
      </c>
      <c r="G375">
        <v>0</v>
      </c>
      <c r="H375">
        <f t="shared" si="5"/>
        <v>2</v>
      </c>
      <c r="K375" s="248">
        <v>0.41</v>
      </c>
      <c r="L375" s="249">
        <v>275609756.097561</v>
      </c>
    </row>
    <row r="376" spans="1:12">
      <c r="A376">
        <v>2427</v>
      </c>
      <c r="C376">
        <v>1</v>
      </c>
      <c r="D376">
        <v>1</v>
      </c>
      <c r="E376">
        <v>1</v>
      </c>
      <c r="F376">
        <v>0</v>
      </c>
      <c r="G376">
        <v>0</v>
      </c>
      <c r="H376">
        <f t="shared" si="5"/>
        <v>3</v>
      </c>
      <c r="K376" s="248">
        <v>0.12</v>
      </c>
      <c r="L376" s="249">
        <v>191666666.66666669</v>
      </c>
    </row>
    <row r="377" spans="1:12">
      <c r="A377">
        <v>2428</v>
      </c>
      <c r="C377">
        <v>1</v>
      </c>
      <c r="D377">
        <v>1</v>
      </c>
      <c r="E377">
        <v>0</v>
      </c>
      <c r="F377">
        <v>1</v>
      </c>
      <c r="G377">
        <v>0</v>
      </c>
      <c r="H377">
        <f t="shared" si="5"/>
        <v>3</v>
      </c>
      <c r="K377" s="248">
        <v>2.11</v>
      </c>
      <c r="L377" s="249">
        <v>127488151.65876777</v>
      </c>
    </row>
    <row r="378" spans="1:12">
      <c r="A378">
        <v>2429</v>
      </c>
      <c r="C378">
        <v>0</v>
      </c>
      <c r="D378">
        <v>1</v>
      </c>
      <c r="E378">
        <v>1</v>
      </c>
      <c r="F378">
        <v>1</v>
      </c>
      <c r="G378">
        <v>0</v>
      </c>
      <c r="H378">
        <f t="shared" si="5"/>
        <v>3</v>
      </c>
      <c r="K378" s="248">
        <v>-0.45</v>
      </c>
      <c r="L378" s="249">
        <v>35555555.555555552</v>
      </c>
    </row>
    <row r="379" spans="1:12">
      <c r="A379">
        <v>2430</v>
      </c>
      <c r="C379">
        <v>1</v>
      </c>
      <c r="D379">
        <v>1</v>
      </c>
      <c r="E379">
        <v>0</v>
      </c>
      <c r="F379">
        <v>0</v>
      </c>
      <c r="G379">
        <v>0</v>
      </c>
      <c r="H379">
        <f t="shared" si="5"/>
        <v>2</v>
      </c>
      <c r="K379" s="248">
        <v>0.92</v>
      </c>
      <c r="L379" s="249">
        <v>168478260.86956522</v>
      </c>
    </row>
    <row r="380" spans="1:12">
      <c r="A380">
        <v>2431</v>
      </c>
      <c r="C380">
        <v>0</v>
      </c>
      <c r="D380">
        <v>1</v>
      </c>
      <c r="E380">
        <v>1</v>
      </c>
      <c r="F380">
        <v>1</v>
      </c>
      <c r="G380">
        <v>0</v>
      </c>
      <c r="H380">
        <f t="shared" si="5"/>
        <v>3</v>
      </c>
      <c r="K380" s="248">
        <v>0.15</v>
      </c>
      <c r="L380" s="249">
        <v>113333333.33333334</v>
      </c>
    </row>
    <row r="381" spans="1:12">
      <c r="A381">
        <v>2433</v>
      </c>
      <c r="C381">
        <v>0</v>
      </c>
      <c r="D381">
        <v>1</v>
      </c>
      <c r="E381">
        <v>2</v>
      </c>
      <c r="F381">
        <v>1</v>
      </c>
      <c r="G381">
        <v>0</v>
      </c>
      <c r="H381">
        <f t="shared" si="5"/>
        <v>4</v>
      </c>
      <c r="K381" s="248">
        <v>1.44</v>
      </c>
      <c r="L381" s="249">
        <v>143750000</v>
      </c>
    </row>
    <row r="382" spans="1:12">
      <c r="A382">
        <v>2434</v>
      </c>
      <c r="C382">
        <v>0</v>
      </c>
      <c r="D382">
        <v>0</v>
      </c>
      <c r="E382">
        <v>2</v>
      </c>
      <c r="F382">
        <v>1</v>
      </c>
      <c r="G382">
        <v>0</v>
      </c>
      <c r="H382">
        <f t="shared" si="5"/>
        <v>3</v>
      </c>
      <c r="K382" s="248">
        <v>-1.58</v>
      </c>
      <c r="L382" s="249">
        <v>110759493.67088607</v>
      </c>
    </row>
    <row r="383" spans="1:12">
      <c r="A383">
        <v>2436</v>
      </c>
      <c r="C383">
        <v>0</v>
      </c>
      <c r="D383">
        <v>1</v>
      </c>
      <c r="E383">
        <v>0</v>
      </c>
      <c r="F383">
        <v>0</v>
      </c>
      <c r="G383">
        <v>0</v>
      </c>
      <c r="H383">
        <f t="shared" si="5"/>
        <v>1</v>
      </c>
      <c r="K383" s="248">
        <v>0.26</v>
      </c>
      <c r="L383" s="249">
        <v>219230769.23076922</v>
      </c>
    </row>
    <row r="384" spans="1:12">
      <c r="A384">
        <v>2437</v>
      </c>
      <c r="C384">
        <v>1</v>
      </c>
      <c r="D384">
        <v>1</v>
      </c>
      <c r="E384">
        <v>0</v>
      </c>
      <c r="F384">
        <v>1</v>
      </c>
      <c r="G384">
        <v>0</v>
      </c>
      <c r="H384">
        <f t="shared" si="5"/>
        <v>3</v>
      </c>
      <c r="K384" s="248">
        <v>1.64</v>
      </c>
      <c r="L384" s="249">
        <v>66463414.634146348</v>
      </c>
    </row>
    <row r="385" spans="1:12">
      <c r="A385">
        <v>2438</v>
      </c>
      <c r="C385">
        <v>0</v>
      </c>
      <c r="D385">
        <v>1</v>
      </c>
      <c r="E385">
        <v>1</v>
      </c>
      <c r="F385">
        <v>0</v>
      </c>
      <c r="G385">
        <v>0</v>
      </c>
      <c r="H385">
        <f t="shared" si="5"/>
        <v>2</v>
      </c>
      <c r="K385" s="248">
        <v>0.09</v>
      </c>
      <c r="L385" s="249">
        <v>77777777.777777776</v>
      </c>
    </row>
    <row r="386" spans="1:12">
      <c r="A386">
        <v>2439</v>
      </c>
      <c r="C386">
        <v>0</v>
      </c>
      <c r="D386">
        <v>1</v>
      </c>
      <c r="E386">
        <v>0</v>
      </c>
      <c r="F386">
        <v>1</v>
      </c>
      <c r="G386">
        <v>0</v>
      </c>
      <c r="H386">
        <f t="shared" ref="H386:H449" si="6">SUM(C386:G386)</f>
        <v>2</v>
      </c>
      <c r="K386" s="248">
        <v>1.38</v>
      </c>
      <c r="L386" s="249">
        <v>184782608.69565219</v>
      </c>
    </row>
    <row r="387" spans="1:12">
      <c r="A387">
        <v>2440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f t="shared" si="6"/>
        <v>0</v>
      </c>
      <c r="K387" s="248">
        <v>-0.11</v>
      </c>
      <c r="L387" s="249">
        <v>136363636.36363637</v>
      </c>
    </row>
    <row r="388" spans="1:12">
      <c r="A388">
        <v>2441</v>
      </c>
      <c r="C388">
        <v>0</v>
      </c>
      <c r="D388">
        <v>1</v>
      </c>
      <c r="E388">
        <v>0</v>
      </c>
      <c r="F388">
        <v>1</v>
      </c>
      <c r="G388">
        <v>0</v>
      </c>
      <c r="H388">
        <f t="shared" si="6"/>
        <v>2</v>
      </c>
      <c r="K388" s="248">
        <v>0.88</v>
      </c>
      <c r="L388" s="249">
        <v>567045454.5454545</v>
      </c>
    </row>
    <row r="389" spans="1:12">
      <c r="A389">
        <v>2442</v>
      </c>
      <c r="C389">
        <v>0</v>
      </c>
      <c r="D389">
        <v>0</v>
      </c>
      <c r="E389">
        <v>0</v>
      </c>
      <c r="F389">
        <v>1</v>
      </c>
      <c r="G389">
        <v>0</v>
      </c>
      <c r="H389">
        <f t="shared" si="6"/>
        <v>1</v>
      </c>
      <c r="K389" s="248">
        <v>-0.12</v>
      </c>
      <c r="L389" s="249">
        <v>200000000</v>
      </c>
    </row>
    <row r="390" spans="1:12">
      <c r="A390">
        <v>2443</v>
      </c>
      <c r="C390">
        <v>0</v>
      </c>
      <c r="D390">
        <v>0</v>
      </c>
      <c r="E390">
        <v>1</v>
      </c>
      <c r="F390">
        <v>0</v>
      </c>
      <c r="G390">
        <v>1</v>
      </c>
      <c r="H390">
        <f t="shared" si="6"/>
        <v>2</v>
      </c>
      <c r="K390" s="248">
        <v>-0.5</v>
      </c>
      <c r="L390" s="249">
        <v>146000000</v>
      </c>
    </row>
    <row r="391" spans="1:12">
      <c r="A391">
        <v>2444</v>
      </c>
      <c r="C391">
        <v>1</v>
      </c>
      <c r="D391">
        <v>1</v>
      </c>
      <c r="E391">
        <v>1</v>
      </c>
      <c r="F391">
        <v>1</v>
      </c>
      <c r="G391">
        <v>0</v>
      </c>
      <c r="H391">
        <f t="shared" si="6"/>
        <v>4</v>
      </c>
      <c r="K391" s="248">
        <v>0.45</v>
      </c>
      <c r="L391" s="249">
        <v>84444444.444444448</v>
      </c>
    </row>
    <row r="392" spans="1:12">
      <c r="A392">
        <v>2448</v>
      </c>
      <c r="C392">
        <v>0</v>
      </c>
      <c r="D392">
        <v>0</v>
      </c>
      <c r="E392">
        <v>0</v>
      </c>
      <c r="F392">
        <v>1</v>
      </c>
      <c r="G392">
        <v>0</v>
      </c>
      <c r="H392">
        <f t="shared" si="6"/>
        <v>1</v>
      </c>
      <c r="K392" s="248">
        <v>-0.96</v>
      </c>
      <c r="L392" s="249">
        <v>1079166666.6666667</v>
      </c>
    </row>
    <row r="393" spans="1:12">
      <c r="A393">
        <v>2449</v>
      </c>
      <c r="C393">
        <v>0</v>
      </c>
      <c r="D393">
        <v>0</v>
      </c>
      <c r="E393">
        <v>0</v>
      </c>
      <c r="F393">
        <v>1</v>
      </c>
      <c r="G393">
        <v>0</v>
      </c>
      <c r="H393">
        <f t="shared" si="6"/>
        <v>1</v>
      </c>
      <c r="K393" s="248">
        <v>0.46</v>
      </c>
      <c r="L393" s="249">
        <v>1173913043.4782608</v>
      </c>
    </row>
    <row r="394" spans="1:12">
      <c r="A394">
        <v>2450</v>
      </c>
      <c r="C394">
        <v>0</v>
      </c>
      <c r="D394">
        <v>1</v>
      </c>
      <c r="E394">
        <v>1</v>
      </c>
      <c r="F394">
        <v>1</v>
      </c>
      <c r="G394">
        <v>0</v>
      </c>
      <c r="H394">
        <f t="shared" si="6"/>
        <v>3</v>
      </c>
      <c r="K394" s="248">
        <v>0.42</v>
      </c>
      <c r="L394" s="249">
        <v>254761904.76190478</v>
      </c>
    </row>
    <row r="395" spans="1:12">
      <c r="A395">
        <v>2451</v>
      </c>
      <c r="C395">
        <v>1</v>
      </c>
      <c r="D395">
        <v>1</v>
      </c>
      <c r="E395">
        <v>0</v>
      </c>
      <c r="F395">
        <v>1</v>
      </c>
      <c r="G395">
        <v>0</v>
      </c>
      <c r="H395">
        <f t="shared" si="6"/>
        <v>3</v>
      </c>
      <c r="K395" s="248">
        <v>2.52</v>
      </c>
      <c r="L395" s="249">
        <v>430952380.95238096</v>
      </c>
    </row>
    <row r="396" spans="1:12">
      <c r="A396">
        <v>2453</v>
      </c>
      <c r="C396">
        <v>1</v>
      </c>
      <c r="D396">
        <v>1</v>
      </c>
      <c r="E396">
        <v>1</v>
      </c>
      <c r="F396">
        <v>0</v>
      </c>
      <c r="G396">
        <v>0</v>
      </c>
      <c r="H396">
        <f t="shared" si="6"/>
        <v>3</v>
      </c>
      <c r="K396" s="248">
        <v>0.2</v>
      </c>
      <c r="L396" s="249">
        <v>100000000</v>
      </c>
    </row>
    <row r="397" spans="1:12">
      <c r="A397">
        <v>2454</v>
      </c>
      <c r="C397">
        <v>0</v>
      </c>
      <c r="D397">
        <v>1</v>
      </c>
      <c r="E397">
        <v>0</v>
      </c>
      <c r="F397">
        <v>0</v>
      </c>
      <c r="G397">
        <v>0</v>
      </c>
      <c r="H397">
        <f t="shared" si="6"/>
        <v>1</v>
      </c>
      <c r="K397" s="248">
        <v>5.09</v>
      </c>
      <c r="L397" s="249">
        <v>1562671905.6974461</v>
      </c>
    </row>
    <row r="398" spans="1:12">
      <c r="A398">
        <v>2455</v>
      </c>
      <c r="C398">
        <v>0</v>
      </c>
      <c r="D398">
        <v>1</v>
      </c>
      <c r="E398">
        <v>0</v>
      </c>
      <c r="F398">
        <v>1</v>
      </c>
      <c r="G398">
        <v>0</v>
      </c>
      <c r="H398">
        <f t="shared" si="6"/>
        <v>2</v>
      </c>
      <c r="K398" s="248">
        <v>0.69</v>
      </c>
      <c r="L398" s="249">
        <v>247826086.95652175</v>
      </c>
    </row>
    <row r="399" spans="1:12">
      <c r="A399">
        <v>2456</v>
      </c>
      <c r="C399">
        <v>1</v>
      </c>
      <c r="D399">
        <v>1</v>
      </c>
      <c r="E399">
        <v>0</v>
      </c>
      <c r="F399">
        <v>1</v>
      </c>
      <c r="G399">
        <v>1</v>
      </c>
      <c r="H399">
        <f t="shared" si="6"/>
        <v>4</v>
      </c>
      <c r="K399" s="248">
        <v>1.2</v>
      </c>
      <c r="L399" s="249">
        <v>127500000</v>
      </c>
    </row>
    <row r="400" spans="1:12">
      <c r="A400">
        <v>2457</v>
      </c>
      <c r="C400">
        <v>0</v>
      </c>
      <c r="D400">
        <v>1</v>
      </c>
      <c r="E400">
        <v>0</v>
      </c>
      <c r="F400">
        <v>1</v>
      </c>
      <c r="G400">
        <v>0</v>
      </c>
      <c r="H400">
        <f t="shared" si="6"/>
        <v>2</v>
      </c>
      <c r="K400" s="248">
        <v>-0.24</v>
      </c>
      <c r="L400" s="249">
        <v>279166666.66666669</v>
      </c>
    </row>
    <row r="401" spans="1:12">
      <c r="A401">
        <v>2458</v>
      </c>
      <c r="C401">
        <v>0</v>
      </c>
      <c r="D401">
        <v>1</v>
      </c>
      <c r="E401">
        <v>0</v>
      </c>
      <c r="F401">
        <v>1</v>
      </c>
      <c r="G401">
        <v>0</v>
      </c>
      <c r="H401">
        <f t="shared" si="6"/>
        <v>2</v>
      </c>
      <c r="K401" s="248">
        <v>0.56999999999999995</v>
      </c>
      <c r="L401" s="249">
        <v>414035087.7192983</v>
      </c>
    </row>
    <row r="402" spans="1:12">
      <c r="A402">
        <v>2459</v>
      </c>
      <c r="C402">
        <v>0</v>
      </c>
      <c r="D402">
        <v>1</v>
      </c>
      <c r="E402">
        <v>0</v>
      </c>
      <c r="F402">
        <v>0</v>
      </c>
      <c r="G402">
        <v>0</v>
      </c>
      <c r="H402">
        <f t="shared" si="6"/>
        <v>1</v>
      </c>
      <c r="K402" s="248">
        <v>1</v>
      </c>
      <c r="L402" s="249">
        <v>112000000</v>
      </c>
    </row>
    <row r="403" spans="1:12">
      <c r="A403">
        <v>2460</v>
      </c>
      <c r="C403">
        <v>0</v>
      </c>
      <c r="D403">
        <v>0</v>
      </c>
      <c r="E403">
        <v>2</v>
      </c>
      <c r="F403">
        <v>1</v>
      </c>
      <c r="G403">
        <v>0</v>
      </c>
      <c r="H403">
        <f t="shared" si="6"/>
        <v>3</v>
      </c>
      <c r="K403" s="248">
        <v>-0.14000000000000001</v>
      </c>
      <c r="L403" s="249">
        <v>164285714.28571427</v>
      </c>
    </row>
    <row r="404" spans="1:12">
      <c r="A404">
        <v>2461</v>
      </c>
      <c r="C404">
        <v>1</v>
      </c>
      <c r="D404">
        <v>1</v>
      </c>
      <c r="E404">
        <v>1</v>
      </c>
      <c r="F404">
        <v>0</v>
      </c>
      <c r="G404">
        <v>0</v>
      </c>
      <c r="H404">
        <f t="shared" si="6"/>
        <v>3</v>
      </c>
      <c r="K404" s="248">
        <v>0.46</v>
      </c>
      <c r="L404" s="249">
        <v>143478260.86956522</v>
      </c>
    </row>
    <row r="405" spans="1:12">
      <c r="A405">
        <v>2462</v>
      </c>
      <c r="C405">
        <v>1</v>
      </c>
      <c r="D405">
        <v>1</v>
      </c>
      <c r="E405">
        <v>0</v>
      </c>
      <c r="F405">
        <v>0</v>
      </c>
      <c r="G405">
        <v>0</v>
      </c>
      <c r="H405">
        <f t="shared" si="6"/>
        <v>2</v>
      </c>
      <c r="K405" s="248">
        <v>0.82</v>
      </c>
      <c r="L405" s="249">
        <v>104878048.78048781</v>
      </c>
    </row>
    <row r="406" spans="1:12">
      <c r="A406">
        <v>2464</v>
      </c>
      <c r="C406">
        <v>1</v>
      </c>
      <c r="D406">
        <v>1</v>
      </c>
      <c r="E406">
        <v>0</v>
      </c>
      <c r="F406">
        <v>0</v>
      </c>
      <c r="G406">
        <v>1</v>
      </c>
      <c r="H406">
        <f t="shared" si="6"/>
        <v>3</v>
      </c>
      <c r="K406" s="248">
        <v>0.93</v>
      </c>
      <c r="L406" s="249">
        <v>191397849.46236557</v>
      </c>
    </row>
    <row r="407" spans="1:12">
      <c r="A407">
        <v>2465</v>
      </c>
      <c r="C407">
        <v>0</v>
      </c>
      <c r="D407">
        <v>1</v>
      </c>
      <c r="E407">
        <v>0</v>
      </c>
      <c r="F407">
        <v>0</v>
      </c>
      <c r="G407">
        <v>1</v>
      </c>
      <c r="H407">
        <f t="shared" si="6"/>
        <v>2</v>
      </c>
      <c r="K407" s="248">
        <v>-0.37</v>
      </c>
      <c r="L407" s="249">
        <v>108108108.1081081</v>
      </c>
    </row>
    <row r="408" spans="1:12">
      <c r="A408">
        <v>2466</v>
      </c>
      <c r="C408">
        <v>1</v>
      </c>
      <c r="D408">
        <v>1</v>
      </c>
      <c r="E408">
        <v>1</v>
      </c>
      <c r="F408">
        <v>0</v>
      </c>
      <c r="G408">
        <v>0</v>
      </c>
      <c r="H408">
        <f t="shared" si="6"/>
        <v>3</v>
      </c>
      <c r="K408" s="248">
        <v>0.09</v>
      </c>
      <c r="L408" s="249">
        <v>144444444.44444445</v>
      </c>
    </row>
    <row r="409" spans="1:12">
      <c r="A409">
        <v>2467</v>
      </c>
      <c r="C409">
        <v>0</v>
      </c>
      <c r="D409">
        <v>0</v>
      </c>
      <c r="E409">
        <v>0</v>
      </c>
      <c r="F409">
        <v>0</v>
      </c>
      <c r="G409">
        <v>0</v>
      </c>
      <c r="H409">
        <f t="shared" si="6"/>
        <v>0</v>
      </c>
      <c r="K409" s="248">
        <v>0</v>
      </c>
      <c r="L409" s="249">
        <v>0</v>
      </c>
    </row>
    <row r="410" spans="1:12">
      <c r="A410">
        <v>2468</v>
      </c>
      <c r="C410">
        <v>0</v>
      </c>
      <c r="D410">
        <v>1</v>
      </c>
      <c r="E410">
        <v>1</v>
      </c>
      <c r="F410">
        <v>0</v>
      </c>
      <c r="G410">
        <v>0</v>
      </c>
      <c r="H410">
        <f t="shared" si="6"/>
        <v>2</v>
      </c>
      <c r="K410" s="248">
        <v>0.19</v>
      </c>
      <c r="L410" s="249">
        <v>68421052.631578952</v>
      </c>
    </row>
    <row r="411" spans="1:12">
      <c r="A411">
        <v>2471</v>
      </c>
      <c r="C411">
        <v>0</v>
      </c>
      <c r="D411">
        <v>1</v>
      </c>
      <c r="E411">
        <v>2</v>
      </c>
      <c r="F411">
        <v>0</v>
      </c>
      <c r="G411">
        <v>0</v>
      </c>
      <c r="H411">
        <f t="shared" si="6"/>
        <v>3</v>
      </c>
      <c r="K411" s="248">
        <v>0.2</v>
      </c>
      <c r="L411" s="249">
        <v>50000000</v>
      </c>
    </row>
    <row r="412" spans="1:12">
      <c r="A412">
        <v>2472</v>
      </c>
      <c r="C412">
        <v>1</v>
      </c>
      <c r="D412">
        <v>1</v>
      </c>
      <c r="E412">
        <v>0</v>
      </c>
      <c r="F412">
        <v>1</v>
      </c>
      <c r="G412">
        <v>0</v>
      </c>
      <c r="H412">
        <f t="shared" si="6"/>
        <v>3</v>
      </c>
      <c r="K412" s="248">
        <v>1.2</v>
      </c>
      <c r="L412" s="249">
        <v>140833333.33333334</v>
      </c>
    </row>
    <row r="413" spans="1:12">
      <c r="A413">
        <v>2474</v>
      </c>
      <c r="C413">
        <v>1</v>
      </c>
      <c r="D413">
        <v>1</v>
      </c>
      <c r="E413">
        <v>0</v>
      </c>
      <c r="F413">
        <v>1</v>
      </c>
      <c r="G413">
        <v>0</v>
      </c>
      <c r="H413">
        <f t="shared" si="6"/>
        <v>3</v>
      </c>
      <c r="K413" s="248">
        <v>10.58</v>
      </c>
      <c r="L413" s="249">
        <v>770699432.89224946</v>
      </c>
    </row>
    <row r="414" spans="1:12">
      <c r="A414">
        <v>2475</v>
      </c>
      <c r="C414">
        <v>0</v>
      </c>
      <c r="D414">
        <v>0</v>
      </c>
      <c r="E414">
        <v>2</v>
      </c>
      <c r="F414">
        <v>0</v>
      </c>
      <c r="G414">
        <v>0</v>
      </c>
      <c r="H414">
        <f t="shared" si="6"/>
        <v>2</v>
      </c>
      <c r="K414" s="248">
        <v>-0.56999999999999995</v>
      </c>
      <c r="L414" s="249">
        <v>6435087719.2982464</v>
      </c>
    </row>
    <row r="415" spans="1:12">
      <c r="A415">
        <v>2476</v>
      </c>
      <c r="C415">
        <v>1</v>
      </c>
      <c r="D415">
        <v>1</v>
      </c>
      <c r="E415">
        <v>0</v>
      </c>
      <c r="F415">
        <v>1</v>
      </c>
      <c r="G415">
        <v>0</v>
      </c>
      <c r="H415">
        <f t="shared" si="6"/>
        <v>3</v>
      </c>
      <c r="K415" s="248">
        <v>0.77</v>
      </c>
      <c r="L415" s="249">
        <v>180519480.51948053</v>
      </c>
    </row>
    <row r="416" spans="1:12">
      <c r="A416">
        <v>2477</v>
      </c>
      <c r="C416">
        <v>1</v>
      </c>
      <c r="D416">
        <v>1</v>
      </c>
      <c r="E416">
        <v>2</v>
      </c>
      <c r="F416">
        <v>0</v>
      </c>
      <c r="G416">
        <v>0</v>
      </c>
      <c r="H416">
        <f t="shared" si="6"/>
        <v>4</v>
      </c>
      <c r="K416" s="248">
        <v>0.63</v>
      </c>
      <c r="L416" s="249">
        <v>238095238.09523809</v>
      </c>
    </row>
    <row r="417" spans="1:12">
      <c r="A417">
        <v>2478</v>
      </c>
      <c r="C417">
        <v>1</v>
      </c>
      <c r="D417">
        <v>1</v>
      </c>
      <c r="E417">
        <v>0</v>
      </c>
      <c r="F417">
        <v>0</v>
      </c>
      <c r="G417">
        <v>0</v>
      </c>
      <c r="H417">
        <f t="shared" si="6"/>
        <v>2</v>
      </c>
      <c r="K417" s="248">
        <v>0.4</v>
      </c>
      <c r="L417" s="249">
        <v>255000000</v>
      </c>
    </row>
    <row r="418" spans="1:12">
      <c r="A418">
        <v>2480</v>
      </c>
      <c r="C418">
        <v>0</v>
      </c>
      <c r="D418">
        <v>1</v>
      </c>
      <c r="E418">
        <v>1</v>
      </c>
      <c r="F418">
        <v>1</v>
      </c>
      <c r="G418">
        <v>0</v>
      </c>
      <c r="H418">
        <f t="shared" si="6"/>
        <v>3</v>
      </c>
      <c r="K418" s="248">
        <v>0.55000000000000004</v>
      </c>
      <c r="L418" s="249">
        <v>132727272.72727272</v>
      </c>
    </row>
    <row r="419" spans="1:12">
      <c r="A419">
        <v>2481</v>
      </c>
      <c r="C419">
        <v>1</v>
      </c>
      <c r="D419">
        <v>1</v>
      </c>
      <c r="E419">
        <v>0</v>
      </c>
      <c r="F419">
        <v>0</v>
      </c>
      <c r="G419">
        <v>0</v>
      </c>
      <c r="H419">
        <f t="shared" si="6"/>
        <v>2</v>
      </c>
      <c r="K419" s="248">
        <v>0.49</v>
      </c>
      <c r="L419" s="249">
        <v>389795918.36734694</v>
      </c>
    </row>
    <row r="420" spans="1:12">
      <c r="A420">
        <v>2482</v>
      </c>
      <c r="C420">
        <v>1</v>
      </c>
      <c r="D420">
        <v>1</v>
      </c>
      <c r="E420">
        <v>2</v>
      </c>
      <c r="F420">
        <v>1</v>
      </c>
      <c r="G420">
        <v>1</v>
      </c>
      <c r="H420">
        <f t="shared" si="6"/>
        <v>6</v>
      </c>
      <c r="K420" s="248">
        <v>0.39</v>
      </c>
      <c r="L420" s="249">
        <v>61538461.538461536</v>
      </c>
    </row>
    <row r="421" spans="1:12">
      <c r="A421">
        <v>2483</v>
      </c>
      <c r="C421">
        <v>0</v>
      </c>
      <c r="D421">
        <v>1</v>
      </c>
      <c r="E421">
        <v>1</v>
      </c>
      <c r="F421">
        <v>0</v>
      </c>
      <c r="G421">
        <v>0</v>
      </c>
      <c r="H421">
        <f t="shared" si="6"/>
        <v>2</v>
      </c>
      <c r="K421" s="248">
        <v>0.61</v>
      </c>
      <c r="L421" s="249">
        <v>111475409.83606558</v>
      </c>
    </row>
    <row r="422" spans="1:12">
      <c r="A422">
        <v>2484</v>
      </c>
      <c r="C422">
        <v>1</v>
      </c>
      <c r="D422">
        <v>1</v>
      </c>
      <c r="E422">
        <v>1</v>
      </c>
      <c r="F422">
        <v>1</v>
      </c>
      <c r="G422">
        <v>0</v>
      </c>
      <c r="H422">
        <f t="shared" si="6"/>
        <v>4</v>
      </c>
      <c r="K422" s="248">
        <v>0.65</v>
      </c>
      <c r="L422" s="249">
        <v>160000000</v>
      </c>
    </row>
    <row r="423" spans="1:12">
      <c r="A423">
        <v>2485</v>
      </c>
      <c r="C423">
        <v>1</v>
      </c>
      <c r="D423">
        <v>1</v>
      </c>
      <c r="E423">
        <v>1</v>
      </c>
      <c r="F423">
        <v>1</v>
      </c>
      <c r="G423">
        <v>1</v>
      </c>
      <c r="H423">
        <f t="shared" si="6"/>
        <v>5</v>
      </c>
      <c r="K423" s="248">
        <v>1.1599999999999999</v>
      </c>
      <c r="L423" s="249">
        <v>317241379.31034487</v>
      </c>
    </row>
    <row r="424" spans="1:12">
      <c r="A424">
        <v>2486</v>
      </c>
      <c r="C424">
        <v>0</v>
      </c>
      <c r="D424">
        <v>1</v>
      </c>
      <c r="E424">
        <v>0</v>
      </c>
      <c r="F424">
        <v>1</v>
      </c>
      <c r="G424">
        <v>0</v>
      </c>
      <c r="H424">
        <f t="shared" si="6"/>
        <v>2</v>
      </c>
      <c r="K424" s="248">
        <v>-0.02</v>
      </c>
      <c r="L424" s="249">
        <v>250000000</v>
      </c>
    </row>
    <row r="425" spans="1:12">
      <c r="A425">
        <v>2488</v>
      </c>
      <c r="C425">
        <v>1</v>
      </c>
      <c r="D425">
        <v>1</v>
      </c>
      <c r="E425">
        <v>1</v>
      </c>
      <c r="F425">
        <v>1</v>
      </c>
      <c r="G425">
        <v>0</v>
      </c>
      <c r="H425">
        <f t="shared" si="6"/>
        <v>4</v>
      </c>
      <c r="K425" s="248">
        <v>0.85</v>
      </c>
      <c r="L425" s="249">
        <v>80000000</v>
      </c>
    </row>
    <row r="426" spans="1:12">
      <c r="A426">
        <v>2489</v>
      </c>
      <c r="C426">
        <v>0</v>
      </c>
      <c r="D426">
        <v>1</v>
      </c>
      <c r="E426">
        <v>1</v>
      </c>
      <c r="F426">
        <v>0</v>
      </c>
      <c r="G426">
        <v>0</v>
      </c>
      <c r="H426">
        <f t="shared" si="6"/>
        <v>2</v>
      </c>
      <c r="K426" s="248">
        <v>0.61</v>
      </c>
      <c r="L426" s="249">
        <v>834426229.50819671</v>
      </c>
    </row>
    <row r="427" spans="1:12">
      <c r="A427">
        <v>2491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f t="shared" si="6"/>
        <v>1</v>
      </c>
      <c r="K427" s="248">
        <v>-0.21</v>
      </c>
      <c r="L427" s="249">
        <v>61904761.90476191</v>
      </c>
    </row>
    <row r="428" spans="1:12">
      <c r="A428">
        <v>2492</v>
      </c>
      <c r="C428">
        <v>1</v>
      </c>
      <c r="D428">
        <v>1</v>
      </c>
      <c r="E428">
        <v>0</v>
      </c>
      <c r="F428">
        <v>1</v>
      </c>
      <c r="G428">
        <v>1</v>
      </c>
      <c r="H428">
        <f t="shared" si="6"/>
        <v>4</v>
      </c>
      <c r="K428" s="248">
        <v>0.62</v>
      </c>
      <c r="L428" s="249">
        <v>680645161.29032254</v>
      </c>
    </row>
    <row r="429" spans="1:12">
      <c r="A429">
        <v>2493</v>
      </c>
      <c r="C429">
        <v>1</v>
      </c>
      <c r="D429">
        <v>1</v>
      </c>
      <c r="E429">
        <v>0</v>
      </c>
      <c r="F429">
        <v>1</v>
      </c>
      <c r="G429">
        <v>0</v>
      </c>
      <c r="H429">
        <f t="shared" si="6"/>
        <v>3</v>
      </c>
      <c r="K429" s="248">
        <v>1.1100000000000001</v>
      </c>
      <c r="L429" s="249">
        <v>114414414.41441441</v>
      </c>
    </row>
    <row r="430" spans="1:12">
      <c r="A430">
        <v>2495</v>
      </c>
      <c r="C430">
        <v>1</v>
      </c>
      <c r="D430">
        <v>1</v>
      </c>
      <c r="E430">
        <v>0</v>
      </c>
      <c r="F430">
        <v>1</v>
      </c>
      <c r="G430">
        <v>0</v>
      </c>
      <c r="H430">
        <f t="shared" si="6"/>
        <v>3</v>
      </c>
      <c r="K430" s="248">
        <v>0.42</v>
      </c>
      <c r="L430" s="249">
        <v>278571428.5714286</v>
      </c>
    </row>
    <row r="431" spans="1:12">
      <c r="A431">
        <v>2496</v>
      </c>
      <c r="C431">
        <v>0</v>
      </c>
      <c r="D431">
        <v>1</v>
      </c>
      <c r="E431">
        <v>1</v>
      </c>
      <c r="F431">
        <v>0</v>
      </c>
      <c r="G431">
        <v>0</v>
      </c>
      <c r="H431">
        <f t="shared" si="6"/>
        <v>2</v>
      </c>
      <c r="K431" s="248">
        <v>-0.04</v>
      </c>
      <c r="L431" s="249">
        <v>50000000</v>
      </c>
    </row>
    <row r="432" spans="1:12">
      <c r="A432">
        <v>2497</v>
      </c>
      <c r="C432">
        <v>0</v>
      </c>
      <c r="D432">
        <v>1</v>
      </c>
      <c r="E432">
        <v>0</v>
      </c>
      <c r="F432">
        <v>0</v>
      </c>
      <c r="G432">
        <v>0</v>
      </c>
      <c r="H432">
        <f t="shared" si="6"/>
        <v>1</v>
      </c>
      <c r="K432" s="248">
        <v>0.64</v>
      </c>
      <c r="L432" s="249">
        <v>118750000</v>
      </c>
    </row>
    <row r="433" spans="1:12">
      <c r="A433">
        <v>2498</v>
      </c>
      <c r="C433">
        <v>0</v>
      </c>
      <c r="D433">
        <v>1</v>
      </c>
      <c r="E433">
        <v>0</v>
      </c>
      <c r="F433">
        <v>0</v>
      </c>
      <c r="G433">
        <v>0</v>
      </c>
      <c r="H433">
        <f t="shared" si="6"/>
        <v>1</v>
      </c>
      <c r="K433" s="248">
        <v>-5.41</v>
      </c>
      <c r="L433" s="249">
        <v>827541589.64879847</v>
      </c>
    </row>
    <row r="434" spans="1:12">
      <c r="A434">
        <v>2499</v>
      </c>
      <c r="C434">
        <v>0</v>
      </c>
      <c r="D434">
        <v>1</v>
      </c>
      <c r="E434">
        <v>0</v>
      </c>
      <c r="F434">
        <v>0</v>
      </c>
      <c r="G434">
        <v>0</v>
      </c>
      <c r="H434">
        <f t="shared" si="6"/>
        <v>1</v>
      </c>
      <c r="K434" s="248">
        <v>0.2</v>
      </c>
      <c r="L434" s="249">
        <v>315000000</v>
      </c>
    </row>
    <row r="435" spans="1:12">
      <c r="A435">
        <v>2501</v>
      </c>
      <c r="C435">
        <v>0</v>
      </c>
      <c r="D435">
        <v>0</v>
      </c>
      <c r="E435">
        <v>0</v>
      </c>
      <c r="F435">
        <v>0</v>
      </c>
      <c r="G435">
        <v>0</v>
      </c>
      <c r="H435">
        <f t="shared" si="6"/>
        <v>0</v>
      </c>
      <c r="K435" s="248" t="e">
        <v>#N/A</v>
      </c>
      <c r="L435" s="249" t="e">
        <v>#N/A</v>
      </c>
    </row>
    <row r="436" spans="1:12">
      <c r="A436">
        <v>2504</v>
      </c>
      <c r="C436">
        <v>0</v>
      </c>
      <c r="D436">
        <v>0</v>
      </c>
      <c r="E436">
        <v>0</v>
      </c>
      <c r="F436">
        <v>0</v>
      </c>
      <c r="G436">
        <v>0</v>
      </c>
      <c r="H436">
        <f t="shared" si="6"/>
        <v>0</v>
      </c>
      <c r="K436" s="248" t="e">
        <v>#N/A</v>
      </c>
      <c r="L436" s="249" t="e">
        <v>#N/A</v>
      </c>
    </row>
    <row r="437" spans="1:12">
      <c r="A437">
        <v>2505</v>
      </c>
      <c r="C437">
        <v>0</v>
      </c>
      <c r="D437">
        <v>0</v>
      </c>
      <c r="E437">
        <v>0</v>
      </c>
      <c r="F437">
        <v>0</v>
      </c>
      <c r="G437">
        <v>0</v>
      </c>
      <c r="H437">
        <f t="shared" si="6"/>
        <v>0</v>
      </c>
      <c r="K437" s="248" t="e">
        <v>#N/A</v>
      </c>
      <c r="L437" s="249" t="e">
        <v>#N/A</v>
      </c>
    </row>
    <row r="438" spans="1:12">
      <c r="A438">
        <v>2506</v>
      </c>
      <c r="C438">
        <v>0</v>
      </c>
      <c r="D438">
        <v>1</v>
      </c>
      <c r="E438">
        <v>0</v>
      </c>
      <c r="F438">
        <v>0</v>
      </c>
      <c r="G438">
        <v>0</v>
      </c>
      <c r="H438">
        <f t="shared" si="6"/>
        <v>1</v>
      </c>
      <c r="K438" s="248" t="e">
        <v>#N/A</v>
      </c>
      <c r="L438" s="249" t="e">
        <v>#N/A</v>
      </c>
    </row>
    <row r="439" spans="1:12">
      <c r="A439">
        <v>2509</v>
      </c>
      <c r="C439">
        <v>1</v>
      </c>
      <c r="D439">
        <v>1</v>
      </c>
      <c r="E439">
        <v>2</v>
      </c>
      <c r="F439">
        <v>0</v>
      </c>
      <c r="G439">
        <v>1</v>
      </c>
      <c r="H439">
        <f t="shared" si="6"/>
        <v>5</v>
      </c>
      <c r="K439" s="248" t="e">
        <v>#N/A</v>
      </c>
      <c r="L439" s="249" t="e">
        <v>#N/A</v>
      </c>
    </row>
    <row r="440" spans="1:12">
      <c r="A440">
        <v>2511</v>
      </c>
      <c r="C440">
        <v>0</v>
      </c>
      <c r="D440">
        <v>0</v>
      </c>
      <c r="E440">
        <v>0</v>
      </c>
      <c r="F440">
        <v>0</v>
      </c>
      <c r="G440">
        <v>0</v>
      </c>
      <c r="H440">
        <f t="shared" si="6"/>
        <v>0</v>
      </c>
      <c r="K440" s="248" t="e">
        <v>#N/A</v>
      </c>
      <c r="L440" s="249" t="e">
        <v>#N/A</v>
      </c>
    </row>
    <row r="441" spans="1:12">
      <c r="A441">
        <v>2515</v>
      </c>
      <c r="C441">
        <v>0</v>
      </c>
      <c r="D441">
        <v>0</v>
      </c>
      <c r="E441">
        <v>0</v>
      </c>
      <c r="F441">
        <v>0</v>
      </c>
      <c r="G441">
        <v>0</v>
      </c>
      <c r="H441">
        <f t="shared" si="6"/>
        <v>0</v>
      </c>
      <c r="K441" s="248" t="e">
        <v>#N/A</v>
      </c>
      <c r="L441" s="249" t="e">
        <v>#N/A</v>
      </c>
    </row>
    <row r="442" spans="1:12">
      <c r="A442">
        <v>2516</v>
      </c>
      <c r="C442">
        <v>0</v>
      </c>
      <c r="D442">
        <v>1</v>
      </c>
      <c r="E442">
        <v>0</v>
      </c>
      <c r="F442">
        <v>0</v>
      </c>
      <c r="G442">
        <v>0</v>
      </c>
      <c r="H442">
        <f t="shared" si="6"/>
        <v>1</v>
      </c>
      <c r="K442" s="248" t="e">
        <v>#N/A</v>
      </c>
      <c r="L442" s="249" t="e">
        <v>#N/A</v>
      </c>
    </row>
    <row r="443" spans="1:12">
      <c r="A443">
        <v>2520</v>
      </c>
      <c r="C443">
        <v>0</v>
      </c>
      <c r="D443">
        <v>1</v>
      </c>
      <c r="E443">
        <v>2</v>
      </c>
      <c r="F443">
        <v>0</v>
      </c>
      <c r="G443">
        <v>0</v>
      </c>
      <c r="H443">
        <f t="shared" si="6"/>
        <v>3</v>
      </c>
      <c r="K443" s="248" t="e">
        <v>#N/A</v>
      </c>
      <c r="L443" s="249" t="e">
        <v>#N/A</v>
      </c>
    </row>
    <row r="444" spans="1:12">
      <c r="A444">
        <v>2524</v>
      </c>
      <c r="C444">
        <v>0</v>
      </c>
      <c r="D444">
        <v>1</v>
      </c>
      <c r="E444">
        <v>1</v>
      </c>
      <c r="F444">
        <v>0</v>
      </c>
      <c r="G444">
        <v>0</v>
      </c>
      <c r="H444">
        <f t="shared" si="6"/>
        <v>2</v>
      </c>
      <c r="K444" s="248" t="e">
        <v>#N/A</v>
      </c>
      <c r="L444" s="249" t="e">
        <v>#N/A</v>
      </c>
    </row>
    <row r="445" spans="1:12">
      <c r="A445">
        <v>2527</v>
      </c>
      <c r="C445">
        <v>0</v>
      </c>
      <c r="D445">
        <v>1</v>
      </c>
      <c r="E445">
        <v>0</v>
      </c>
      <c r="F445">
        <v>0</v>
      </c>
      <c r="G445">
        <v>0</v>
      </c>
      <c r="H445">
        <f t="shared" si="6"/>
        <v>1</v>
      </c>
      <c r="K445" s="248" t="e">
        <v>#N/A</v>
      </c>
      <c r="L445" s="249" t="e">
        <v>#N/A</v>
      </c>
    </row>
    <row r="446" spans="1:12">
      <c r="A446">
        <v>2528</v>
      </c>
      <c r="C446">
        <v>0</v>
      </c>
      <c r="D446">
        <v>0</v>
      </c>
      <c r="E446">
        <v>0</v>
      </c>
      <c r="F446">
        <v>0</v>
      </c>
      <c r="G446">
        <v>0</v>
      </c>
      <c r="H446">
        <f t="shared" si="6"/>
        <v>0</v>
      </c>
      <c r="K446" s="248" t="e">
        <v>#N/A</v>
      </c>
      <c r="L446" s="249" t="e">
        <v>#N/A</v>
      </c>
    </row>
    <row r="447" spans="1:12">
      <c r="A447">
        <v>2530</v>
      </c>
      <c r="C447">
        <v>1</v>
      </c>
      <c r="D447">
        <v>1</v>
      </c>
      <c r="E447">
        <v>1</v>
      </c>
      <c r="F447">
        <v>1</v>
      </c>
      <c r="G447">
        <v>0</v>
      </c>
      <c r="H447">
        <f t="shared" si="6"/>
        <v>4</v>
      </c>
      <c r="K447" s="248" t="e">
        <v>#N/A</v>
      </c>
      <c r="L447" s="249" t="e">
        <v>#N/A</v>
      </c>
    </row>
    <row r="448" spans="1:12">
      <c r="A448">
        <v>2534</v>
      </c>
      <c r="C448">
        <v>0</v>
      </c>
      <c r="D448">
        <v>1</v>
      </c>
      <c r="E448">
        <v>0</v>
      </c>
      <c r="F448">
        <v>0</v>
      </c>
      <c r="G448">
        <v>0</v>
      </c>
      <c r="H448">
        <f t="shared" si="6"/>
        <v>1</v>
      </c>
      <c r="K448" s="248" t="e">
        <v>#N/A</v>
      </c>
      <c r="L448" s="249" t="e">
        <v>#N/A</v>
      </c>
    </row>
    <row r="449" spans="1:12">
      <c r="A449">
        <v>2535</v>
      </c>
      <c r="C449">
        <v>0</v>
      </c>
      <c r="D449">
        <v>1</v>
      </c>
      <c r="E449">
        <v>2</v>
      </c>
      <c r="F449">
        <v>0</v>
      </c>
      <c r="G449">
        <v>0</v>
      </c>
      <c r="H449">
        <f t="shared" si="6"/>
        <v>3</v>
      </c>
      <c r="K449" s="248" t="e">
        <v>#N/A</v>
      </c>
      <c r="L449" s="249" t="e">
        <v>#N/A</v>
      </c>
    </row>
    <row r="450" spans="1:12">
      <c r="A450">
        <v>2536</v>
      </c>
      <c r="C450">
        <v>0</v>
      </c>
      <c r="D450">
        <v>1</v>
      </c>
      <c r="E450">
        <v>2</v>
      </c>
      <c r="F450">
        <v>0</v>
      </c>
      <c r="G450">
        <v>0</v>
      </c>
      <c r="H450">
        <f t="shared" ref="H450:H513" si="7">SUM(C450:G450)</f>
        <v>3</v>
      </c>
      <c r="K450" s="248" t="e">
        <v>#N/A</v>
      </c>
      <c r="L450" s="249" t="e">
        <v>#N/A</v>
      </c>
    </row>
    <row r="451" spans="1:12">
      <c r="A451">
        <v>2537</v>
      </c>
      <c r="C451">
        <v>0</v>
      </c>
      <c r="D451">
        <v>1</v>
      </c>
      <c r="E451">
        <v>2</v>
      </c>
      <c r="F451">
        <v>0</v>
      </c>
      <c r="G451">
        <v>0</v>
      </c>
      <c r="H451">
        <f t="shared" si="7"/>
        <v>3</v>
      </c>
      <c r="K451" s="248" t="e">
        <v>#N/A</v>
      </c>
      <c r="L451" s="249" t="e">
        <v>#N/A</v>
      </c>
    </row>
    <row r="452" spans="1:12">
      <c r="A452">
        <v>2538</v>
      </c>
      <c r="C452">
        <v>0</v>
      </c>
      <c r="D452">
        <v>1</v>
      </c>
      <c r="E452">
        <v>0</v>
      </c>
      <c r="F452">
        <v>0</v>
      </c>
      <c r="G452">
        <v>1</v>
      </c>
      <c r="H452">
        <f t="shared" si="7"/>
        <v>2</v>
      </c>
      <c r="K452" s="248" t="e">
        <v>#N/A</v>
      </c>
      <c r="L452" s="249" t="e">
        <v>#N/A</v>
      </c>
    </row>
    <row r="453" spans="1:12">
      <c r="A453">
        <v>2539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f t="shared" si="7"/>
        <v>0</v>
      </c>
      <c r="K453" s="248" t="e">
        <v>#N/A</v>
      </c>
      <c r="L453" s="249" t="e">
        <v>#N/A</v>
      </c>
    </row>
    <row r="454" spans="1:12">
      <c r="A454">
        <v>2540</v>
      </c>
      <c r="C454">
        <v>0</v>
      </c>
      <c r="D454">
        <v>1</v>
      </c>
      <c r="E454">
        <v>0</v>
      </c>
      <c r="F454">
        <v>0</v>
      </c>
      <c r="G454">
        <v>0</v>
      </c>
      <c r="H454">
        <f t="shared" si="7"/>
        <v>1</v>
      </c>
      <c r="K454" s="248" t="e">
        <v>#N/A</v>
      </c>
      <c r="L454" s="249" t="e">
        <v>#N/A</v>
      </c>
    </row>
    <row r="455" spans="1:12">
      <c r="A455">
        <v>2542</v>
      </c>
      <c r="C455">
        <v>0</v>
      </c>
      <c r="D455">
        <v>1</v>
      </c>
      <c r="E455">
        <v>0</v>
      </c>
      <c r="F455">
        <v>0</v>
      </c>
      <c r="G455">
        <v>0</v>
      </c>
      <c r="H455">
        <f t="shared" si="7"/>
        <v>1</v>
      </c>
      <c r="K455" s="248" t="e">
        <v>#N/A</v>
      </c>
      <c r="L455" s="249" t="e">
        <v>#N/A</v>
      </c>
    </row>
    <row r="456" spans="1:12">
      <c r="A456">
        <v>2543</v>
      </c>
      <c r="C456">
        <v>0</v>
      </c>
      <c r="D456">
        <v>1</v>
      </c>
      <c r="E456">
        <v>0</v>
      </c>
      <c r="F456">
        <v>0</v>
      </c>
      <c r="G456">
        <v>0</v>
      </c>
      <c r="H456">
        <f t="shared" si="7"/>
        <v>1</v>
      </c>
      <c r="K456" s="248" t="e">
        <v>#N/A</v>
      </c>
      <c r="L456" s="249" t="e">
        <v>#N/A</v>
      </c>
    </row>
    <row r="457" spans="1:12">
      <c r="A457">
        <v>2545</v>
      </c>
      <c r="C457">
        <v>0</v>
      </c>
      <c r="D457">
        <v>0</v>
      </c>
      <c r="E457">
        <v>0</v>
      </c>
      <c r="F457">
        <v>0</v>
      </c>
      <c r="G457">
        <v>0</v>
      </c>
      <c r="H457">
        <f t="shared" si="7"/>
        <v>0</v>
      </c>
      <c r="K457" s="248" t="e">
        <v>#N/A</v>
      </c>
      <c r="L457" s="249" t="e">
        <v>#N/A</v>
      </c>
    </row>
    <row r="458" spans="1:12">
      <c r="A458">
        <v>2546</v>
      </c>
      <c r="C458">
        <v>0</v>
      </c>
      <c r="D458">
        <v>1</v>
      </c>
      <c r="E458">
        <v>2</v>
      </c>
      <c r="F458">
        <v>0</v>
      </c>
      <c r="G458">
        <v>0</v>
      </c>
      <c r="H458">
        <f t="shared" si="7"/>
        <v>3</v>
      </c>
      <c r="K458" s="248" t="e">
        <v>#N/A</v>
      </c>
      <c r="L458" s="249" t="e">
        <v>#N/A</v>
      </c>
    </row>
    <row r="459" spans="1:12">
      <c r="A459">
        <v>2547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f t="shared" si="7"/>
        <v>0</v>
      </c>
      <c r="K459" s="248" t="e">
        <v>#N/A</v>
      </c>
      <c r="L459" s="249" t="e">
        <v>#N/A</v>
      </c>
    </row>
    <row r="460" spans="1:12">
      <c r="A460">
        <v>2548</v>
      </c>
      <c r="C460">
        <v>0</v>
      </c>
      <c r="D460">
        <v>1</v>
      </c>
      <c r="E460">
        <v>0</v>
      </c>
      <c r="F460">
        <v>0</v>
      </c>
      <c r="G460">
        <v>0</v>
      </c>
      <c r="H460">
        <f t="shared" si="7"/>
        <v>1</v>
      </c>
      <c r="K460" s="248" t="e">
        <v>#N/A</v>
      </c>
      <c r="L460" s="249" t="e">
        <v>#N/A</v>
      </c>
    </row>
    <row r="461" spans="1:12">
      <c r="A461">
        <v>2597</v>
      </c>
      <c r="C461">
        <v>0</v>
      </c>
      <c r="D461">
        <v>1</v>
      </c>
      <c r="E461">
        <v>0</v>
      </c>
      <c r="F461">
        <v>1</v>
      </c>
      <c r="G461">
        <v>0</v>
      </c>
      <c r="H461">
        <f t="shared" si="7"/>
        <v>2</v>
      </c>
      <c r="K461" s="248" t="e">
        <v>#N/A</v>
      </c>
      <c r="L461" s="249" t="e">
        <v>#N/A</v>
      </c>
    </row>
    <row r="462" spans="1:12">
      <c r="A462">
        <v>2601</v>
      </c>
      <c r="C462">
        <v>0</v>
      </c>
      <c r="D462">
        <v>0</v>
      </c>
      <c r="E462">
        <v>0</v>
      </c>
      <c r="F462">
        <v>0</v>
      </c>
      <c r="G462">
        <v>0</v>
      </c>
      <c r="H462">
        <f t="shared" si="7"/>
        <v>0</v>
      </c>
      <c r="K462" s="248">
        <v>-3.22</v>
      </c>
      <c r="L462" s="249">
        <v>370496894.40993786</v>
      </c>
    </row>
    <row r="463" spans="1:12">
      <c r="A463">
        <v>2603</v>
      </c>
      <c r="C463">
        <v>0</v>
      </c>
      <c r="D463">
        <v>0</v>
      </c>
      <c r="E463">
        <v>1</v>
      </c>
      <c r="F463">
        <v>0</v>
      </c>
      <c r="G463">
        <v>0</v>
      </c>
      <c r="H463">
        <f t="shared" si="7"/>
        <v>1</v>
      </c>
      <c r="K463" s="248">
        <v>-0.69</v>
      </c>
      <c r="L463" s="249">
        <v>3498550724.6376815</v>
      </c>
    </row>
    <row r="464" spans="1:12">
      <c r="A464">
        <v>2605</v>
      </c>
      <c r="C464">
        <v>1</v>
      </c>
      <c r="D464">
        <v>1</v>
      </c>
      <c r="E464">
        <v>2</v>
      </c>
      <c r="F464">
        <v>1</v>
      </c>
      <c r="G464">
        <v>0</v>
      </c>
      <c r="H464">
        <f t="shared" si="7"/>
        <v>5</v>
      </c>
      <c r="K464" s="248">
        <v>0.52</v>
      </c>
      <c r="L464" s="249">
        <v>563461538.46153843</v>
      </c>
    </row>
    <row r="465" spans="1:12">
      <c r="A465">
        <v>2606</v>
      </c>
      <c r="C465">
        <v>0</v>
      </c>
      <c r="D465">
        <v>1</v>
      </c>
      <c r="E465">
        <v>1</v>
      </c>
      <c r="F465">
        <v>1</v>
      </c>
      <c r="G465">
        <v>0</v>
      </c>
      <c r="H465">
        <f t="shared" si="7"/>
        <v>3</v>
      </c>
      <c r="K465" s="248">
        <v>0.5</v>
      </c>
      <c r="L465" s="249">
        <v>856000000</v>
      </c>
    </row>
    <row r="466" spans="1:12">
      <c r="A466">
        <v>2607</v>
      </c>
      <c r="C466">
        <v>0</v>
      </c>
      <c r="D466">
        <v>0</v>
      </c>
      <c r="E466">
        <v>1</v>
      </c>
      <c r="F466">
        <v>1</v>
      </c>
      <c r="G466">
        <v>0</v>
      </c>
      <c r="H466">
        <f t="shared" si="7"/>
        <v>2</v>
      </c>
      <c r="K466" s="248">
        <v>0.21</v>
      </c>
      <c r="L466" s="249">
        <v>1057142857.1428572</v>
      </c>
    </row>
    <row r="467" spans="1:12">
      <c r="A467">
        <v>2608</v>
      </c>
      <c r="C467">
        <v>0</v>
      </c>
      <c r="D467">
        <v>1</v>
      </c>
      <c r="E467">
        <v>0</v>
      </c>
      <c r="F467">
        <v>1</v>
      </c>
      <c r="G467">
        <v>1</v>
      </c>
      <c r="H467">
        <f t="shared" si="7"/>
        <v>3</v>
      </c>
      <c r="K467" s="248">
        <v>0.66</v>
      </c>
      <c r="L467" s="249">
        <v>486363636.36363631</v>
      </c>
    </row>
    <row r="468" spans="1:12">
      <c r="A468">
        <v>2609</v>
      </c>
      <c r="C468">
        <v>0</v>
      </c>
      <c r="D468">
        <v>0</v>
      </c>
      <c r="E468">
        <v>1</v>
      </c>
      <c r="F468">
        <v>0</v>
      </c>
      <c r="G468">
        <v>0</v>
      </c>
      <c r="H468">
        <f t="shared" si="7"/>
        <v>1</v>
      </c>
      <c r="K468" s="248">
        <v>-1.22</v>
      </c>
      <c r="L468" s="249">
        <v>3468852459.0163937</v>
      </c>
    </row>
    <row r="469" spans="1:12">
      <c r="A469">
        <v>2610</v>
      </c>
      <c r="C469">
        <v>1</v>
      </c>
      <c r="D469">
        <v>1</v>
      </c>
      <c r="E469">
        <v>1</v>
      </c>
      <c r="F469">
        <v>1</v>
      </c>
      <c r="G469">
        <v>0</v>
      </c>
      <c r="H469">
        <f t="shared" si="7"/>
        <v>4</v>
      </c>
      <c r="K469" s="248">
        <v>0.39</v>
      </c>
      <c r="L469" s="249">
        <v>5471794871.7948713</v>
      </c>
    </row>
    <row r="470" spans="1:12">
      <c r="A470">
        <v>2611</v>
      </c>
      <c r="C470">
        <v>0</v>
      </c>
      <c r="D470">
        <v>1</v>
      </c>
      <c r="E470">
        <v>0</v>
      </c>
      <c r="F470">
        <v>1</v>
      </c>
      <c r="G470">
        <v>0</v>
      </c>
      <c r="H470">
        <f t="shared" si="7"/>
        <v>2</v>
      </c>
      <c r="K470" s="248">
        <v>0.18</v>
      </c>
      <c r="L470" s="249">
        <v>0</v>
      </c>
    </row>
    <row r="471" spans="1:12">
      <c r="A471">
        <v>2612</v>
      </c>
      <c r="C471">
        <v>0</v>
      </c>
      <c r="D471">
        <v>1</v>
      </c>
      <c r="E471">
        <v>2</v>
      </c>
      <c r="F471">
        <v>1</v>
      </c>
      <c r="G471">
        <v>0</v>
      </c>
      <c r="H471">
        <f t="shared" si="7"/>
        <v>4</v>
      </c>
      <c r="K471" s="248">
        <v>0.39</v>
      </c>
      <c r="L471" s="249">
        <v>258974358.97435898</v>
      </c>
    </row>
    <row r="472" spans="1:12">
      <c r="A472">
        <v>2613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f t="shared" si="7"/>
        <v>0</v>
      </c>
      <c r="K472" s="248">
        <v>-0.11</v>
      </c>
      <c r="L472" s="249">
        <v>90909090.909090906</v>
      </c>
    </row>
    <row r="473" spans="1:12">
      <c r="A473">
        <v>2614</v>
      </c>
      <c r="C473">
        <v>0</v>
      </c>
      <c r="D473">
        <v>1</v>
      </c>
      <c r="E473">
        <v>2</v>
      </c>
      <c r="F473">
        <v>0</v>
      </c>
      <c r="G473">
        <v>0</v>
      </c>
      <c r="H473">
        <f t="shared" si="7"/>
        <v>3</v>
      </c>
      <c r="K473" s="248">
        <v>-0.42</v>
      </c>
      <c r="L473" s="249">
        <v>690476190.47619045</v>
      </c>
    </row>
    <row r="474" spans="1:12">
      <c r="A474">
        <v>2615</v>
      </c>
      <c r="C474">
        <v>0</v>
      </c>
      <c r="D474">
        <v>1</v>
      </c>
      <c r="E474">
        <v>0</v>
      </c>
      <c r="F474">
        <v>1</v>
      </c>
      <c r="G474">
        <v>0</v>
      </c>
      <c r="H474">
        <f t="shared" si="7"/>
        <v>2</v>
      </c>
      <c r="K474" s="248">
        <v>0.48</v>
      </c>
      <c r="L474" s="249">
        <v>2197916666.666667</v>
      </c>
    </row>
    <row r="475" spans="1:12">
      <c r="A475">
        <v>2616</v>
      </c>
      <c r="C475">
        <v>0</v>
      </c>
      <c r="D475">
        <v>1</v>
      </c>
      <c r="E475">
        <v>1</v>
      </c>
      <c r="F475">
        <v>1</v>
      </c>
      <c r="G475">
        <v>0</v>
      </c>
      <c r="H475">
        <f t="shared" si="7"/>
        <v>3</v>
      </c>
      <c r="K475" s="248">
        <v>0.55000000000000004</v>
      </c>
      <c r="L475" s="249">
        <v>110909090.90909091</v>
      </c>
    </row>
    <row r="476" spans="1:12">
      <c r="A476">
        <v>2617</v>
      </c>
      <c r="C476">
        <v>0</v>
      </c>
      <c r="D476">
        <v>1</v>
      </c>
      <c r="E476">
        <v>1</v>
      </c>
      <c r="F476">
        <v>1</v>
      </c>
      <c r="G476">
        <v>0</v>
      </c>
      <c r="H476">
        <f t="shared" si="7"/>
        <v>3</v>
      </c>
      <c r="K476" s="248">
        <v>0.12</v>
      </c>
      <c r="L476" s="249">
        <v>433333333.33333337</v>
      </c>
    </row>
    <row r="477" spans="1:12">
      <c r="A477">
        <v>2618</v>
      </c>
      <c r="C477">
        <v>1</v>
      </c>
      <c r="D477">
        <v>1</v>
      </c>
      <c r="E477">
        <v>2</v>
      </c>
      <c r="F477">
        <v>1</v>
      </c>
      <c r="G477">
        <v>0</v>
      </c>
      <c r="H477">
        <f t="shared" si="7"/>
        <v>5</v>
      </c>
      <c r="K477" s="248">
        <v>0.6</v>
      </c>
      <c r="L477" s="249">
        <v>3870000000</v>
      </c>
    </row>
    <row r="478" spans="1:12">
      <c r="A478">
        <v>2634</v>
      </c>
      <c r="C478">
        <v>1</v>
      </c>
      <c r="D478">
        <v>1</v>
      </c>
      <c r="E478">
        <v>0</v>
      </c>
      <c r="F478">
        <v>1</v>
      </c>
      <c r="G478">
        <v>0</v>
      </c>
      <c r="H478">
        <f t="shared" si="7"/>
        <v>3</v>
      </c>
      <c r="K478" s="248">
        <v>0.87</v>
      </c>
      <c r="L478" s="249">
        <v>912643678.16091955</v>
      </c>
    </row>
    <row r="479" spans="1:12">
      <c r="A479">
        <v>2636</v>
      </c>
      <c r="C479">
        <v>0</v>
      </c>
      <c r="D479">
        <v>0</v>
      </c>
      <c r="E479">
        <v>1</v>
      </c>
      <c r="F479">
        <v>1</v>
      </c>
      <c r="G479">
        <v>0</v>
      </c>
      <c r="H479">
        <f t="shared" si="7"/>
        <v>2</v>
      </c>
      <c r="K479" s="248">
        <v>0.83</v>
      </c>
      <c r="L479" s="249">
        <v>106024096.38554217</v>
      </c>
    </row>
    <row r="480" spans="1:12">
      <c r="A480">
        <v>2637</v>
      </c>
      <c r="C480">
        <v>1</v>
      </c>
      <c r="D480">
        <v>1</v>
      </c>
      <c r="E480">
        <v>2</v>
      </c>
      <c r="F480">
        <v>1</v>
      </c>
      <c r="G480">
        <v>1</v>
      </c>
      <c r="H480">
        <f t="shared" si="7"/>
        <v>6</v>
      </c>
      <c r="K480" s="248">
        <v>1.43</v>
      </c>
      <c r="L480" s="249">
        <v>507692307.69230771</v>
      </c>
    </row>
    <row r="481" spans="1:12">
      <c r="A481">
        <v>2640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f t="shared" si="7"/>
        <v>0</v>
      </c>
      <c r="K481" s="248">
        <v>1.06</v>
      </c>
      <c r="L481" s="249">
        <v>44339622.641509429</v>
      </c>
    </row>
    <row r="482" spans="1:12">
      <c r="A482">
        <v>2641</v>
      </c>
      <c r="C482">
        <v>0</v>
      </c>
      <c r="D482">
        <v>0</v>
      </c>
      <c r="E482">
        <v>1</v>
      </c>
      <c r="F482">
        <v>1</v>
      </c>
      <c r="G482">
        <v>0</v>
      </c>
      <c r="H482">
        <f t="shared" si="7"/>
        <v>2</v>
      </c>
      <c r="K482" s="248">
        <v>0.02</v>
      </c>
      <c r="L482" s="249">
        <v>150000000</v>
      </c>
    </row>
    <row r="483" spans="1:12">
      <c r="A483">
        <v>2642</v>
      </c>
      <c r="C483">
        <v>0</v>
      </c>
      <c r="D483">
        <v>0</v>
      </c>
      <c r="E483">
        <v>2</v>
      </c>
      <c r="F483">
        <v>1</v>
      </c>
      <c r="G483">
        <v>0</v>
      </c>
      <c r="H483">
        <f t="shared" si="7"/>
        <v>3</v>
      </c>
      <c r="K483" s="248">
        <v>7.0000000000000007E-2</v>
      </c>
      <c r="L483" s="249">
        <v>99999999.999999985</v>
      </c>
    </row>
    <row r="484" spans="1:12">
      <c r="A484">
        <v>2701</v>
      </c>
      <c r="C484">
        <v>1</v>
      </c>
      <c r="D484">
        <v>1</v>
      </c>
      <c r="E484">
        <v>2</v>
      </c>
      <c r="F484">
        <v>1</v>
      </c>
      <c r="G484">
        <v>1</v>
      </c>
      <c r="H484">
        <f t="shared" si="7"/>
        <v>6</v>
      </c>
      <c r="K484" s="248">
        <v>0.3</v>
      </c>
      <c r="L484" s="249">
        <v>393333333.33333337</v>
      </c>
    </row>
    <row r="485" spans="1:12">
      <c r="A485">
        <v>2702</v>
      </c>
      <c r="C485">
        <v>1</v>
      </c>
      <c r="D485">
        <v>1</v>
      </c>
      <c r="E485">
        <v>1</v>
      </c>
      <c r="F485">
        <v>1</v>
      </c>
      <c r="G485">
        <v>1</v>
      </c>
      <c r="H485">
        <f t="shared" si="7"/>
        <v>5</v>
      </c>
      <c r="K485" s="248">
        <v>0.2</v>
      </c>
      <c r="L485" s="249">
        <v>95000000</v>
      </c>
    </row>
    <row r="486" spans="1:12">
      <c r="A486">
        <v>2704</v>
      </c>
      <c r="C486">
        <v>0</v>
      </c>
      <c r="D486">
        <v>1</v>
      </c>
      <c r="E486">
        <v>0</v>
      </c>
      <c r="F486">
        <v>1</v>
      </c>
      <c r="G486">
        <v>0</v>
      </c>
      <c r="H486">
        <f t="shared" si="7"/>
        <v>2</v>
      </c>
      <c r="K486" s="248">
        <v>0.43</v>
      </c>
      <c r="L486" s="249">
        <v>362790697.67441863</v>
      </c>
    </row>
    <row r="487" spans="1:12">
      <c r="A487">
        <v>2705</v>
      </c>
      <c r="C487">
        <v>0</v>
      </c>
      <c r="D487">
        <v>1</v>
      </c>
      <c r="E487">
        <v>0</v>
      </c>
      <c r="F487">
        <v>1</v>
      </c>
      <c r="G487">
        <v>0</v>
      </c>
      <c r="H487">
        <f t="shared" si="7"/>
        <v>2</v>
      </c>
      <c r="K487" s="248">
        <v>7.0000000000000007E-2</v>
      </c>
      <c r="L487" s="249">
        <v>328571428.57142854</v>
      </c>
    </row>
    <row r="488" spans="1:12">
      <c r="A488">
        <v>2706</v>
      </c>
      <c r="C488">
        <v>1</v>
      </c>
      <c r="D488">
        <v>1</v>
      </c>
      <c r="E488">
        <v>1</v>
      </c>
      <c r="F488">
        <v>1</v>
      </c>
      <c r="G488">
        <v>0</v>
      </c>
      <c r="H488">
        <f t="shared" si="7"/>
        <v>4</v>
      </c>
      <c r="K488" s="248">
        <v>0.38</v>
      </c>
      <c r="L488" s="249">
        <v>415789473.68421054</v>
      </c>
    </row>
    <row r="489" spans="1:12">
      <c r="A489">
        <v>2707</v>
      </c>
      <c r="C489">
        <v>0</v>
      </c>
      <c r="D489">
        <v>0</v>
      </c>
      <c r="E489">
        <v>0</v>
      </c>
      <c r="F489">
        <v>1</v>
      </c>
      <c r="G489">
        <v>0</v>
      </c>
      <c r="H489">
        <f t="shared" si="7"/>
        <v>1</v>
      </c>
      <c r="K489" s="248">
        <v>1.68</v>
      </c>
      <c r="L489" s="249">
        <v>126785714.28571428</v>
      </c>
    </row>
    <row r="490" spans="1:12">
      <c r="A490">
        <v>2712</v>
      </c>
      <c r="C490">
        <v>0</v>
      </c>
      <c r="D490">
        <v>1</v>
      </c>
      <c r="E490">
        <v>0</v>
      </c>
      <c r="F490">
        <v>1</v>
      </c>
      <c r="G490">
        <v>0</v>
      </c>
      <c r="H490">
        <f t="shared" si="7"/>
        <v>2</v>
      </c>
      <c r="K490" s="248">
        <v>0.43</v>
      </c>
      <c r="L490" s="249">
        <v>106976744.18604651</v>
      </c>
    </row>
    <row r="491" spans="1:12">
      <c r="A491">
        <v>2718</v>
      </c>
      <c r="C491">
        <v>0</v>
      </c>
      <c r="D491">
        <v>1</v>
      </c>
      <c r="E491">
        <v>1</v>
      </c>
      <c r="F491">
        <v>1</v>
      </c>
      <c r="G491">
        <v>0</v>
      </c>
      <c r="H491">
        <f t="shared" si="7"/>
        <v>3</v>
      </c>
      <c r="K491" s="248">
        <v>0.26</v>
      </c>
      <c r="L491" s="249">
        <v>23076923.076923076</v>
      </c>
    </row>
    <row r="492" spans="1:12">
      <c r="A492">
        <v>2719</v>
      </c>
      <c r="C492">
        <v>0</v>
      </c>
      <c r="D492">
        <v>0</v>
      </c>
      <c r="E492">
        <v>0</v>
      </c>
      <c r="F492">
        <v>0</v>
      </c>
      <c r="G492">
        <v>0</v>
      </c>
      <c r="H492">
        <f t="shared" si="7"/>
        <v>0</v>
      </c>
      <c r="K492" s="248">
        <v>-0.24</v>
      </c>
      <c r="L492" s="249">
        <v>37500000</v>
      </c>
    </row>
    <row r="493" spans="1:12">
      <c r="A493">
        <v>2722</v>
      </c>
      <c r="C493">
        <v>0</v>
      </c>
      <c r="D493">
        <v>1</v>
      </c>
      <c r="E493">
        <v>0</v>
      </c>
      <c r="F493">
        <v>0</v>
      </c>
      <c r="G493">
        <v>0</v>
      </c>
      <c r="H493">
        <f t="shared" si="7"/>
        <v>1</v>
      </c>
      <c r="K493" s="248">
        <v>0.93</v>
      </c>
      <c r="L493" s="249">
        <v>94623655.913978487</v>
      </c>
    </row>
    <row r="494" spans="1:12">
      <c r="A494">
        <v>2723</v>
      </c>
      <c r="C494">
        <v>1</v>
      </c>
      <c r="D494">
        <v>1</v>
      </c>
      <c r="E494">
        <v>2</v>
      </c>
      <c r="F494">
        <v>1</v>
      </c>
      <c r="G494">
        <v>0</v>
      </c>
      <c r="H494">
        <f t="shared" si="7"/>
        <v>5</v>
      </c>
      <c r="K494" s="248">
        <v>2.93</v>
      </c>
      <c r="L494" s="249">
        <v>141296928.32764503</v>
      </c>
    </row>
    <row r="495" spans="1:12">
      <c r="A495">
        <v>2724</v>
      </c>
      <c r="C495">
        <v>0</v>
      </c>
      <c r="D495">
        <v>0</v>
      </c>
      <c r="E495">
        <v>2</v>
      </c>
      <c r="F495">
        <v>1</v>
      </c>
      <c r="G495">
        <v>0</v>
      </c>
      <c r="H495">
        <f t="shared" si="7"/>
        <v>3</v>
      </c>
      <c r="K495" s="248">
        <v>-1.72</v>
      </c>
      <c r="L495" s="249">
        <v>38372093.023255818</v>
      </c>
    </row>
    <row r="496" spans="1:12">
      <c r="A496">
        <v>2726</v>
      </c>
      <c r="C496">
        <v>1</v>
      </c>
      <c r="D496">
        <v>1</v>
      </c>
      <c r="E496">
        <v>2</v>
      </c>
      <c r="F496">
        <v>1</v>
      </c>
      <c r="G496">
        <v>0</v>
      </c>
      <c r="H496">
        <f t="shared" si="7"/>
        <v>5</v>
      </c>
      <c r="K496" s="248">
        <v>1.33</v>
      </c>
      <c r="L496" s="249">
        <v>27067669.172932331</v>
      </c>
    </row>
    <row r="497" spans="1:12">
      <c r="A497">
        <v>2727</v>
      </c>
      <c r="C497">
        <v>0</v>
      </c>
      <c r="D497">
        <v>0</v>
      </c>
      <c r="E497">
        <v>0</v>
      </c>
      <c r="F497">
        <v>1</v>
      </c>
      <c r="G497">
        <v>0</v>
      </c>
      <c r="H497">
        <f t="shared" si="7"/>
        <v>1</v>
      </c>
      <c r="K497" s="248">
        <v>-0.04</v>
      </c>
      <c r="L497" s="249">
        <v>75000000</v>
      </c>
    </row>
    <row r="498" spans="1:12">
      <c r="A498">
        <v>2729</v>
      </c>
      <c r="C498">
        <v>0</v>
      </c>
      <c r="D498">
        <v>0</v>
      </c>
      <c r="E498">
        <v>1</v>
      </c>
      <c r="F498">
        <v>1</v>
      </c>
      <c r="G498">
        <v>0</v>
      </c>
      <c r="H498">
        <f t="shared" si="7"/>
        <v>2</v>
      </c>
      <c r="K498" s="248">
        <v>3.13</v>
      </c>
      <c r="L498" s="249">
        <v>23322683.706070289</v>
      </c>
    </row>
    <row r="499" spans="1:12">
      <c r="A499">
        <v>2731</v>
      </c>
      <c r="C499">
        <v>0</v>
      </c>
      <c r="D499">
        <v>0</v>
      </c>
      <c r="E499">
        <v>1</v>
      </c>
      <c r="F499">
        <v>0</v>
      </c>
      <c r="G499">
        <v>0</v>
      </c>
      <c r="H499">
        <f t="shared" si="7"/>
        <v>1</v>
      </c>
      <c r="K499" s="248">
        <v>1.45</v>
      </c>
      <c r="L499" s="249">
        <v>69655172.413793102</v>
      </c>
    </row>
    <row r="500" spans="1:12">
      <c r="A500">
        <v>2732</v>
      </c>
      <c r="C500">
        <v>0</v>
      </c>
      <c r="D500">
        <v>1</v>
      </c>
      <c r="E500">
        <v>2</v>
      </c>
      <c r="F500">
        <v>1</v>
      </c>
      <c r="G500">
        <v>0</v>
      </c>
      <c r="H500">
        <f t="shared" si="7"/>
        <v>4</v>
      </c>
      <c r="K500" s="248">
        <v>1.7</v>
      </c>
      <c r="L500" s="249">
        <v>27647058.823529411</v>
      </c>
    </row>
    <row r="501" spans="1:12">
      <c r="A501">
        <v>2734</v>
      </c>
      <c r="C501">
        <v>0</v>
      </c>
      <c r="D501">
        <v>0</v>
      </c>
      <c r="E501">
        <v>2</v>
      </c>
      <c r="F501">
        <v>0</v>
      </c>
      <c r="G501">
        <v>1</v>
      </c>
      <c r="H501">
        <f t="shared" si="7"/>
        <v>3</v>
      </c>
      <c r="K501" s="248">
        <v>-0.34</v>
      </c>
      <c r="L501" s="249">
        <v>29411764.705882352</v>
      </c>
    </row>
    <row r="502" spans="1:12">
      <c r="A502">
        <v>2841</v>
      </c>
      <c r="C502">
        <v>0</v>
      </c>
      <c r="D502">
        <v>0</v>
      </c>
      <c r="E502">
        <v>1</v>
      </c>
      <c r="F502">
        <v>0</v>
      </c>
      <c r="G502">
        <v>0</v>
      </c>
      <c r="H502">
        <f t="shared" si="7"/>
        <v>1</v>
      </c>
      <c r="K502" s="248">
        <v>0.28000000000000003</v>
      </c>
      <c r="L502" s="249">
        <v>703571428.57142854</v>
      </c>
    </row>
    <row r="503" spans="1:12">
      <c r="A503">
        <v>2901</v>
      </c>
      <c r="C503">
        <v>1</v>
      </c>
      <c r="D503">
        <v>1</v>
      </c>
      <c r="E503">
        <v>0</v>
      </c>
      <c r="F503">
        <v>1</v>
      </c>
      <c r="G503">
        <v>0</v>
      </c>
      <c r="H503">
        <f t="shared" si="7"/>
        <v>3</v>
      </c>
      <c r="K503" s="248">
        <v>0.28999999999999998</v>
      </c>
      <c r="L503" s="249">
        <v>72413793.103448287</v>
      </c>
    </row>
    <row r="504" spans="1:12">
      <c r="A504">
        <v>2903</v>
      </c>
      <c r="C504">
        <v>1</v>
      </c>
      <c r="D504">
        <v>1</v>
      </c>
      <c r="E504">
        <v>0</v>
      </c>
      <c r="F504">
        <v>0</v>
      </c>
      <c r="G504">
        <v>0</v>
      </c>
      <c r="H504">
        <f t="shared" si="7"/>
        <v>2</v>
      </c>
      <c r="K504" s="248">
        <v>0.51</v>
      </c>
      <c r="L504" s="249">
        <v>1427450980.3921568</v>
      </c>
    </row>
    <row r="505" spans="1:12">
      <c r="A505">
        <v>2904</v>
      </c>
      <c r="C505">
        <v>0</v>
      </c>
      <c r="D505">
        <v>1</v>
      </c>
      <c r="E505">
        <v>1</v>
      </c>
      <c r="F505">
        <v>1</v>
      </c>
      <c r="G505">
        <v>0</v>
      </c>
      <c r="H505">
        <f t="shared" si="7"/>
        <v>3</v>
      </c>
      <c r="K505" s="248">
        <v>0.56999999999999995</v>
      </c>
      <c r="L505" s="249">
        <v>70175438.596491233</v>
      </c>
    </row>
    <row r="506" spans="1:12">
      <c r="A506">
        <v>2906</v>
      </c>
      <c r="C506">
        <v>0</v>
      </c>
      <c r="D506">
        <v>0</v>
      </c>
      <c r="E506">
        <v>2</v>
      </c>
      <c r="F506">
        <v>0</v>
      </c>
      <c r="G506">
        <v>0</v>
      </c>
      <c r="H506">
        <f t="shared" si="7"/>
        <v>2</v>
      </c>
      <c r="K506" s="248">
        <v>-0.1</v>
      </c>
      <c r="L506" s="249">
        <v>200000000</v>
      </c>
    </row>
    <row r="507" spans="1:12">
      <c r="A507">
        <v>2908</v>
      </c>
      <c r="C507">
        <v>0</v>
      </c>
      <c r="D507">
        <v>1</v>
      </c>
      <c r="E507">
        <v>0</v>
      </c>
      <c r="F507">
        <v>0</v>
      </c>
      <c r="G507">
        <v>0</v>
      </c>
      <c r="H507">
        <f t="shared" si="7"/>
        <v>1</v>
      </c>
      <c r="K507" s="248">
        <v>0.3</v>
      </c>
      <c r="L507" s="249">
        <v>506666666.66666669</v>
      </c>
    </row>
    <row r="508" spans="1:12">
      <c r="A508">
        <v>2910</v>
      </c>
      <c r="C508">
        <v>0</v>
      </c>
      <c r="D508">
        <v>0</v>
      </c>
      <c r="E508">
        <v>0</v>
      </c>
      <c r="F508">
        <v>1</v>
      </c>
      <c r="G508">
        <v>0</v>
      </c>
      <c r="H508">
        <f t="shared" si="7"/>
        <v>1</v>
      </c>
      <c r="K508" s="248">
        <v>7.0000000000000007E-2</v>
      </c>
      <c r="L508" s="249">
        <v>185714285.7142857</v>
      </c>
    </row>
    <row r="509" spans="1:12">
      <c r="A509">
        <v>2911</v>
      </c>
      <c r="C509">
        <v>0</v>
      </c>
      <c r="D509">
        <v>1</v>
      </c>
      <c r="E509">
        <v>0</v>
      </c>
      <c r="F509">
        <v>0</v>
      </c>
      <c r="G509">
        <v>0</v>
      </c>
      <c r="H509">
        <f t="shared" si="7"/>
        <v>1</v>
      </c>
      <c r="K509" s="248">
        <v>-0.02</v>
      </c>
      <c r="L509" s="249">
        <v>250000000</v>
      </c>
    </row>
    <row r="510" spans="1:12">
      <c r="A510">
        <v>2912</v>
      </c>
      <c r="C510">
        <v>0</v>
      </c>
      <c r="D510">
        <v>1</v>
      </c>
      <c r="E510">
        <v>0</v>
      </c>
      <c r="F510">
        <v>1</v>
      </c>
      <c r="G510">
        <v>0</v>
      </c>
      <c r="H510">
        <f t="shared" si="7"/>
        <v>2</v>
      </c>
      <c r="K510" s="248">
        <v>2.36</v>
      </c>
      <c r="L510" s="249">
        <v>1040677966.1016949</v>
      </c>
    </row>
    <row r="511" spans="1:12">
      <c r="A511">
        <v>2913</v>
      </c>
      <c r="C511">
        <v>0</v>
      </c>
      <c r="D511">
        <v>1</v>
      </c>
      <c r="E511">
        <v>0</v>
      </c>
      <c r="F511">
        <v>0</v>
      </c>
      <c r="G511">
        <v>0</v>
      </c>
      <c r="H511">
        <f t="shared" si="7"/>
        <v>1</v>
      </c>
      <c r="K511" s="248">
        <v>0.24</v>
      </c>
      <c r="L511" s="249">
        <v>795833333.33333337</v>
      </c>
    </row>
    <row r="512" spans="1:12">
      <c r="A512">
        <v>2915</v>
      </c>
      <c r="C512">
        <v>0</v>
      </c>
      <c r="D512">
        <v>1</v>
      </c>
      <c r="E512">
        <v>1</v>
      </c>
      <c r="F512">
        <v>1</v>
      </c>
      <c r="G512">
        <v>0</v>
      </c>
      <c r="H512">
        <f t="shared" si="7"/>
        <v>3</v>
      </c>
      <c r="K512" s="248">
        <v>3</v>
      </c>
      <c r="L512" s="249">
        <v>889333333.33333337</v>
      </c>
    </row>
    <row r="513" spans="1:12">
      <c r="A513">
        <v>2916</v>
      </c>
      <c r="C513">
        <v>0</v>
      </c>
      <c r="D513">
        <v>1</v>
      </c>
      <c r="E513">
        <v>0</v>
      </c>
      <c r="F513">
        <v>0</v>
      </c>
      <c r="G513">
        <v>0</v>
      </c>
      <c r="H513">
        <f t="shared" si="7"/>
        <v>1</v>
      </c>
      <c r="K513" s="248">
        <v>-0.12</v>
      </c>
      <c r="L513" s="249">
        <v>58333333.333333336</v>
      </c>
    </row>
    <row r="514" spans="1:12">
      <c r="A514">
        <v>2923</v>
      </c>
      <c r="C514">
        <v>0</v>
      </c>
      <c r="D514">
        <v>0</v>
      </c>
      <c r="E514">
        <v>2</v>
      </c>
      <c r="F514">
        <v>1</v>
      </c>
      <c r="G514">
        <v>1</v>
      </c>
      <c r="H514">
        <f t="shared" ref="H514:H577" si="8">SUM(C514:G514)</f>
        <v>4</v>
      </c>
      <c r="K514" s="248">
        <v>0.45</v>
      </c>
      <c r="L514" s="249">
        <v>1722222222.2222221</v>
      </c>
    </row>
    <row r="515" spans="1:12">
      <c r="A515">
        <v>2924</v>
      </c>
      <c r="C515">
        <v>0</v>
      </c>
      <c r="D515">
        <v>1</v>
      </c>
      <c r="E515">
        <v>0</v>
      </c>
      <c r="F515">
        <v>0</v>
      </c>
      <c r="G515">
        <v>0</v>
      </c>
      <c r="H515">
        <f t="shared" si="8"/>
        <v>1</v>
      </c>
      <c r="K515" s="248">
        <v>0.15</v>
      </c>
      <c r="L515" s="249">
        <v>33333333.333333336</v>
      </c>
    </row>
    <row r="516" spans="1:12">
      <c r="A516">
        <v>2926</v>
      </c>
      <c r="C516">
        <v>0</v>
      </c>
      <c r="D516">
        <v>1</v>
      </c>
      <c r="E516">
        <v>0</v>
      </c>
      <c r="F516">
        <v>1</v>
      </c>
      <c r="G516">
        <v>0</v>
      </c>
      <c r="H516">
        <f t="shared" si="8"/>
        <v>2</v>
      </c>
      <c r="K516" s="248">
        <v>2.1800000000000002</v>
      </c>
      <c r="L516" s="249">
        <v>44954128.440366969</v>
      </c>
    </row>
    <row r="517" spans="1:12">
      <c r="A517">
        <v>2929</v>
      </c>
      <c r="C517">
        <v>0</v>
      </c>
      <c r="D517">
        <v>0</v>
      </c>
      <c r="E517">
        <v>0</v>
      </c>
      <c r="F517">
        <v>1</v>
      </c>
      <c r="G517">
        <v>0</v>
      </c>
      <c r="H517">
        <f t="shared" si="8"/>
        <v>1</v>
      </c>
      <c r="K517" s="248">
        <v>2.67</v>
      </c>
      <c r="L517" s="249">
        <v>58052434.456928842</v>
      </c>
    </row>
    <row r="518" spans="1:12">
      <c r="A518">
        <v>3002</v>
      </c>
      <c r="C518">
        <v>0</v>
      </c>
      <c r="D518">
        <v>0</v>
      </c>
      <c r="E518">
        <v>2</v>
      </c>
      <c r="F518">
        <v>1</v>
      </c>
      <c r="G518">
        <v>0</v>
      </c>
      <c r="H518">
        <f t="shared" si="8"/>
        <v>3</v>
      </c>
      <c r="K518" s="248">
        <v>0.05</v>
      </c>
      <c r="L518" s="249">
        <v>100000000</v>
      </c>
    </row>
    <row r="519" spans="1:12">
      <c r="A519">
        <v>3003</v>
      </c>
      <c r="C519">
        <v>1</v>
      </c>
      <c r="D519">
        <v>1</v>
      </c>
      <c r="E519">
        <v>0</v>
      </c>
      <c r="F519">
        <v>0</v>
      </c>
      <c r="G519">
        <v>0</v>
      </c>
      <c r="H519">
        <f t="shared" si="8"/>
        <v>2</v>
      </c>
      <c r="K519" s="248">
        <v>0.88</v>
      </c>
      <c r="L519" s="249">
        <v>155681818.18181819</v>
      </c>
    </row>
    <row r="520" spans="1:12">
      <c r="A520">
        <v>3004</v>
      </c>
      <c r="C520">
        <v>1</v>
      </c>
      <c r="D520">
        <v>1</v>
      </c>
      <c r="E520">
        <v>0</v>
      </c>
      <c r="F520">
        <v>1</v>
      </c>
      <c r="G520">
        <v>1</v>
      </c>
      <c r="H520">
        <f t="shared" si="8"/>
        <v>4</v>
      </c>
      <c r="K520" s="248">
        <v>1.32</v>
      </c>
      <c r="L520" s="249">
        <v>52272727.272727273</v>
      </c>
    </row>
    <row r="521" spans="1:12">
      <c r="A521">
        <v>3005</v>
      </c>
      <c r="C521">
        <v>0</v>
      </c>
      <c r="D521">
        <v>1</v>
      </c>
      <c r="E521">
        <v>0</v>
      </c>
      <c r="F521">
        <v>1</v>
      </c>
      <c r="G521">
        <v>0</v>
      </c>
      <c r="H521">
        <f t="shared" si="8"/>
        <v>2</v>
      </c>
      <c r="K521" s="248">
        <v>0.44</v>
      </c>
      <c r="L521" s="249">
        <v>581818181.81818187</v>
      </c>
    </row>
    <row r="522" spans="1:12">
      <c r="A522">
        <v>3006</v>
      </c>
      <c r="C522">
        <v>0</v>
      </c>
      <c r="D522">
        <v>1</v>
      </c>
      <c r="E522">
        <v>0</v>
      </c>
      <c r="F522">
        <v>1</v>
      </c>
      <c r="G522">
        <v>0</v>
      </c>
      <c r="H522">
        <f t="shared" si="8"/>
        <v>2</v>
      </c>
      <c r="K522" s="248">
        <v>0.59</v>
      </c>
      <c r="L522" s="249">
        <v>266101694.91525427</v>
      </c>
    </row>
    <row r="523" spans="1:12">
      <c r="A523">
        <v>3008</v>
      </c>
      <c r="C523">
        <v>1</v>
      </c>
      <c r="D523">
        <v>1</v>
      </c>
      <c r="E523">
        <v>0</v>
      </c>
      <c r="F523">
        <v>1</v>
      </c>
      <c r="G523">
        <v>0</v>
      </c>
      <c r="H523">
        <f t="shared" si="8"/>
        <v>3</v>
      </c>
      <c r="K523" s="248">
        <v>61.17</v>
      </c>
      <c r="L523" s="249">
        <v>134150727.48079124</v>
      </c>
    </row>
    <row r="524" spans="1:12">
      <c r="A524">
        <v>3010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f t="shared" si="8"/>
        <v>1</v>
      </c>
      <c r="K524" s="248">
        <v>1.24</v>
      </c>
      <c r="L524" s="249">
        <v>230645161.29032257</v>
      </c>
    </row>
    <row r="525" spans="1:12">
      <c r="A525">
        <v>3011</v>
      </c>
      <c r="C525">
        <v>0</v>
      </c>
      <c r="D525">
        <v>1</v>
      </c>
      <c r="E525">
        <v>0</v>
      </c>
      <c r="F525">
        <v>0</v>
      </c>
      <c r="G525">
        <v>0</v>
      </c>
      <c r="H525">
        <f t="shared" si="8"/>
        <v>1</v>
      </c>
      <c r="K525" s="248">
        <v>-0.33</v>
      </c>
      <c r="L525" s="249">
        <v>115151515.15151514</v>
      </c>
    </row>
    <row r="526" spans="1:12">
      <c r="A526">
        <v>3013</v>
      </c>
      <c r="C526">
        <v>0</v>
      </c>
      <c r="D526">
        <v>1</v>
      </c>
      <c r="E526">
        <v>0</v>
      </c>
      <c r="F526">
        <v>1</v>
      </c>
      <c r="G526">
        <v>0</v>
      </c>
      <c r="H526">
        <f t="shared" si="8"/>
        <v>2</v>
      </c>
      <c r="K526" s="248">
        <v>0.4</v>
      </c>
      <c r="L526" s="249">
        <v>177500000</v>
      </c>
    </row>
    <row r="527" spans="1:12">
      <c r="A527">
        <v>3014</v>
      </c>
      <c r="C527">
        <v>0</v>
      </c>
      <c r="D527">
        <v>1</v>
      </c>
      <c r="E527">
        <v>1</v>
      </c>
      <c r="F527">
        <v>1</v>
      </c>
      <c r="G527">
        <v>0</v>
      </c>
      <c r="H527">
        <f t="shared" si="8"/>
        <v>3</v>
      </c>
      <c r="K527" s="248">
        <v>0.74</v>
      </c>
      <c r="L527" s="249">
        <v>154054054.05405405</v>
      </c>
    </row>
    <row r="528" spans="1:12">
      <c r="A528">
        <v>3015</v>
      </c>
      <c r="C528">
        <v>1</v>
      </c>
      <c r="D528">
        <v>1</v>
      </c>
      <c r="E528">
        <v>0</v>
      </c>
      <c r="F528">
        <v>1</v>
      </c>
      <c r="G528">
        <v>0</v>
      </c>
      <c r="H528">
        <f t="shared" si="8"/>
        <v>3</v>
      </c>
      <c r="K528" s="248">
        <v>0.7</v>
      </c>
      <c r="L528" s="249">
        <v>210000000</v>
      </c>
    </row>
    <row r="529" spans="1:12">
      <c r="A529">
        <v>3016</v>
      </c>
      <c r="C529">
        <v>1</v>
      </c>
      <c r="D529">
        <v>1</v>
      </c>
      <c r="E529">
        <v>0</v>
      </c>
      <c r="F529">
        <v>0</v>
      </c>
      <c r="G529">
        <v>0</v>
      </c>
      <c r="H529">
        <f t="shared" si="8"/>
        <v>2</v>
      </c>
      <c r="K529" s="248">
        <v>0.26</v>
      </c>
      <c r="L529" s="249">
        <v>92307692.307692304</v>
      </c>
    </row>
    <row r="530" spans="1:12">
      <c r="A530">
        <v>3017</v>
      </c>
      <c r="C530">
        <v>0</v>
      </c>
      <c r="D530">
        <v>1</v>
      </c>
      <c r="E530">
        <v>2</v>
      </c>
      <c r="F530">
        <v>0</v>
      </c>
      <c r="G530">
        <v>0</v>
      </c>
      <c r="H530">
        <f t="shared" si="8"/>
        <v>3</v>
      </c>
      <c r="K530" s="248">
        <v>0.62</v>
      </c>
      <c r="L530" s="249">
        <v>353225806.45161289</v>
      </c>
    </row>
    <row r="531" spans="1:12">
      <c r="A531">
        <v>3018</v>
      </c>
      <c r="C531">
        <v>0</v>
      </c>
      <c r="D531">
        <v>0</v>
      </c>
      <c r="E531">
        <v>0</v>
      </c>
      <c r="F531">
        <v>0</v>
      </c>
      <c r="G531">
        <v>0</v>
      </c>
      <c r="H531">
        <f t="shared" si="8"/>
        <v>0</v>
      </c>
      <c r="K531" s="248">
        <v>-0.05</v>
      </c>
      <c r="L531" s="249">
        <v>40000000</v>
      </c>
    </row>
    <row r="532" spans="1:12">
      <c r="A532">
        <v>3019</v>
      </c>
      <c r="C532">
        <v>1</v>
      </c>
      <c r="D532">
        <v>1</v>
      </c>
      <c r="E532">
        <v>1</v>
      </c>
      <c r="F532">
        <v>1</v>
      </c>
      <c r="G532">
        <v>0</v>
      </c>
      <c r="H532">
        <f t="shared" si="8"/>
        <v>4</v>
      </c>
      <c r="K532" s="248">
        <v>0.64</v>
      </c>
      <c r="L532" s="249">
        <v>282812500</v>
      </c>
    </row>
    <row r="533" spans="1:12">
      <c r="A533">
        <v>3021</v>
      </c>
      <c r="C533">
        <v>1</v>
      </c>
      <c r="D533">
        <v>1</v>
      </c>
      <c r="E533">
        <v>0</v>
      </c>
      <c r="F533">
        <v>1</v>
      </c>
      <c r="G533">
        <v>0</v>
      </c>
      <c r="H533">
        <f t="shared" si="8"/>
        <v>3</v>
      </c>
      <c r="K533" s="248">
        <v>0.28999999999999998</v>
      </c>
      <c r="L533" s="249">
        <v>103448275.86206897</v>
      </c>
    </row>
    <row r="534" spans="1:12">
      <c r="A534">
        <v>3022</v>
      </c>
      <c r="C534">
        <v>0</v>
      </c>
      <c r="D534">
        <v>1</v>
      </c>
      <c r="E534">
        <v>0</v>
      </c>
      <c r="F534">
        <v>1</v>
      </c>
      <c r="G534">
        <v>0</v>
      </c>
      <c r="H534">
        <f t="shared" si="8"/>
        <v>2</v>
      </c>
      <c r="K534" s="248">
        <v>0.88</v>
      </c>
      <c r="L534" s="249">
        <v>328409090.90909094</v>
      </c>
    </row>
    <row r="535" spans="1:12">
      <c r="A535">
        <v>3023</v>
      </c>
      <c r="C535">
        <v>1</v>
      </c>
      <c r="D535">
        <v>1</v>
      </c>
      <c r="E535">
        <v>0</v>
      </c>
      <c r="F535">
        <v>1</v>
      </c>
      <c r="G535">
        <v>0</v>
      </c>
      <c r="H535">
        <f t="shared" si="8"/>
        <v>3</v>
      </c>
      <c r="K535" s="248">
        <v>1.38</v>
      </c>
      <c r="L535" s="249">
        <v>214492753.62318844</v>
      </c>
    </row>
    <row r="536" spans="1:12">
      <c r="A536">
        <v>3024</v>
      </c>
      <c r="C536">
        <v>0</v>
      </c>
      <c r="D536">
        <v>0</v>
      </c>
      <c r="E536">
        <v>0</v>
      </c>
      <c r="F536">
        <v>0</v>
      </c>
      <c r="G536">
        <v>0</v>
      </c>
      <c r="H536">
        <f t="shared" si="8"/>
        <v>0</v>
      </c>
      <c r="K536" s="248">
        <v>-0.34</v>
      </c>
      <c r="L536" s="249">
        <v>279411764.70588231</v>
      </c>
    </row>
    <row r="537" spans="1:12">
      <c r="A537">
        <v>3025</v>
      </c>
      <c r="C537">
        <v>0</v>
      </c>
      <c r="D537">
        <v>0</v>
      </c>
      <c r="E537">
        <v>0</v>
      </c>
      <c r="F537">
        <v>0</v>
      </c>
      <c r="G537">
        <v>0</v>
      </c>
      <c r="H537">
        <f t="shared" si="8"/>
        <v>0</v>
      </c>
      <c r="K537" s="248">
        <v>-0.06</v>
      </c>
      <c r="L537" s="249">
        <v>83333333.333333343</v>
      </c>
    </row>
    <row r="538" spans="1:12">
      <c r="A538">
        <v>3026</v>
      </c>
      <c r="C538">
        <v>0</v>
      </c>
      <c r="D538">
        <v>0</v>
      </c>
      <c r="E538">
        <v>0</v>
      </c>
      <c r="F538">
        <v>0</v>
      </c>
      <c r="G538">
        <v>0</v>
      </c>
      <c r="H538">
        <f t="shared" si="8"/>
        <v>0</v>
      </c>
      <c r="K538" s="248">
        <v>0.82</v>
      </c>
      <c r="L538" s="249">
        <v>223170731.70731708</v>
      </c>
    </row>
    <row r="539" spans="1:12">
      <c r="A539">
        <v>3027</v>
      </c>
      <c r="C539">
        <v>0</v>
      </c>
      <c r="D539">
        <v>0</v>
      </c>
      <c r="E539">
        <v>2</v>
      </c>
      <c r="F539">
        <v>0</v>
      </c>
      <c r="G539">
        <v>0</v>
      </c>
      <c r="H539">
        <f t="shared" si="8"/>
        <v>2</v>
      </c>
      <c r="K539" s="248">
        <v>0.13</v>
      </c>
      <c r="L539" s="249">
        <v>92307692.307692304</v>
      </c>
    </row>
    <row r="540" spans="1:12">
      <c r="A540">
        <v>3028</v>
      </c>
      <c r="C540">
        <v>0</v>
      </c>
      <c r="D540">
        <v>1</v>
      </c>
      <c r="E540">
        <v>0</v>
      </c>
      <c r="F540">
        <v>0</v>
      </c>
      <c r="G540">
        <v>0</v>
      </c>
      <c r="H540">
        <f t="shared" si="8"/>
        <v>1</v>
      </c>
      <c r="K540" s="248">
        <v>0.41</v>
      </c>
      <c r="L540" s="249">
        <v>214634146.34146342</v>
      </c>
    </row>
    <row r="541" spans="1:12">
      <c r="A541">
        <v>3029</v>
      </c>
      <c r="C541">
        <v>0</v>
      </c>
      <c r="D541">
        <v>1</v>
      </c>
      <c r="E541">
        <v>1</v>
      </c>
      <c r="F541">
        <v>0</v>
      </c>
      <c r="G541">
        <v>0</v>
      </c>
      <c r="H541">
        <f t="shared" si="8"/>
        <v>2</v>
      </c>
      <c r="K541" s="248">
        <v>0.5</v>
      </c>
      <c r="L541" s="249">
        <v>120000000</v>
      </c>
    </row>
    <row r="542" spans="1:12">
      <c r="A542">
        <v>3030</v>
      </c>
      <c r="C542">
        <v>0</v>
      </c>
      <c r="D542">
        <v>1</v>
      </c>
      <c r="E542">
        <v>0</v>
      </c>
      <c r="F542">
        <v>0</v>
      </c>
      <c r="G542">
        <v>0</v>
      </c>
      <c r="H542">
        <f t="shared" si="8"/>
        <v>1</v>
      </c>
      <c r="K542" s="248">
        <v>1.81</v>
      </c>
      <c r="L542" s="249">
        <v>236464088.39779004</v>
      </c>
    </row>
    <row r="543" spans="1:12">
      <c r="A543">
        <v>3031</v>
      </c>
      <c r="C543">
        <v>1</v>
      </c>
      <c r="D543">
        <v>1</v>
      </c>
      <c r="E543">
        <v>0</v>
      </c>
      <c r="F543">
        <v>1</v>
      </c>
      <c r="G543">
        <v>0</v>
      </c>
      <c r="H543">
        <f t="shared" si="8"/>
        <v>3</v>
      </c>
      <c r="K543" s="248">
        <v>0.26</v>
      </c>
      <c r="L543" s="249">
        <v>196153846.15384614</v>
      </c>
    </row>
    <row r="544" spans="1:12">
      <c r="A544">
        <v>3032</v>
      </c>
      <c r="C544">
        <v>1</v>
      </c>
      <c r="D544">
        <v>1</v>
      </c>
      <c r="E544">
        <v>1</v>
      </c>
      <c r="F544">
        <v>1</v>
      </c>
      <c r="G544">
        <v>0</v>
      </c>
      <c r="H544">
        <f t="shared" si="8"/>
        <v>4</v>
      </c>
      <c r="K544" s="248">
        <v>0.84</v>
      </c>
      <c r="L544" s="249">
        <v>103571428.57142858</v>
      </c>
    </row>
    <row r="545" spans="1:12">
      <c r="A545">
        <v>3033</v>
      </c>
      <c r="C545">
        <v>0</v>
      </c>
      <c r="D545">
        <v>1</v>
      </c>
      <c r="E545">
        <v>2</v>
      </c>
      <c r="F545">
        <v>0</v>
      </c>
      <c r="G545">
        <v>0</v>
      </c>
      <c r="H545">
        <f t="shared" si="8"/>
        <v>3</v>
      </c>
      <c r="K545" s="248">
        <v>0.45</v>
      </c>
      <c r="L545" s="249">
        <v>277777777.77777779</v>
      </c>
    </row>
    <row r="546" spans="1:12">
      <c r="A546">
        <v>3034</v>
      </c>
      <c r="C546">
        <v>0</v>
      </c>
      <c r="D546">
        <v>1</v>
      </c>
      <c r="E546">
        <v>1</v>
      </c>
      <c r="F546">
        <v>1</v>
      </c>
      <c r="G546">
        <v>0</v>
      </c>
      <c r="H546">
        <f t="shared" si="8"/>
        <v>3</v>
      </c>
      <c r="K546" s="248">
        <v>2.79</v>
      </c>
      <c r="L546" s="249">
        <v>608602150.53763437</v>
      </c>
    </row>
    <row r="547" spans="1:12">
      <c r="A547">
        <v>3035</v>
      </c>
      <c r="C547">
        <v>0</v>
      </c>
      <c r="D547">
        <v>1</v>
      </c>
      <c r="E547">
        <v>0</v>
      </c>
      <c r="F547">
        <v>0</v>
      </c>
      <c r="G547">
        <v>0</v>
      </c>
      <c r="H547">
        <f t="shared" si="8"/>
        <v>1</v>
      </c>
      <c r="K547" s="248">
        <v>0.43</v>
      </c>
      <c r="L547" s="249">
        <v>390697674.41860467</v>
      </c>
    </row>
    <row r="548" spans="1:12">
      <c r="A548">
        <v>3036</v>
      </c>
      <c r="C548">
        <v>0</v>
      </c>
      <c r="D548">
        <v>1</v>
      </c>
      <c r="E548">
        <v>0</v>
      </c>
      <c r="F548">
        <v>0</v>
      </c>
      <c r="G548">
        <v>0</v>
      </c>
      <c r="H548">
        <f t="shared" si="8"/>
        <v>1</v>
      </c>
      <c r="K548" s="248">
        <v>1.1399999999999999</v>
      </c>
      <c r="L548" s="249">
        <v>445614035.08771932</v>
      </c>
    </row>
    <row r="549" spans="1:12">
      <c r="A549">
        <v>3037</v>
      </c>
      <c r="C549">
        <v>0</v>
      </c>
      <c r="D549">
        <v>1</v>
      </c>
      <c r="E549">
        <v>1</v>
      </c>
      <c r="F549">
        <v>1</v>
      </c>
      <c r="G549">
        <v>0</v>
      </c>
      <c r="H549">
        <f t="shared" si="8"/>
        <v>3</v>
      </c>
      <c r="K549" s="248">
        <v>0.1</v>
      </c>
      <c r="L549" s="249">
        <v>1580000000</v>
      </c>
    </row>
    <row r="550" spans="1:12">
      <c r="A550">
        <v>3038</v>
      </c>
      <c r="C550">
        <v>1</v>
      </c>
      <c r="D550">
        <v>1</v>
      </c>
      <c r="E550">
        <v>0</v>
      </c>
      <c r="F550">
        <v>1</v>
      </c>
      <c r="G550">
        <v>0</v>
      </c>
      <c r="H550">
        <f t="shared" si="8"/>
        <v>3</v>
      </c>
      <c r="K550" s="248">
        <v>0.48</v>
      </c>
      <c r="L550" s="249">
        <v>214583333.33333334</v>
      </c>
    </row>
    <row r="551" spans="1:12">
      <c r="A551">
        <v>3040</v>
      </c>
      <c r="C551">
        <v>0</v>
      </c>
      <c r="D551">
        <v>1</v>
      </c>
      <c r="E551">
        <v>1</v>
      </c>
      <c r="F551">
        <v>0</v>
      </c>
      <c r="G551">
        <v>0</v>
      </c>
      <c r="H551">
        <f t="shared" si="8"/>
        <v>2</v>
      </c>
      <c r="K551" s="248">
        <v>0.86</v>
      </c>
      <c r="L551" s="249">
        <v>62790697.674418606</v>
      </c>
    </row>
    <row r="552" spans="1:12">
      <c r="A552">
        <v>3041</v>
      </c>
      <c r="C552">
        <v>0</v>
      </c>
      <c r="D552">
        <v>1</v>
      </c>
      <c r="E552">
        <v>0</v>
      </c>
      <c r="F552">
        <v>1</v>
      </c>
      <c r="G552">
        <v>0</v>
      </c>
      <c r="H552">
        <f t="shared" si="8"/>
        <v>2</v>
      </c>
      <c r="K552" s="248">
        <v>0.11</v>
      </c>
      <c r="L552" s="249">
        <v>281818181.81818181</v>
      </c>
    </row>
    <row r="553" spans="1:12">
      <c r="A553">
        <v>3042</v>
      </c>
      <c r="C553">
        <v>1</v>
      </c>
      <c r="D553">
        <v>1</v>
      </c>
      <c r="E553">
        <v>1</v>
      </c>
      <c r="F553">
        <v>1</v>
      </c>
      <c r="G553">
        <v>0</v>
      </c>
      <c r="H553">
        <f t="shared" si="8"/>
        <v>4</v>
      </c>
      <c r="K553" s="248">
        <v>0.92</v>
      </c>
      <c r="L553" s="249">
        <v>310869565.21739131</v>
      </c>
    </row>
    <row r="554" spans="1:12">
      <c r="A554">
        <v>3043</v>
      </c>
      <c r="C554">
        <v>0</v>
      </c>
      <c r="D554">
        <v>1</v>
      </c>
      <c r="E554">
        <v>1</v>
      </c>
      <c r="F554">
        <v>0</v>
      </c>
      <c r="G554">
        <v>0</v>
      </c>
      <c r="H554">
        <f t="shared" si="8"/>
        <v>2</v>
      </c>
      <c r="K554" s="248">
        <v>-0.01</v>
      </c>
      <c r="L554" s="249">
        <v>200000000</v>
      </c>
    </row>
    <row r="555" spans="1:12">
      <c r="A555">
        <v>3044</v>
      </c>
      <c r="C555">
        <v>1</v>
      </c>
      <c r="D555">
        <v>1</v>
      </c>
      <c r="E555">
        <v>2</v>
      </c>
      <c r="F555">
        <v>1</v>
      </c>
      <c r="G555">
        <v>0</v>
      </c>
      <c r="H555">
        <f t="shared" si="8"/>
        <v>5</v>
      </c>
      <c r="K555" s="248">
        <v>1.81</v>
      </c>
      <c r="L555" s="249">
        <v>524309392.26519334</v>
      </c>
    </row>
    <row r="556" spans="1:12">
      <c r="A556">
        <v>3045</v>
      </c>
      <c r="C556">
        <v>1</v>
      </c>
      <c r="D556">
        <v>1</v>
      </c>
      <c r="E556">
        <v>1</v>
      </c>
      <c r="F556">
        <v>1</v>
      </c>
      <c r="G556">
        <v>0</v>
      </c>
      <c r="H556">
        <f t="shared" si="8"/>
        <v>4</v>
      </c>
      <c r="K556" s="248">
        <v>1.53</v>
      </c>
      <c r="L556" s="249">
        <v>2718300653.5947714</v>
      </c>
    </row>
    <row r="557" spans="1:12">
      <c r="A557">
        <v>3046</v>
      </c>
      <c r="C557">
        <v>1</v>
      </c>
      <c r="D557">
        <v>1</v>
      </c>
      <c r="E557">
        <v>2</v>
      </c>
      <c r="F557">
        <v>1</v>
      </c>
      <c r="G557">
        <v>0</v>
      </c>
      <c r="H557">
        <f t="shared" si="8"/>
        <v>5</v>
      </c>
      <c r="K557" s="248">
        <v>-0.11</v>
      </c>
      <c r="L557" s="249">
        <v>118181818.18181819</v>
      </c>
    </row>
    <row r="558" spans="1:12">
      <c r="A558">
        <v>3047</v>
      </c>
      <c r="C558">
        <v>1</v>
      </c>
      <c r="D558">
        <v>1</v>
      </c>
      <c r="E558">
        <v>0</v>
      </c>
      <c r="F558">
        <v>1</v>
      </c>
      <c r="G558">
        <v>0</v>
      </c>
      <c r="H558">
        <f t="shared" si="8"/>
        <v>3</v>
      </c>
      <c r="K558" s="248">
        <v>0.46</v>
      </c>
      <c r="L558" s="249">
        <v>195652173.91304347</v>
      </c>
    </row>
    <row r="559" spans="1:12">
      <c r="A559">
        <v>3048</v>
      </c>
      <c r="C559">
        <v>0</v>
      </c>
      <c r="D559">
        <v>1</v>
      </c>
      <c r="E559">
        <v>1</v>
      </c>
      <c r="F559">
        <v>0</v>
      </c>
      <c r="G559">
        <v>0</v>
      </c>
      <c r="H559">
        <f t="shared" si="8"/>
        <v>2</v>
      </c>
      <c r="K559" s="248">
        <v>0.68</v>
      </c>
      <c r="L559" s="249">
        <v>201470588.2352941</v>
      </c>
    </row>
    <row r="560" spans="1:12">
      <c r="A560">
        <v>3049</v>
      </c>
      <c r="C560">
        <v>1</v>
      </c>
      <c r="D560">
        <v>1</v>
      </c>
      <c r="E560">
        <v>2</v>
      </c>
      <c r="F560">
        <v>1</v>
      </c>
      <c r="G560">
        <v>0</v>
      </c>
      <c r="H560">
        <f t="shared" si="8"/>
        <v>5</v>
      </c>
      <c r="K560" s="248">
        <v>0.25</v>
      </c>
      <c r="L560" s="249">
        <v>732000000</v>
      </c>
    </row>
    <row r="561" spans="1:12">
      <c r="A561">
        <v>3050</v>
      </c>
      <c r="C561">
        <v>0</v>
      </c>
      <c r="D561">
        <v>1</v>
      </c>
      <c r="E561">
        <v>0</v>
      </c>
      <c r="F561">
        <v>1</v>
      </c>
      <c r="G561">
        <v>0</v>
      </c>
      <c r="H561">
        <f t="shared" si="8"/>
        <v>2</v>
      </c>
      <c r="K561" s="248">
        <v>0.14000000000000001</v>
      </c>
      <c r="L561" s="249">
        <v>171428571.4285714</v>
      </c>
    </row>
    <row r="562" spans="1:12">
      <c r="A562">
        <v>3051</v>
      </c>
      <c r="C562">
        <v>0</v>
      </c>
      <c r="D562">
        <v>1</v>
      </c>
      <c r="E562">
        <v>0</v>
      </c>
      <c r="F562">
        <v>1</v>
      </c>
      <c r="G562">
        <v>0</v>
      </c>
      <c r="H562">
        <f t="shared" si="8"/>
        <v>2</v>
      </c>
      <c r="K562" s="248">
        <v>0.41</v>
      </c>
      <c r="L562" s="249">
        <v>326829268.29268295</v>
      </c>
    </row>
    <row r="563" spans="1:12">
      <c r="A563">
        <v>3052</v>
      </c>
      <c r="C563">
        <v>0</v>
      </c>
      <c r="D563">
        <v>1</v>
      </c>
      <c r="E563">
        <v>1</v>
      </c>
      <c r="F563">
        <v>0</v>
      </c>
      <c r="G563">
        <v>0</v>
      </c>
      <c r="H563">
        <f t="shared" si="8"/>
        <v>2</v>
      </c>
      <c r="K563" s="248">
        <v>0.16</v>
      </c>
      <c r="L563" s="249">
        <v>206250000</v>
      </c>
    </row>
    <row r="564" spans="1:12">
      <c r="A564">
        <v>3054</v>
      </c>
      <c r="C564">
        <v>0</v>
      </c>
      <c r="D564">
        <v>0</v>
      </c>
      <c r="E564">
        <v>0</v>
      </c>
      <c r="F564">
        <v>1</v>
      </c>
      <c r="G564">
        <v>0</v>
      </c>
      <c r="H564">
        <f t="shared" si="8"/>
        <v>1</v>
      </c>
      <c r="K564" s="248">
        <v>-0.19</v>
      </c>
      <c r="L564" s="249">
        <v>105263157.89473684</v>
      </c>
    </row>
    <row r="565" spans="1:12">
      <c r="A565">
        <v>3055</v>
      </c>
      <c r="C565">
        <v>0</v>
      </c>
      <c r="D565">
        <v>0</v>
      </c>
      <c r="E565">
        <v>0</v>
      </c>
      <c r="F565">
        <v>0</v>
      </c>
      <c r="G565">
        <v>0</v>
      </c>
      <c r="H565">
        <f t="shared" si="8"/>
        <v>0</v>
      </c>
      <c r="K565" s="248">
        <v>0.1</v>
      </c>
      <c r="L565" s="249">
        <v>130000000</v>
      </c>
    </row>
    <row r="566" spans="1:12">
      <c r="A566">
        <v>3056</v>
      </c>
      <c r="C566">
        <v>0</v>
      </c>
      <c r="D566">
        <v>0</v>
      </c>
      <c r="E566">
        <v>0</v>
      </c>
      <c r="F566">
        <v>0</v>
      </c>
      <c r="G566">
        <v>0</v>
      </c>
      <c r="H566">
        <f t="shared" si="8"/>
        <v>0</v>
      </c>
      <c r="K566" s="248">
        <v>2.8</v>
      </c>
      <c r="L566" s="249">
        <v>199642857.14285716</v>
      </c>
    </row>
    <row r="567" spans="1:12">
      <c r="A567">
        <v>3057</v>
      </c>
      <c r="C567">
        <v>0</v>
      </c>
      <c r="D567">
        <v>1</v>
      </c>
      <c r="E567">
        <v>0</v>
      </c>
      <c r="F567">
        <v>1</v>
      </c>
      <c r="G567">
        <v>0</v>
      </c>
      <c r="H567">
        <f t="shared" si="8"/>
        <v>2</v>
      </c>
      <c r="K567" s="248">
        <v>0.12</v>
      </c>
      <c r="L567" s="249">
        <v>166666666.66666669</v>
      </c>
    </row>
    <row r="568" spans="1:12">
      <c r="A568">
        <v>3058</v>
      </c>
      <c r="C568">
        <v>0</v>
      </c>
      <c r="D568">
        <v>0</v>
      </c>
      <c r="E568">
        <v>0</v>
      </c>
      <c r="F568">
        <v>1</v>
      </c>
      <c r="G568">
        <v>0</v>
      </c>
      <c r="H568">
        <f t="shared" si="8"/>
        <v>1</v>
      </c>
      <c r="K568" s="248">
        <v>7.0000000000000007E-2</v>
      </c>
      <c r="L568" s="249">
        <v>157142857.14285713</v>
      </c>
    </row>
    <row r="569" spans="1:12">
      <c r="A569">
        <v>3059</v>
      </c>
      <c r="C569">
        <v>1</v>
      </c>
      <c r="D569">
        <v>1</v>
      </c>
      <c r="E569">
        <v>1</v>
      </c>
      <c r="F569">
        <v>0</v>
      </c>
      <c r="G569">
        <v>0</v>
      </c>
      <c r="H569">
        <f t="shared" si="8"/>
        <v>3</v>
      </c>
      <c r="K569" s="248">
        <v>0.73</v>
      </c>
      <c r="L569" s="249">
        <v>269863013.69863015</v>
      </c>
    </row>
    <row r="570" spans="1:12">
      <c r="A570">
        <v>3060</v>
      </c>
      <c r="C570">
        <v>1</v>
      </c>
      <c r="D570">
        <v>1</v>
      </c>
      <c r="E570">
        <v>0</v>
      </c>
      <c r="F570">
        <v>1</v>
      </c>
      <c r="G570">
        <v>0</v>
      </c>
      <c r="H570">
        <f t="shared" si="8"/>
        <v>3</v>
      </c>
      <c r="K570" s="248">
        <v>1.7</v>
      </c>
      <c r="L570" s="249">
        <v>174117647.05882353</v>
      </c>
    </row>
    <row r="571" spans="1:12">
      <c r="A571">
        <v>3062</v>
      </c>
      <c r="C571">
        <v>0</v>
      </c>
      <c r="D571">
        <v>1</v>
      </c>
      <c r="E571">
        <v>0</v>
      </c>
      <c r="F571">
        <v>1</v>
      </c>
      <c r="G571">
        <v>0</v>
      </c>
      <c r="H571">
        <f t="shared" si="8"/>
        <v>2</v>
      </c>
      <c r="K571" s="248">
        <v>0.38</v>
      </c>
      <c r="L571" s="249">
        <v>323684210.52631581</v>
      </c>
    </row>
    <row r="572" spans="1:12">
      <c r="A572">
        <v>3064</v>
      </c>
      <c r="C572">
        <v>0</v>
      </c>
      <c r="D572">
        <v>1</v>
      </c>
      <c r="E572">
        <v>1</v>
      </c>
      <c r="F572">
        <v>0</v>
      </c>
      <c r="G572">
        <v>0</v>
      </c>
      <c r="H572">
        <f t="shared" si="8"/>
        <v>2</v>
      </c>
      <c r="K572" s="248">
        <v>-0.57999999999999996</v>
      </c>
      <c r="L572" s="249">
        <v>72413793.103448287</v>
      </c>
    </row>
    <row r="573" spans="1:12">
      <c r="A573">
        <v>3066</v>
      </c>
      <c r="C573">
        <v>0</v>
      </c>
      <c r="D573">
        <v>0</v>
      </c>
      <c r="E573">
        <v>0</v>
      </c>
      <c r="F573">
        <v>1</v>
      </c>
      <c r="G573">
        <v>0</v>
      </c>
      <c r="H573">
        <f t="shared" si="8"/>
        <v>1</v>
      </c>
      <c r="K573" s="248">
        <v>-0.37</v>
      </c>
      <c r="L573" s="249">
        <v>83783783.783783779</v>
      </c>
    </row>
    <row r="574" spans="1:12">
      <c r="A574">
        <v>3067</v>
      </c>
      <c r="C574">
        <v>0</v>
      </c>
      <c r="D574">
        <v>0</v>
      </c>
      <c r="E574">
        <v>0</v>
      </c>
      <c r="F574">
        <v>0</v>
      </c>
      <c r="G574">
        <v>0</v>
      </c>
      <c r="H574">
        <f t="shared" si="8"/>
        <v>0</v>
      </c>
      <c r="K574" s="248">
        <v>-0.39</v>
      </c>
      <c r="L574" s="249">
        <v>28205128.205128204</v>
      </c>
    </row>
    <row r="575" spans="1:12">
      <c r="A575">
        <v>3068</v>
      </c>
      <c r="C575">
        <v>1</v>
      </c>
      <c r="D575">
        <v>1</v>
      </c>
      <c r="E575">
        <v>2</v>
      </c>
      <c r="F575">
        <v>1</v>
      </c>
      <c r="G575">
        <v>0</v>
      </c>
      <c r="H575">
        <f t="shared" si="8"/>
        <v>5</v>
      </c>
      <c r="K575" s="248">
        <v>0.71</v>
      </c>
      <c r="L575" s="249">
        <v>84507042.253521129</v>
      </c>
    </row>
    <row r="576" spans="1:12">
      <c r="A576">
        <v>3071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f t="shared" si="8"/>
        <v>0</v>
      </c>
      <c r="K576" s="248">
        <v>0.01</v>
      </c>
      <c r="L576" s="249">
        <v>200000000</v>
      </c>
    </row>
    <row r="577" spans="1:12">
      <c r="A577">
        <v>3073</v>
      </c>
      <c r="C577">
        <v>0</v>
      </c>
      <c r="D577">
        <v>1</v>
      </c>
      <c r="E577">
        <v>0</v>
      </c>
      <c r="F577">
        <v>0</v>
      </c>
      <c r="G577">
        <v>0</v>
      </c>
      <c r="H577">
        <f t="shared" si="8"/>
        <v>1</v>
      </c>
      <c r="K577" s="248">
        <v>-0.1</v>
      </c>
      <c r="L577" s="249">
        <v>50000000</v>
      </c>
    </row>
    <row r="578" spans="1:12">
      <c r="A578">
        <v>3078</v>
      </c>
      <c r="C578">
        <v>1</v>
      </c>
      <c r="D578">
        <v>1</v>
      </c>
      <c r="E578">
        <v>2</v>
      </c>
      <c r="F578">
        <v>0</v>
      </c>
      <c r="G578">
        <v>0</v>
      </c>
      <c r="H578">
        <f t="shared" ref="H578:H641" si="9">SUM(C578:G578)</f>
        <v>4</v>
      </c>
      <c r="K578" s="248">
        <v>0.83</v>
      </c>
      <c r="L578" s="249">
        <v>227710843.373494</v>
      </c>
    </row>
    <row r="579" spans="1:12">
      <c r="A579">
        <v>3081</v>
      </c>
      <c r="C579">
        <v>1</v>
      </c>
      <c r="D579">
        <v>0</v>
      </c>
      <c r="E579">
        <v>0</v>
      </c>
      <c r="F579">
        <v>0</v>
      </c>
      <c r="G579">
        <v>0</v>
      </c>
      <c r="H579">
        <f t="shared" si="9"/>
        <v>1</v>
      </c>
      <c r="K579" s="248">
        <v>4.0599999999999996</v>
      </c>
      <c r="L579" s="249">
        <v>68719211.822660103</v>
      </c>
    </row>
    <row r="580" spans="1:12">
      <c r="A580">
        <v>3083</v>
      </c>
      <c r="C580">
        <v>0</v>
      </c>
      <c r="D580">
        <v>0</v>
      </c>
      <c r="E580">
        <v>1</v>
      </c>
      <c r="F580">
        <v>1</v>
      </c>
      <c r="G580">
        <v>0</v>
      </c>
      <c r="H580">
        <f t="shared" si="9"/>
        <v>2</v>
      </c>
      <c r="K580" s="248">
        <v>-0.79</v>
      </c>
      <c r="L580" s="249">
        <v>86075949.367088601</v>
      </c>
    </row>
    <row r="581" spans="1:12">
      <c r="A581">
        <v>3085</v>
      </c>
      <c r="C581">
        <v>1</v>
      </c>
      <c r="D581">
        <v>1</v>
      </c>
      <c r="E581">
        <v>1</v>
      </c>
      <c r="F581">
        <v>0</v>
      </c>
      <c r="G581">
        <v>0</v>
      </c>
      <c r="H581">
        <f t="shared" si="9"/>
        <v>3</v>
      </c>
      <c r="K581" s="248">
        <v>0.01</v>
      </c>
      <c r="L581" s="249">
        <v>100000000</v>
      </c>
    </row>
    <row r="582" spans="1:12">
      <c r="A582">
        <v>3086</v>
      </c>
      <c r="C582">
        <v>1</v>
      </c>
      <c r="D582">
        <v>1</v>
      </c>
      <c r="E582">
        <v>1</v>
      </c>
      <c r="F582">
        <v>0</v>
      </c>
      <c r="G582">
        <v>0</v>
      </c>
      <c r="H582">
        <f t="shared" si="9"/>
        <v>3</v>
      </c>
      <c r="K582" s="248">
        <v>-0.51</v>
      </c>
      <c r="L582" s="249">
        <v>58823529.411764704</v>
      </c>
    </row>
    <row r="583" spans="1:12">
      <c r="A583">
        <v>3088</v>
      </c>
      <c r="C583">
        <v>1</v>
      </c>
      <c r="D583">
        <v>1</v>
      </c>
      <c r="E583">
        <v>1</v>
      </c>
      <c r="F583">
        <v>1</v>
      </c>
      <c r="G583">
        <v>0</v>
      </c>
      <c r="H583">
        <f t="shared" si="9"/>
        <v>4</v>
      </c>
      <c r="K583" s="248">
        <v>1.9</v>
      </c>
      <c r="L583" s="249">
        <v>78947368.421052635</v>
      </c>
    </row>
    <row r="584" spans="1:12">
      <c r="A584">
        <v>3089</v>
      </c>
      <c r="C584">
        <v>0</v>
      </c>
      <c r="D584">
        <v>1</v>
      </c>
      <c r="E584">
        <v>0</v>
      </c>
      <c r="F584">
        <v>0</v>
      </c>
      <c r="G584">
        <v>0</v>
      </c>
      <c r="H584">
        <f t="shared" si="9"/>
        <v>1</v>
      </c>
      <c r="K584" s="248">
        <v>-0.98</v>
      </c>
      <c r="L584" s="249">
        <v>70408163.26530613</v>
      </c>
    </row>
    <row r="585" spans="1:12">
      <c r="A585">
        <v>3090</v>
      </c>
      <c r="C585">
        <v>0</v>
      </c>
      <c r="D585">
        <v>1</v>
      </c>
      <c r="E585">
        <v>0</v>
      </c>
      <c r="F585">
        <v>1</v>
      </c>
      <c r="G585">
        <v>0</v>
      </c>
      <c r="H585">
        <f t="shared" si="9"/>
        <v>2</v>
      </c>
      <c r="K585" s="248">
        <v>0.76</v>
      </c>
      <c r="L585" s="249">
        <v>168421052.63157895</v>
      </c>
    </row>
    <row r="586" spans="1:12">
      <c r="A586">
        <v>3092</v>
      </c>
      <c r="C586">
        <v>1</v>
      </c>
      <c r="D586">
        <v>1</v>
      </c>
      <c r="E586">
        <v>0</v>
      </c>
      <c r="F586">
        <v>0</v>
      </c>
      <c r="G586">
        <v>0</v>
      </c>
      <c r="H586">
        <f t="shared" si="9"/>
        <v>2</v>
      </c>
      <c r="K586" s="248">
        <v>0.69</v>
      </c>
      <c r="L586" s="249">
        <v>63768115.942028992</v>
      </c>
    </row>
    <row r="587" spans="1:12">
      <c r="A587">
        <v>3093</v>
      </c>
      <c r="C587">
        <v>0</v>
      </c>
      <c r="D587">
        <v>1</v>
      </c>
      <c r="E587">
        <v>2</v>
      </c>
      <c r="F587">
        <v>1</v>
      </c>
      <c r="G587">
        <v>0</v>
      </c>
      <c r="H587">
        <f t="shared" si="9"/>
        <v>4</v>
      </c>
      <c r="K587" s="248">
        <v>0.67</v>
      </c>
      <c r="L587" s="249">
        <v>35820895.522388056</v>
      </c>
    </row>
    <row r="588" spans="1:12">
      <c r="A588">
        <v>3094</v>
      </c>
      <c r="C588">
        <v>1</v>
      </c>
      <c r="D588">
        <v>1</v>
      </c>
      <c r="E588">
        <v>0</v>
      </c>
      <c r="F588">
        <v>1</v>
      </c>
      <c r="G588">
        <v>1</v>
      </c>
      <c r="H588">
        <f t="shared" si="9"/>
        <v>4</v>
      </c>
      <c r="K588" s="248">
        <v>0.34</v>
      </c>
      <c r="L588" s="249">
        <v>82352941.176470578</v>
      </c>
    </row>
    <row r="589" spans="1:12">
      <c r="A589">
        <v>3095</v>
      </c>
      <c r="C589">
        <v>0</v>
      </c>
      <c r="D589">
        <v>0</v>
      </c>
      <c r="E589">
        <v>2</v>
      </c>
      <c r="F589">
        <v>0</v>
      </c>
      <c r="G589">
        <v>0</v>
      </c>
      <c r="H589">
        <f t="shared" si="9"/>
        <v>2</v>
      </c>
      <c r="K589" s="248">
        <v>-2.41</v>
      </c>
      <c r="L589" s="249">
        <v>109543568.46473028</v>
      </c>
    </row>
    <row r="590" spans="1:12">
      <c r="A590">
        <v>3105</v>
      </c>
      <c r="C590">
        <v>1</v>
      </c>
      <c r="D590">
        <v>1</v>
      </c>
      <c r="E590">
        <v>0</v>
      </c>
      <c r="F590">
        <v>1</v>
      </c>
      <c r="G590">
        <v>1</v>
      </c>
      <c r="H590">
        <f t="shared" si="9"/>
        <v>4</v>
      </c>
      <c r="K590" s="248">
        <v>1.32</v>
      </c>
      <c r="L590" s="249">
        <v>609848484.84848487</v>
      </c>
    </row>
    <row r="591" spans="1:12">
      <c r="A591">
        <v>3114</v>
      </c>
      <c r="C591">
        <v>1</v>
      </c>
      <c r="D591">
        <v>1</v>
      </c>
      <c r="E591">
        <v>0</v>
      </c>
      <c r="F591">
        <v>1</v>
      </c>
      <c r="G591">
        <v>1</v>
      </c>
      <c r="H591">
        <f t="shared" si="9"/>
        <v>4</v>
      </c>
      <c r="K591" s="248">
        <v>0.91</v>
      </c>
      <c r="L591" s="249">
        <v>50549450.549450547</v>
      </c>
    </row>
    <row r="592" spans="1:12">
      <c r="A592">
        <v>3115</v>
      </c>
      <c r="C592">
        <v>0</v>
      </c>
      <c r="D592">
        <v>0</v>
      </c>
      <c r="E592">
        <v>0</v>
      </c>
      <c r="F592">
        <v>1</v>
      </c>
      <c r="G592">
        <v>0</v>
      </c>
      <c r="H592">
        <f t="shared" si="9"/>
        <v>1</v>
      </c>
      <c r="K592" s="248">
        <v>-0.09</v>
      </c>
      <c r="L592" s="249">
        <v>44444444.444444448</v>
      </c>
    </row>
    <row r="593" spans="1:12">
      <c r="A593">
        <v>3118</v>
      </c>
      <c r="C593">
        <v>0</v>
      </c>
      <c r="D593">
        <v>1</v>
      </c>
      <c r="E593">
        <v>1</v>
      </c>
      <c r="F593">
        <v>1</v>
      </c>
      <c r="G593">
        <v>0</v>
      </c>
      <c r="H593">
        <f t="shared" si="9"/>
        <v>3</v>
      </c>
      <c r="K593" s="248">
        <v>0.62</v>
      </c>
      <c r="L593" s="249">
        <v>32258064.516129032</v>
      </c>
    </row>
    <row r="594" spans="1:12">
      <c r="A594">
        <v>3122</v>
      </c>
      <c r="C594">
        <v>0</v>
      </c>
      <c r="D594">
        <v>0</v>
      </c>
      <c r="E594">
        <v>0</v>
      </c>
      <c r="F594">
        <v>1</v>
      </c>
      <c r="G594">
        <v>0</v>
      </c>
      <c r="H594">
        <f t="shared" si="9"/>
        <v>1</v>
      </c>
      <c r="K594" s="248">
        <v>0.19</v>
      </c>
      <c r="L594" s="249">
        <v>36842105.263157897</v>
      </c>
    </row>
    <row r="595" spans="1:12">
      <c r="A595">
        <v>3128</v>
      </c>
      <c r="C595">
        <v>0</v>
      </c>
      <c r="D595">
        <v>1</v>
      </c>
      <c r="E595">
        <v>0</v>
      </c>
      <c r="F595">
        <v>1</v>
      </c>
      <c r="G595">
        <v>0</v>
      </c>
      <c r="H595">
        <f t="shared" si="9"/>
        <v>2</v>
      </c>
      <c r="K595" s="248">
        <v>-0.01</v>
      </c>
      <c r="L595" s="249">
        <v>100000000</v>
      </c>
    </row>
    <row r="596" spans="1:12">
      <c r="A596">
        <v>3130</v>
      </c>
      <c r="C596">
        <v>0</v>
      </c>
      <c r="D596">
        <v>0</v>
      </c>
      <c r="E596">
        <v>1</v>
      </c>
      <c r="F596">
        <v>0</v>
      </c>
      <c r="G596">
        <v>1</v>
      </c>
      <c r="H596">
        <f t="shared" si="9"/>
        <v>2</v>
      </c>
      <c r="K596" s="248">
        <v>2.4900000000000002</v>
      </c>
      <c r="L596" s="249">
        <v>32931726.907630518</v>
      </c>
    </row>
    <row r="597" spans="1:12">
      <c r="A597">
        <v>3131</v>
      </c>
      <c r="C597">
        <v>0</v>
      </c>
      <c r="D597">
        <v>1</v>
      </c>
      <c r="E597">
        <v>0</v>
      </c>
      <c r="F597">
        <v>0</v>
      </c>
      <c r="G597">
        <v>0</v>
      </c>
      <c r="H597">
        <f t="shared" si="9"/>
        <v>1</v>
      </c>
      <c r="K597" s="248">
        <v>4.92</v>
      </c>
      <c r="L597" s="249">
        <v>24593495.934959348</v>
      </c>
    </row>
    <row r="598" spans="1:12">
      <c r="A598">
        <v>3141</v>
      </c>
      <c r="C598">
        <v>0</v>
      </c>
      <c r="D598">
        <v>1</v>
      </c>
      <c r="E598">
        <v>0</v>
      </c>
      <c r="F598">
        <v>1</v>
      </c>
      <c r="G598">
        <v>0</v>
      </c>
      <c r="H598">
        <f t="shared" si="9"/>
        <v>2</v>
      </c>
      <c r="K598" s="248">
        <v>0.28999999999999998</v>
      </c>
      <c r="L598" s="249">
        <v>103448275.86206897</v>
      </c>
    </row>
    <row r="599" spans="1:12">
      <c r="A599">
        <v>3144</v>
      </c>
      <c r="C599">
        <v>0</v>
      </c>
      <c r="D599">
        <v>1</v>
      </c>
      <c r="E599">
        <v>0</v>
      </c>
      <c r="F599">
        <v>1</v>
      </c>
      <c r="G599">
        <v>0</v>
      </c>
      <c r="H599">
        <f t="shared" si="9"/>
        <v>2</v>
      </c>
      <c r="K599" s="248">
        <v>0.5</v>
      </c>
      <c r="L599" s="249">
        <v>100000000</v>
      </c>
    </row>
    <row r="600" spans="1:12">
      <c r="A600">
        <v>3149</v>
      </c>
      <c r="C600">
        <v>0</v>
      </c>
      <c r="D600">
        <v>1</v>
      </c>
      <c r="E600">
        <v>2</v>
      </c>
      <c r="F600">
        <v>0</v>
      </c>
      <c r="G600">
        <v>0</v>
      </c>
      <c r="H600">
        <f t="shared" si="9"/>
        <v>3</v>
      </c>
      <c r="K600" s="248">
        <v>-2.1</v>
      </c>
      <c r="L600" s="249">
        <v>268571428.57142854</v>
      </c>
    </row>
    <row r="601" spans="1:12">
      <c r="A601">
        <v>3152</v>
      </c>
      <c r="C601">
        <v>1</v>
      </c>
      <c r="D601">
        <v>1</v>
      </c>
      <c r="E601">
        <v>1</v>
      </c>
      <c r="F601">
        <v>1</v>
      </c>
      <c r="G601">
        <v>1</v>
      </c>
      <c r="H601">
        <f t="shared" si="9"/>
        <v>5</v>
      </c>
      <c r="K601" s="248">
        <v>3.52</v>
      </c>
      <c r="L601" s="249">
        <v>69034090.909090906</v>
      </c>
    </row>
    <row r="602" spans="1:12">
      <c r="A602">
        <v>3162</v>
      </c>
      <c r="C602">
        <v>1</v>
      </c>
      <c r="D602">
        <v>1</v>
      </c>
      <c r="E602">
        <v>0</v>
      </c>
      <c r="F602">
        <v>0</v>
      </c>
      <c r="G602">
        <v>0</v>
      </c>
      <c r="H602">
        <f t="shared" si="9"/>
        <v>2</v>
      </c>
      <c r="K602" s="248">
        <v>0.11</v>
      </c>
      <c r="L602" s="249">
        <v>54545454.545454547</v>
      </c>
    </row>
    <row r="603" spans="1:12">
      <c r="A603">
        <v>3163</v>
      </c>
      <c r="C603">
        <v>0</v>
      </c>
      <c r="D603">
        <v>0</v>
      </c>
      <c r="E603">
        <v>0</v>
      </c>
      <c r="F603">
        <v>1</v>
      </c>
      <c r="G603">
        <v>0</v>
      </c>
      <c r="H603">
        <f t="shared" si="9"/>
        <v>1</v>
      </c>
      <c r="K603" s="248">
        <v>-0.25</v>
      </c>
      <c r="L603" s="249">
        <v>72000000</v>
      </c>
    </row>
    <row r="604" spans="1:12">
      <c r="A604">
        <v>3164</v>
      </c>
      <c r="C604">
        <v>1</v>
      </c>
      <c r="D604">
        <v>1</v>
      </c>
      <c r="E604">
        <v>0</v>
      </c>
      <c r="F604">
        <v>1</v>
      </c>
      <c r="G604">
        <v>0</v>
      </c>
      <c r="H604">
        <f t="shared" si="9"/>
        <v>3</v>
      </c>
      <c r="K604" s="248">
        <v>0.12</v>
      </c>
      <c r="L604" s="249">
        <v>91666666.666666672</v>
      </c>
    </row>
    <row r="605" spans="1:12">
      <c r="A605">
        <v>3167</v>
      </c>
      <c r="C605">
        <v>1</v>
      </c>
      <c r="D605">
        <v>1</v>
      </c>
      <c r="E605">
        <v>0</v>
      </c>
      <c r="F605">
        <v>1</v>
      </c>
      <c r="G605">
        <v>0</v>
      </c>
      <c r="H605">
        <f t="shared" si="9"/>
        <v>3</v>
      </c>
      <c r="K605" s="248">
        <v>1.1499999999999999</v>
      </c>
      <c r="L605" s="249">
        <v>80000000</v>
      </c>
    </row>
    <row r="606" spans="1:12">
      <c r="A606">
        <v>3169</v>
      </c>
      <c r="C606">
        <v>0</v>
      </c>
      <c r="D606">
        <v>0</v>
      </c>
      <c r="E606">
        <v>0</v>
      </c>
      <c r="F606">
        <v>1</v>
      </c>
      <c r="G606">
        <v>0</v>
      </c>
      <c r="H606">
        <f t="shared" si="9"/>
        <v>1</v>
      </c>
      <c r="K606" s="248">
        <v>0.42</v>
      </c>
      <c r="L606" s="249">
        <v>52380952.380952381</v>
      </c>
    </row>
    <row r="607" spans="1:12">
      <c r="A607">
        <v>3171</v>
      </c>
      <c r="C607">
        <v>0</v>
      </c>
      <c r="D607">
        <v>1</v>
      </c>
      <c r="E607">
        <v>1</v>
      </c>
      <c r="F607">
        <v>1</v>
      </c>
      <c r="G607">
        <v>0</v>
      </c>
      <c r="H607">
        <f t="shared" si="9"/>
        <v>3</v>
      </c>
      <c r="K607" s="248">
        <v>0.4</v>
      </c>
      <c r="L607" s="249">
        <v>57500000</v>
      </c>
    </row>
    <row r="608" spans="1:12">
      <c r="A608">
        <v>3176</v>
      </c>
      <c r="C608">
        <v>0</v>
      </c>
      <c r="D608">
        <v>1</v>
      </c>
      <c r="E608">
        <v>0</v>
      </c>
      <c r="F608">
        <v>1</v>
      </c>
      <c r="G608">
        <v>0</v>
      </c>
      <c r="H608">
        <f t="shared" si="9"/>
        <v>2</v>
      </c>
      <c r="K608" s="248">
        <v>-0.92</v>
      </c>
      <c r="L608" s="249">
        <v>138043478.26086956</v>
      </c>
    </row>
    <row r="609" spans="1:12">
      <c r="A609">
        <v>3188</v>
      </c>
      <c r="C609">
        <v>1</v>
      </c>
      <c r="D609">
        <v>1</v>
      </c>
      <c r="E609">
        <v>2</v>
      </c>
      <c r="F609">
        <v>1</v>
      </c>
      <c r="G609">
        <v>0</v>
      </c>
      <c r="H609">
        <f t="shared" si="9"/>
        <v>5</v>
      </c>
      <c r="K609" s="248">
        <v>0.17</v>
      </c>
      <c r="L609" s="249">
        <v>47058823.529411763</v>
      </c>
    </row>
    <row r="610" spans="1:12">
      <c r="A610">
        <v>3189</v>
      </c>
      <c r="C610">
        <v>0</v>
      </c>
      <c r="D610">
        <v>1</v>
      </c>
      <c r="E610">
        <v>0</v>
      </c>
      <c r="F610">
        <v>1</v>
      </c>
      <c r="G610">
        <v>0</v>
      </c>
      <c r="H610">
        <f t="shared" si="9"/>
        <v>2</v>
      </c>
      <c r="K610" s="248">
        <v>1.73</v>
      </c>
      <c r="L610" s="249">
        <v>445664739.8843931</v>
      </c>
    </row>
    <row r="611" spans="1:12">
      <c r="A611">
        <v>3191</v>
      </c>
      <c r="C611">
        <v>1</v>
      </c>
      <c r="D611">
        <v>1</v>
      </c>
      <c r="E611">
        <v>0</v>
      </c>
      <c r="F611">
        <v>0</v>
      </c>
      <c r="G611">
        <v>0</v>
      </c>
      <c r="H611">
        <f t="shared" si="9"/>
        <v>2</v>
      </c>
      <c r="K611" s="248">
        <v>-0.13</v>
      </c>
      <c r="L611" s="249">
        <v>53846153.846153848</v>
      </c>
    </row>
    <row r="612" spans="1:12">
      <c r="A612">
        <v>3202</v>
      </c>
      <c r="C612">
        <v>0</v>
      </c>
      <c r="D612">
        <v>1</v>
      </c>
      <c r="E612">
        <v>1</v>
      </c>
      <c r="F612">
        <v>0</v>
      </c>
      <c r="G612">
        <v>0</v>
      </c>
      <c r="H612">
        <f t="shared" si="9"/>
        <v>2</v>
      </c>
      <c r="K612" s="248">
        <v>0.05</v>
      </c>
      <c r="L612" s="249">
        <v>100000000</v>
      </c>
    </row>
    <row r="613" spans="1:12">
      <c r="A613">
        <v>3205</v>
      </c>
      <c r="C613">
        <v>1</v>
      </c>
      <c r="D613">
        <v>1</v>
      </c>
      <c r="E613">
        <v>2</v>
      </c>
      <c r="F613">
        <v>1</v>
      </c>
      <c r="G613">
        <v>0</v>
      </c>
      <c r="H613">
        <f t="shared" si="9"/>
        <v>5</v>
      </c>
      <c r="K613" s="248">
        <v>4.1100000000000003</v>
      </c>
      <c r="L613" s="249">
        <v>25304136.253041361</v>
      </c>
    </row>
    <row r="614" spans="1:12">
      <c r="A614">
        <v>3206</v>
      </c>
      <c r="C614">
        <v>0</v>
      </c>
      <c r="D614">
        <v>0</v>
      </c>
      <c r="E614">
        <v>0</v>
      </c>
      <c r="F614">
        <v>0</v>
      </c>
      <c r="G614">
        <v>0</v>
      </c>
      <c r="H614">
        <f t="shared" si="9"/>
        <v>0</v>
      </c>
      <c r="K614" s="248">
        <v>0.67</v>
      </c>
      <c r="L614" s="249">
        <v>43283582.089552239</v>
      </c>
    </row>
    <row r="615" spans="1:12">
      <c r="A615">
        <v>3207</v>
      </c>
      <c r="C615">
        <v>0</v>
      </c>
      <c r="D615">
        <v>1</v>
      </c>
      <c r="E615">
        <v>2</v>
      </c>
      <c r="F615">
        <v>0</v>
      </c>
      <c r="G615">
        <v>0</v>
      </c>
      <c r="H615">
        <f t="shared" si="9"/>
        <v>3</v>
      </c>
      <c r="K615" s="248">
        <v>-0.16</v>
      </c>
      <c r="L615" s="249">
        <v>37500000</v>
      </c>
    </row>
    <row r="616" spans="1:12">
      <c r="A616">
        <v>3209</v>
      </c>
      <c r="C616">
        <v>0</v>
      </c>
      <c r="D616">
        <v>1</v>
      </c>
      <c r="E616">
        <v>1</v>
      </c>
      <c r="F616">
        <v>0</v>
      </c>
      <c r="G616">
        <v>0</v>
      </c>
      <c r="H616">
        <f t="shared" si="9"/>
        <v>2</v>
      </c>
      <c r="K616" s="248">
        <v>1.04</v>
      </c>
      <c r="L616" s="249">
        <v>120192307.69230768</v>
      </c>
    </row>
    <row r="617" spans="1:12">
      <c r="A617">
        <v>3211</v>
      </c>
      <c r="C617">
        <v>0</v>
      </c>
      <c r="D617">
        <v>1</v>
      </c>
      <c r="E617">
        <v>0</v>
      </c>
      <c r="F617">
        <v>1</v>
      </c>
      <c r="G617">
        <v>0</v>
      </c>
      <c r="H617">
        <f t="shared" si="9"/>
        <v>2</v>
      </c>
      <c r="K617" s="248">
        <v>1.51</v>
      </c>
      <c r="L617" s="249">
        <v>150331125.82781458</v>
      </c>
    </row>
    <row r="618" spans="1:12">
      <c r="A618">
        <v>3213</v>
      </c>
      <c r="C618">
        <v>0</v>
      </c>
      <c r="D618">
        <v>1</v>
      </c>
      <c r="E618">
        <v>0</v>
      </c>
      <c r="F618">
        <v>1</v>
      </c>
      <c r="G618">
        <v>0</v>
      </c>
      <c r="H618">
        <f t="shared" si="9"/>
        <v>2</v>
      </c>
      <c r="K618" s="248">
        <v>0.93</v>
      </c>
      <c r="L618" s="249">
        <v>59139784.946236558</v>
      </c>
    </row>
    <row r="619" spans="1:12">
      <c r="A619">
        <v>3217</v>
      </c>
      <c r="C619">
        <v>1</v>
      </c>
      <c r="D619">
        <v>1</v>
      </c>
      <c r="E619">
        <v>2</v>
      </c>
      <c r="F619">
        <v>1</v>
      </c>
      <c r="G619">
        <v>0</v>
      </c>
      <c r="H619">
        <f t="shared" si="9"/>
        <v>5</v>
      </c>
      <c r="K619" s="248">
        <v>0.6</v>
      </c>
      <c r="L619" s="249">
        <v>83333333.333333343</v>
      </c>
    </row>
    <row r="620" spans="1:12">
      <c r="A620">
        <v>3218</v>
      </c>
      <c r="C620">
        <v>0</v>
      </c>
      <c r="D620">
        <v>1</v>
      </c>
      <c r="E620">
        <v>1</v>
      </c>
      <c r="F620">
        <v>1</v>
      </c>
      <c r="G620">
        <v>1</v>
      </c>
      <c r="H620">
        <f t="shared" si="9"/>
        <v>4</v>
      </c>
      <c r="K620" s="248">
        <v>0.37</v>
      </c>
      <c r="L620" s="249">
        <v>67567567.567567572</v>
      </c>
    </row>
    <row r="621" spans="1:12">
      <c r="A621">
        <v>3219</v>
      </c>
      <c r="C621">
        <v>0</v>
      </c>
      <c r="D621">
        <v>1</v>
      </c>
      <c r="E621">
        <v>0</v>
      </c>
      <c r="F621">
        <v>0</v>
      </c>
      <c r="G621">
        <v>0</v>
      </c>
      <c r="H621">
        <f t="shared" si="9"/>
        <v>1</v>
      </c>
      <c r="K621" s="248">
        <v>0.12</v>
      </c>
      <c r="L621" s="249">
        <v>0</v>
      </c>
    </row>
    <row r="622" spans="1:12">
      <c r="A622">
        <v>3221</v>
      </c>
      <c r="C622">
        <v>1</v>
      </c>
      <c r="D622">
        <v>1</v>
      </c>
      <c r="E622">
        <v>1</v>
      </c>
      <c r="F622">
        <v>1</v>
      </c>
      <c r="G622">
        <v>0</v>
      </c>
      <c r="H622">
        <f t="shared" si="9"/>
        <v>4</v>
      </c>
      <c r="K622" s="248">
        <v>0.57999999999999996</v>
      </c>
      <c r="L622" s="249">
        <v>0</v>
      </c>
    </row>
    <row r="623" spans="1:12">
      <c r="A623">
        <v>3224</v>
      </c>
      <c r="C623">
        <v>0</v>
      </c>
      <c r="D623">
        <v>1</v>
      </c>
      <c r="E623">
        <v>0</v>
      </c>
      <c r="F623">
        <v>0</v>
      </c>
      <c r="G623">
        <v>1</v>
      </c>
      <c r="H623">
        <f t="shared" si="9"/>
        <v>2</v>
      </c>
      <c r="K623" s="248">
        <v>0.3</v>
      </c>
      <c r="L623" s="249">
        <v>40000000</v>
      </c>
    </row>
    <row r="624" spans="1:12">
      <c r="A624">
        <v>3226</v>
      </c>
      <c r="C624">
        <v>1</v>
      </c>
      <c r="D624">
        <v>1</v>
      </c>
      <c r="E624">
        <v>0</v>
      </c>
      <c r="F624">
        <v>1</v>
      </c>
      <c r="G624">
        <v>0</v>
      </c>
      <c r="H624">
        <f t="shared" si="9"/>
        <v>3</v>
      </c>
      <c r="K624" s="248">
        <v>1.1100000000000001</v>
      </c>
      <c r="L624" s="249">
        <v>64864864.864864856</v>
      </c>
    </row>
    <row r="625" spans="1:12">
      <c r="A625">
        <v>3227</v>
      </c>
      <c r="C625">
        <v>1</v>
      </c>
      <c r="D625">
        <v>1</v>
      </c>
      <c r="E625">
        <v>0</v>
      </c>
      <c r="F625">
        <v>1</v>
      </c>
      <c r="G625">
        <v>0</v>
      </c>
      <c r="H625">
        <f t="shared" si="9"/>
        <v>3</v>
      </c>
      <c r="K625" s="248">
        <v>0.74</v>
      </c>
      <c r="L625" s="249">
        <v>128378378.37837838</v>
      </c>
    </row>
    <row r="626" spans="1:12">
      <c r="A626">
        <v>3228</v>
      </c>
      <c r="C626">
        <v>0</v>
      </c>
      <c r="D626">
        <v>0</v>
      </c>
      <c r="E626">
        <v>0</v>
      </c>
      <c r="F626">
        <v>0</v>
      </c>
      <c r="G626">
        <v>0</v>
      </c>
      <c r="H626">
        <f t="shared" si="9"/>
        <v>0</v>
      </c>
      <c r="K626" s="248">
        <v>-0.33</v>
      </c>
      <c r="L626" s="249">
        <v>63636363.636363633</v>
      </c>
    </row>
    <row r="627" spans="1:12">
      <c r="A627">
        <v>3229</v>
      </c>
      <c r="C627">
        <v>0</v>
      </c>
      <c r="D627">
        <v>0</v>
      </c>
      <c r="E627">
        <v>0</v>
      </c>
      <c r="F627">
        <v>0</v>
      </c>
      <c r="G627">
        <v>0</v>
      </c>
      <c r="H627">
        <f t="shared" si="9"/>
        <v>0</v>
      </c>
      <c r="K627" s="248">
        <v>-0.19</v>
      </c>
      <c r="L627" s="249">
        <v>94736842.105263159</v>
      </c>
    </row>
    <row r="628" spans="1:12">
      <c r="A628">
        <v>3230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f t="shared" si="9"/>
        <v>0</v>
      </c>
      <c r="K628" s="248">
        <v>-0.42</v>
      </c>
      <c r="L628" s="249">
        <v>107142857.14285715</v>
      </c>
    </row>
    <row r="629" spans="1:12">
      <c r="A629">
        <v>3231</v>
      </c>
      <c r="C629">
        <v>0</v>
      </c>
      <c r="D629">
        <v>1</v>
      </c>
      <c r="E629">
        <v>1</v>
      </c>
      <c r="F629">
        <v>1</v>
      </c>
      <c r="G629">
        <v>0</v>
      </c>
      <c r="H629">
        <f t="shared" si="9"/>
        <v>3</v>
      </c>
      <c r="K629" s="248">
        <v>0.27</v>
      </c>
      <c r="L629" s="249">
        <v>2433333333.333333</v>
      </c>
    </row>
    <row r="630" spans="1:12">
      <c r="A630">
        <v>3232</v>
      </c>
      <c r="C630">
        <v>0</v>
      </c>
      <c r="D630">
        <v>0</v>
      </c>
      <c r="E630">
        <v>0</v>
      </c>
      <c r="F630">
        <v>1</v>
      </c>
      <c r="G630">
        <v>0</v>
      </c>
      <c r="H630">
        <f t="shared" si="9"/>
        <v>1</v>
      </c>
      <c r="K630" s="248">
        <v>-0.08</v>
      </c>
      <c r="L630" s="249">
        <v>37500000</v>
      </c>
    </row>
    <row r="631" spans="1:12">
      <c r="A631">
        <v>3234</v>
      </c>
      <c r="C631">
        <v>1</v>
      </c>
      <c r="D631">
        <v>1</v>
      </c>
      <c r="E631">
        <v>2</v>
      </c>
      <c r="F631">
        <v>1</v>
      </c>
      <c r="G631">
        <v>1</v>
      </c>
      <c r="H631">
        <f t="shared" si="9"/>
        <v>6</v>
      </c>
      <c r="K631" s="248">
        <v>3</v>
      </c>
      <c r="L631" s="249">
        <v>97666666.666666672</v>
      </c>
    </row>
    <row r="632" spans="1:12">
      <c r="A632">
        <v>3236</v>
      </c>
      <c r="C632">
        <v>1</v>
      </c>
      <c r="D632">
        <v>1</v>
      </c>
      <c r="E632">
        <v>2</v>
      </c>
      <c r="F632">
        <v>1</v>
      </c>
      <c r="G632">
        <v>1</v>
      </c>
      <c r="H632">
        <f t="shared" si="9"/>
        <v>6</v>
      </c>
      <c r="K632" s="248">
        <v>0.73</v>
      </c>
      <c r="L632" s="249">
        <v>60273972.602739729</v>
      </c>
    </row>
    <row r="633" spans="1:12">
      <c r="A633">
        <v>3252</v>
      </c>
      <c r="C633">
        <v>0</v>
      </c>
      <c r="D633">
        <v>0</v>
      </c>
      <c r="E633">
        <v>1</v>
      </c>
      <c r="F633">
        <v>0</v>
      </c>
      <c r="G633">
        <v>0</v>
      </c>
      <c r="H633">
        <f t="shared" si="9"/>
        <v>1</v>
      </c>
      <c r="K633" s="248">
        <v>-0.98</v>
      </c>
      <c r="L633" s="249">
        <v>21428571.428571429</v>
      </c>
    </row>
    <row r="634" spans="1:12">
      <c r="A634">
        <v>3257</v>
      </c>
      <c r="C634">
        <v>0</v>
      </c>
      <c r="D634">
        <v>1</v>
      </c>
      <c r="E634">
        <v>0</v>
      </c>
      <c r="F634">
        <v>1</v>
      </c>
      <c r="G634">
        <v>0</v>
      </c>
      <c r="H634">
        <f t="shared" si="9"/>
        <v>2</v>
      </c>
      <c r="K634" s="248">
        <v>0.89</v>
      </c>
      <c r="L634" s="249">
        <v>59550561.797752805</v>
      </c>
    </row>
    <row r="635" spans="1:12">
      <c r="A635">
        <v>3259</v>
      </c>
      <c r="C635">
        <v>0</v>
      </c>
      <c r="D635">
        <v>0</v>
      </c>
      <c r="E635">
        <v>0</v>
      </c>
      <c r="F635">
        <v>1</v>
      </c>
      <c r="G635">
        <v>0</v>
      </c>
      <c r="H635">
        <f t="shared" si="9"/>
        <v>1</v>
      </c>
      <c r="K635" s="248">
        <v>-0.65</v>
      </c>
      <c r="L635" s="249">
        <v>80000000</v>
      </c>
    </row>
    <row r="636" spans="1:12">
      <c r="A636">
        <v>3260</v>
      </c>
      <c r="C636">
        <v>0</v>
      </c>
      <c r="D636">
        <v>1</v>
      </c>
      <c r="E636">
        <v>1</v>
      </c>
      <c r="F636">
        <v>0</v>
      </c>
      <c r="G636">
        <v>0</v>
      </c>
      <c r="H636">
        <f t="shared" si="9"/>
        <v>2</v>
      </c>
      <c r="K636" s="248">
        <v>0.33</v>
      </c>
      <c r="L636" s="249">
        <v>218181818.18181816</v>
      </c>
    </row>
    <row r="637" spans="1:12">
      <c r="A637">
        <v>3264</v>
      </c>
      <c r="C637">
        <v>0</v>
      </c>
      <c r="D637">
        <v>1</v>
      </c>
      <c r="E637">
        <v>2</v>
      </c>
      <c r="F637">
        <v>1</v>
      </c>
      <c r="G637">
        <v>0</v>
      </c>
      <c r="H637">
        <f t="shared" si="9"/>
        <v>4</v>
      </c>
      <c r="K637" s="248">
        <v>0.66</v>
      </c>
      <c r="L637" s="249">
        <v>463636363.63636363</v>
      </c>
    </row>
    <row r="638" spans="1:12">
      <c r="A638">
        <v>3265</v>
      </c>
      <c r="C638">
        <v>0</v>
      </c>
      <c r="D638">
        <v>0</v>
      </c>
      <c r="E638">
        <v>2</v>
      </c>
      <c r="F638">
        <v>1</v>
      </c>
      <c r="G638">
        <v>1</v>
      </c>
      <c r="H638">
        <f t="shared" si="9"/>
        <v>4</v>
      </c>
      <c r="K638" s="248">
        <v>-0.89</v>
      </c>
      <c r="L638" s="249">
        <v>135955056.17977527</v>
      </c>
    </row>
    <row r="639" spans="1:12">
      <c r="A639">
        <v>3266</v>
      </c>
      <c r="C639">
        <v>0</v>
      </c>
      <c r="D639">
        <v>0</v>
      </c>
      <c r="E639">
        <v>2</v>
      </c>
      <c r="F639">
        <v>1</v>
      </c>
      <c r="G639">
        <v>0</v>
      </c>
      <c r="H639">
        <f t="shared" si="9"/>
        <v>3</v>
      </c>
      <c r="K639" s="248">
        <v>-1.03</v>
      </c>
      <c r="L639" s="249">
        <v>351456310.67961162</v>
      </c>
    </row>
    <row r="640" spans="1:12">
      <c r="A640">
        <v>3268</v>
      </c>
      <c r="C640">
        <v>0</v>
      </c>
      <c r="D640">
        <v>1</v>
      </c>
      <c r="E640">
        <v>0</v>
      </c>
      <c r="F640">
        <v>1</v>
      </c>
      <c r="G640">
        <v>0</v>
      </c>
      <c r="H640">
        <f t="shared" si="9"/>
        <v>2</v>
      </c>
      <c r="K640" s="248">
        <v>0.47</v>
      </c>
      <c r="L640" s="249">
        <v>34042553.191489361</v>
      </c>
    </row>
    <row r="641" spans="1:12">
      <c r="A641">
        <v>3272</v>
      </c>
      <c r="C641">
        <v>0</v>
      </c>
      <c r="D641">
        <v>1</v>
      </c>
      <c r="E641">
        <v>1</v>
      </c>
      <c r="F641">
        <v>1</v>
      </c>
      <c r="G641">
        <v>0</v>
      </c>
      <c r="H641">
        <f t="shared" si="9"/>
        <v>3</v>
      </c>
      <c r="K641" s="248">
        <v>1.77</v>
      </c>
      <c r="L641" s="249">
        <v>51977401.129943505</v>
      </c>
    </row>
    <row r="642" spans="1:12">
      <c r="A642">
        <v>3276</v>
      </c>
      <c r="C642">
        <v>0</v>
      </c>
      <c r="D642">
        <v>1</v>
      </c>
      <c r="E642">
        <v>1</v>
      </c>
      <c r="F642">
        <v>0</v>
      </c>
      <c r="G642">
        <v>0</v>
      </c>
      <c r="H642">
        <f t="shared" ref="H642:H705" si="10">SUM(C642:G642)</f>
        <v>2</v>
      </c>
      <c r="K642" s="248">
        <v>0.16</v>
      </c>
      <c r="L642" s="249">
        <v>68750000</v>
      </c>
    </row>
    <row r="643" spans="1:12">
      <c r="A643">
        <v>3284</v>
      </c>
      <c r="C643">
        <v>1</v>
      </c>
      <c r="D643">
        <v>1</v>
      </c>
      <c r="E643">
        <v>2</v>
      </c>
      <c r="F643">
        <v>0</v>
      </c>
      <c r="G643">
        <v>0</v>
      </c>
      <c r="H643">
        <f t="shared" si="10"/>
        <v>4</v>
      </c>
      <c r="K643" s="248">
        <v>1.26</v>
      </c>
      <c r="L643" s="249">
        <v>57142857.142857142</v>
      </c>
    </row>
    <row r="644" spans="1:12">
      <c r="A644">
        <v>3285</v>
      </c>
      <c r="C644">
        <v>1</v>
      </c>
      <c r="D644">
        <v>1</v>
      </c>
      <c r="E644">
        <v>1</v>
      </c>
      <c r="F644">
        <v>1</v>
      </c>
      <c r="G644">
        <v>0</v>
      </c>
      <c r="H644">
        <f t="shared" si="10"/>
        <v>4</v>
      </c>
      <c r="K644" s="248">
        <v>0.99</v>
      </c>
      <c r="L644" s="249">
        <v>44444444.444444448</v>
      </c>
    </row>
    <row r="645" spans="1:12">
      <c r="A645">
        <v>3287</v>
      </c>
      <c r="C645">
        <v>1</v>
      </c>
      <c r="D645">
        <v>1</v>
      </c>
      <c r="E645">
        <v>0</v>
      </c>
      <c r="F645">
        <v>1</v>
      </c>
      <c r="G645">
        <v>0</v>
      </c>
      <c r="H645">
        <f t="shared" si="10"/>
        <v>3</v>
      </c>
      <c r="K645" s="248" t="e">
        <v>#N/A</v>
      </c>
      <c r="L645" s="249" t="e">
        <v>#N/A</v>
      </c>
    </row>
    <row r="646" spans="1:12">
      <c r="A646">
        <v>3288</v>
      </c>
      <c r="C646">
        <v>0</v>
      </c>
      <c r="D646">
        <v>1</v>
      </c>
      <c r="E646">
        <v>1</v>
      </c>
      <c r="F646">
        <v>1</v>
      </c>
      <c r="G646">
        <v>0</v>
      </c>
      <c r="H646">
        <f t="shared" si="10"/>
        <v>3</v>
      </c>
      <c r="K646" s="248">
        <v>-0.35</v>
      </c>
      <c r="L646" s="249">
        <v>48571428.571428575</v>
      </c>
    </row>
    <row r="647" spans="1:12">
      <c r="A647">
        <v>3289</v>
      </c>
      <c r="C647">
        <v>0</v>
      </c>
      <c r="D647">
        <v>1</v>
      </c>
      <c r="E647">
        <v>1</v>
      </c>
      <c r="F647">
        <v>1</v>
      </c>
      <c r="G647">
        <v>1</v>
      </c>
      <c r="H647">
        <f t="shared" si="10"/>
        <v>4</v>
      </c>
      <c r="K647" s="248">
        <v>2.0099999999999998</v>
      </c>
      <c r="L647" s="249">
        <v>46766169.154228859</v>
      </c>
    </row>
    <row r="648" spans="1:12">
      <c r="A648">
        <v>3290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f t="shared" si="10"/>
        <v>1</v>
      </c>
      <c r="K648" s="248">
        <v>0.22</v>
      </c>
      <c r="L648" s="249">
        <v>100000000</v>
      </c>
    </row>
    <row r="649" spans="1:12">
      <c r="A649">
        <v>3291</v>
      </c>
      <c r="C649">
        <v>0</v>
      </c>
      <c r="D649">
        <v>1</v>
      </c>
      <c r="E649">
        <v>1</v>
      </c>
      <c r="F649">
        <v>1</v>
      </c>
      <c r="G649">
        <v>0</v>
      </c>
      <c r="H649">
        <f t="shared" si="10"/>
        <v>3</v>
      </c>
      <c r="K649" s="248">
        <v>0.21</v>
      </c>
      <c r="L649" s="249">
        <v>33333333.333333336</v>
      </c>
    </row>
    <row r="650" spans="1:12">
      <c r="A650">
        <v>3293</v>
      </c>
      <c r="C650">
        <v>1</v>
      </c>
      <c r="D650">
        <v>1</v>
      </c>
      <c r="E650">
        <v>2</v>
      </c>
      <c r="F650">
        <v>1</v>
      </c>
      <c r="G650">
        <v>0</v>
      </c>
      <c r="H650">
        <f t="shared" si="10"/>
        <v>5</v>
      </c>
      <c r="K650" s="248">
        <v>1.36</v>
      </c>
      <c r="L650" s="249">
        <v>69852941.176470578</v>
      </c>
    </row>
    <row r="651" spans="1:12">
      <c r="A651">
        <v>3294</v>
      </c>
      <c r="C651">
        <v>1</v>
      </c>
      <c r="D651">
        <v>1</v>
      </c>
      <c r="E651">
        <v>2</v>
      </c>
      <c r="F651">
        <v>1</v>
      </c>
      <c r="G651">
        <v>0</v>
      </c>
      <c r="H651">
        <f t="shared" si="10"/>
        <v>5</v>
      </c>
      <c r="K651" s="248">
        <v>0.68</v>
      </c>
      <c r="L651" s="249">
        <v>130882352.94117646</v>
      </c>
    </row>
    <row r="652" spans="1:12">
      <c r="A652">
        <v>3296</v>
      </c>
      <c r="C652">
        <v>1</v>
      </c>
      <c r="D652">
        <v>1</v>
      </c>
      <c r="E652">
        <v>0</v>
      </c>
      <c r="F652">
        <v>0</v>
      </c>
      <c r="G652">
        <v>0</v>
      </c>
      <c r="H652">
        <f t="shared" si="10"/>
        <v>2</v>
      </c>
      <c r="K652" s="248">
        <v>0.37</v>
      </c>
      <c r="L652" s="249">
        <v>110810810.81081082</v>
      </c>
    </row>
    <row r="653" spans="1:12">
      <c r="A653">
        <v>3297</v>
      </c>
      <c r="C653">
        <v>0</v>
      </c>
      <c r="D653">
        <v>1</v>
      </c>
      <c r="E653">
        <v>0</v>
      </c>
      <c r="F653">
        <v>0</v>
      </c>
      <c r="G653">
        <v>0</v>
      </c>
      <c r="H653">
        <f t="shared" si="10"/>
        <v>1</v>
      </c>
      <c r="K653" s="248">
        <v>0.46</v>
      </c>
      <c r="L653" s="249">
        <v>36956521.73913043</v>
      </c>
    </row>
    <row r="654" spans="1:12">
      <c r="A654">
        <v>3299</v>
      </c>
      <c r="C654">
        <v>0</v>
      </c>
      <c r="D654">
        <v>1</v>
      </c>
      <c r="E654">
        <v>0</v>
      </c>
      <c r="F654">
        <v>1</v>
      </c>
      <c r="G654">
        <v>0</v>
      </c>
      <c r="H654">
        <f t="shared" si="10"/>
        <v>2</v>
      </c>
      <c r="K654" s="248">
        <v>1.52</v>
      </c>
      <c r="L654" s="249">
        <v>50657894.736842103</v>
      </c>
    </row>
    <row r="655" spans="1:12">
      <c r="A655">
        <v>3303</v>
      </c>
      <c r="C655">
        <v>1</v>
      </c>
      <c r="D655">
        <v>1</v>
      </c>
      <c r="E655">
        <v>2</v>
      </c>
      <c r="F655">
        <v>1</v>
      </c>
      <c r="G655">
        <v>0</v>
      </c>
      <c r="H655">
        <f t="shared" si="10"/>
        <v>5</v>
      </c>
      <c r="K655" s="248">
        <v>0.76</v>
      </c>
      <c r="L655" s="249">
        <v>97368421.052631572</v>
      </c>
    </row>
    <row r="656" spans="1:12">
      <c r="A656">
        <v>3305</v>
      </c>
      <c r="C656">
        <v>0</v>
      </c>
      <c r="D656">
        <v>1</v>
      </c>
      <c r="E656">
        <v>0</v>
      </c>
      <c r="F656">
        <v>1</v>
      </c>
      <c r="G656">
        <v>0</v>
      </c>
      <c r="H656">
        <f t="shared" si="10"/>
        <v>2</v>
      </c>
      <c r="K656" s="248">
        <v>0.3</v>
      </c>
      <c r="L656" s="249">
        <v>120000000</v>
      </c>
    </row>
    <row r="657" spans="1:12">
      <c r="A657">
        <v>3306</v>
      </c>
      <c r="C657">
        <v>0</v>
      </c>
      <c r="D657">
        <v>0</v>
      </c>
      <c r="E657">
        <v>2</v>
      </c>
      <c r="F657">
        <v>1</v>
      </c>
      <c r="G657">
        <v>0</v>
      </c>
      <c r="H657">
        <f t="shared" si="10"/>
        <v>3</v>
      </c>
      <c r="K657" s="248">
        <v>0.3</v>
      </c>
      <c r="L657" s="249">
        <v>50000000</v>
      </c>
    </row>
    <row r="658" spans="1:12">
      <c r="A658">
        <v>3308</v>
      </c>
      <c r="C658">
        <v>0</v>
      </c>
      <c r="D658">
        <v>1</v>
      </c>
      <c r="E658">
        <v>0</v>
      </c>
      <c r="F658">
        <v>1</v>
      </c>
      <c r="G658">
        <v>0</v>
      </c>
      <c r="H658">
        <f t="shared" si="10"/>
        <v>2</v>
      </c>
      <c r="K658" s="248">
        <v>0.27</v>
      </c>
      <c r="L658" s="249">
        <v>96296296.296296284</v>
      </c>
    </row>
    <row r="659" spans="1:12">
      <c r="A659">
        <v>3310</v>
      </c>
      <c r="C659">
        <v>1</v>
      </c>
      <c r="D659">
        <v>1</v>
      </c>
      <c r="E659">
        <v>0</v>
      </c>
      <c r="F659">
        <v>0</v>
      </c>
      <c r="G659">
        <v>0</v>
      </c>
      <c r="H659">
        <f t="shared" si="10"/>
        <v>2</v>
      </c>
      <c r="K659" s="248">
        <v>0.24</v>
      </c>
      <c r="L659" s="249">
        <v>112500000</v>
      </c>
    </row>
    <row r="660" spans="1:12">
      <c r="A660">
        <v>3311</v>
      </c>
      <c r="C660">
        <v>1</v>
      </c>
      <c r="D660">
        <v>1</v>
      </c>
      <c r="E660">
        <v>1</v>
      </c>
      <c r="F660">
        <v>1</v>
      </c>
      <c r="G660">
        <v>0</v>
      </c>
      <c r="H660">
        <f t="shared" si="10"/>
        <v>4</v>
      </c>
      <c r="K660" s="248">
        <v>0.37</v>
      </c>
      <c r="L660" s="249">
        <v>178378378.37837839</v>
      </c>
    </row>
    <row r="661" spans="1:12">
      <c r="A661">
        <v>3312</v>
      </c>
      <c r="C661">
        <v>0</v>
      </c>
      <c r="D661">
        <v>1</v>
      </c>
      <c r="E661">
        <v>1</v>
      </c>
      <c r="F661">
        <v>1</v>
      </c>
      <c r="G661">
        <v>0</v>
      </c>
      <c r="H661">
        <f t="shared" si="10"/>
        <v>3</v>
      </c>
      <c r="K661" s="248">
        <v>-0.37</v>
      </c>
      <c r="L661" s="249">
        <v>108108108.1081081</v>
      </c>
    </row>
    <row r="662" spans="1:12">
      <c r="A662">
        <v>3313</v>
      </c>
      <c r="C662">
        <v>0</v>
      </c>
      <c r="D662">
        <v>1</v>
      </c>
      <c r="E662">
        <v>2</v>
      </c>
      <c r="F662">
        <v>1</v>
      </c>
      <c r="G662">
        <v>0</v>
      </c>
      <c r="H662">
        <f t="shared" si="10"/>
        <v>4</v>
      </c>
      <c r="K662" s="248">
        <v>0.04</v>
      </c>
      <c r="L662" s="249">
        <v>75000000</v>
      </c>
    </row>
    <row r="663" spans="1:12">
      <c r="A663">
        <v>3315</v>
      </c>
      <c r="C663">
        <v>0</v>
      </c>
      <c r="D663">
        <v>1</v>
      </c>
      <c r="E663">
        <v>1</v>
      </c>
      <c r="F663">
        <v>0</v>
      </c>
      <c r="G663">
        <v>1</v>
      </c>
      <c r="H663">
        <f t="shared" si="10"/>
        <v>3</v>
      </c>
      <c r="K663" s="248">
        <v>0.78</v>
      </c>
      <c r="L663" s="249">
        <v>70512820.512820512</v>
      </c>
    </row>
    <row r="664" spans="1:12">
      <c r="A664">
        <v>3317</v>
      </c>
      <c r="C664">
        <v>0</v>
      </c>
      <c r="D664">
        <v>1</v>
      </c>
      <c r="E664">
        <v>2</v>
      </c>
      <c r="F664">
        <v>1</v>
      </c>
      <c r="G664">
        <v>0</v>
      </c>
      <c r="H664">
        <f t="shared" si="10"/>
        <v>4</v>
      </c>
      <c r="K664" s="248">
        <v>-0.06</v>
      </c>
      <c r="L664" s="249">
        <v>66666666.666666672</v>
      </c>
    </row>
    <row r="665" spans="1:12">
      <c r="A665">
        <v>3322</v>
      </c>
      <c r="C665">
        <v>0</v>
      </c>
      <c r="D665">
        <v>1</v>
      </c>
      <c r="E665">
        <v>0</v>
      </c>
      <c r="F665">
        <v>0</v>
      </c>
      <c r="G665">
        <v>0</v>
      </c>
      <c r="H665">
        <f t="shared" si="10"/>
        <v>1</v>
      </c>
      <c r="K665" s="248">
        <v>-0.02</v>
      </c>
      <c r="L665" s="249">
        <v>50000000</v>
      </c>
    </row>
    <row r="666" spans="1:12">
      <c r="A666">
        <v>3323</v>
      </c>
      <c r="C666">
        <v>0</v>
      </c>
      <c r="D666">
        <v>1</v>
      </c>
      <c r="E666">
        <v>2</v>
      </c>
      <c r="F666">
        <v>1</v>
      </c>
      <c r="G666">
        <v>0</v>
      </c>
      <c r="H666">
        <f t="shared" si="10"/>
        <v>4</v>
      </c>
      <c r="K666" s="248">
        <v>0.76</v>
      </c>
      <c r="L666" s="249">
        <v>94736842.105263159</v>
      </c>
    </row>
    <row r="667" spans="1:12">
      <c r="A667">
        <v>3324</v>
      </c>
      <c r="C667">
        <v>1</v>
      </c>
      <c r="D667">
        <v>1</v>
      </c>
      <c r="E667">
        <v>2</v>
      </c>
      <c r="F667">
        <v>0</v>
      </c>
      <c r="G667">
        <v>0</v>
      </c>
      <c r="H667">
        <f t="shared" si="10"/>
        <v>4</v>
      </c>
      <c r="K667" s="248">
        <v>1.99</v>
      </c>
      <c r="L667" s="249">
        <v>70854271.356783926</v>
      </c>
    </row>
    <row r="668" spans="1:12">
      <c r="A668">
        <v>3325</v>
      </c>
      <c r="C668">
        <v>1</v>
      </c>
      <c r="D668">
        <v>1</v>
      </c>
      <c r="E668">
        <v>0</v>
      </c>
      <c r="F668">
        <v>1</v>
      </c>
      <c r="G668">
        <v>0</v>
      </c>
      <c r="H668">
        <f t="shared" si="10"/>
        <v>3</v>
      </c>
      <c r="K668" s="248">
        <v>0.04</v>
      </c>
      <c r="L668" s="249">
        <v>75000000</v>
      </c>
    </row>
    <row r="669" spans="1:12">
      <c r="A669">
        <v>3332</v>
      </c>
      <c r="C669">
        <v>1</v>
      </c>
      <c r="D669">
        <v>1</v>
      </c>
      <c r="E669">
        <v>1</v>
      </c>
      <c r="F669">
        <v>1</v>
      </c>
      <c r="G669">
        <v>0</v>
      </c>
      <c r="H669">
        <f t="shared" si="10"/>
        <v>4</v>
      </c>
      <c r="K669" s="248">
        <v>0.84</v>
      </c>
      <c r="L669" s="249">
        <v>48809523.809523813</v>
      </c>
    </row>
    <row r="670" spans="1:12">
      <c r="A670">
        <v>3338</v>
      </c>
      <c r="C670">
        <v>1</v>
      </c>
      <c r="D670">
        <v>1</v>
      </c>
      <c r="E670">
        <v>2</v>
      </c>
      <c r="F670">
        <v>1</v>
      </c>
      <c r="G670">
        <v>0</v>
      </c>
      <c r="H670">
        <f t="shared" si="10"/>
        <v>5</v>
      </c>
      <c r="K670" s="248">
        <v>0.7</v>
      </c>
      <c r="L670" s="249">
        <v>70000000</v>
      </c>
    </row>
    <row r="671" spans="1:12">
      <c r="A671">
        <v>3339</v>
      </c>
      <c r="C671">
        <v>0</v>
      </c>
      <c r="D671">
        <v>0</v>
      </c>
      <c r="E671">
        <v>1</v>
      </c>
      <c r="F671">
        <v>1</v>
      </c>
      <c r="G671">
        <v>0</v>
      </c>
      <c r="H671">
        <f t="shared" si="10"/>
        <v>2</v>
      </c>
      <c r="K671" s="248">
        <v>-0.82</v>
      </c>
      <c r="L671" s="249">
        <v>275609756.097561</v>
      </c>
    </row>
    <row r="672" spans="1:12">
      <c r="A672">
        <v>3354</v>
      </c>
      <c r="C672">
        <v>1</v>
      </c>
      <c r="D672">
        <v>1</v>
      </c>
      <c r="E672">
        <v>2</v>
      </c>
      <c r="F672">
        <v>1</v>
      </c>
      <c r="G672">
        <v>0</v>
      </c>
      <c r="H672">
        <f t="shared" si="10"/>
        <v>5</v>
      </c>
      <c r="K672" s="248">
        <v>0.34</v>
      </c>
      <c r="L672" s="249">
        <v>82352941.176470578</v>
      </c>
    </row>
    <row r="673" spans="1:12">
      <c r="A673">
        <v>3356</v>
      </c>
      <c r="C673">
        <v>0</v>
      </c>
      <c r="D673">
        <v>1</v>
      </c>
      <c r="E673">
        <v>2</v>
      </c>
      <c r="F673">
        <v>1</v>
      </c>
      <c r="G673">
        <v>0</v>
      </c>
      <c r="H673">
        <f t="shared" si="10"/>
        <v>4</v>
      </c>
      <c r="K673" s="248">
        <v>1.67</v>
      </c>
      <c r="L673" s="249">
        <v>77245508.982035935</v>
      </c>
    </row>
    <row r="674" spans="1:12">
      <c r="A674">
        <v>3360</v>
      </c>
      <c r="C674">
        <v>0</v>
      </c>
      <c r="D674">
        <v>1</v>
      </c>
      <c r="E674">
        <v>0</v>
      </c>
      <c r="F674">
        <v>0</v>
      </c>
      <c r="G674">
        <v>0</v>
      </c>
      <c r="H674">
        <f t="shared" si="10"/>
        <v>1</v>
      </c>
      <c r="K674" s="248">
        <v>0.46</v>
      </c>
      <c r="L674" s="249">
        <v>76086956.521739125</v>
      </c>
    </row>
    <row r="675" spans="1:12">
      <c r="A675">
        <v>3362</v>
      </c>
      <c r="C675">
        <v>0</v>
      </c>
      <c r="D675">
        <v>1</v>
      </c>
      <c r="E675">
        <v>2</v>
      </c>
      <c r="F675">
        <v>0</v>
      </c>
      <c r="G675">
        <v>0</v>
      </c>
      <c r="H675">
        <f t="shared" si="10"/>
        <v>3</v>
      </c>
      <c r="K675" s="248">
        <v>0.03</v>
      </c>
      <c r="L675" s="249">
        <v>100000000</v>
      </c>
    </row>
    <row r="676" spans="1:12">
      <c r="A676">
        <v>3363</v>
      </c>
      <c r="C676">
        <v>1</v>
      </c>
      <c r="D676">
        <v>1</v>
      </c>
      <c r="E676">
        <v>1</v>
      </c>
      <c r="F676">
        <v>0</v>
      </c>
      <c r="G676">
        <v>0</v>
      </c>
      <c r="H676">
        <f t="shared" si="10"/>
        <v>3</v>
      </c>
      <c r="K676" s="248">
        <v>0.23</v>
      </c>
      <c r="L676" s="249">
        <v>78260869.565217391</v>
      </c>
    </row>
    <row r="677" spans="1:12">
      <c r="A677">
        <v>3372</v>
      </c>
      <c r="C677">
        <v>0</v>
      </c>
      <c r="D677">
        <v>1</v>
      </c>
      <c r="E677">
        <v>2</v>
      </c>
      <c r="F677">
        <v>1</v>
      </c>
      <c r="G677">
        <v>0</v>
      </c>
      <c r="H677">
        <f t="shared" si="10"/>
        <v>4</v>
      </c>
      <c r="K677" s="248">
        <v>0</v>
      </c>
      <c r="L677" s="249">
        <v>0</v>
      </c>
    </row>
    <row r="678" spans="1:12">
      <c r="A678">
        <v>3373</v>
      </c>
      <c r="C678">
        <v>1</v>
      </c>
      <c r="D678">
        <v>1</v>
      </c>
      <c r="E678">
        <v>0</v>
      </c>
      <c r="F678">
        <v>1</v>
      </c>
      <c r="G678">
        <v>1</v>
      </c>
      <c r="H678">
        <f t="shared" si="10"/>
        <v>4</v>
      </c>
      <c r="K678" s="248">
        <v>0.66</v>
      </c>
      <c r="L678" s="249">
        <v>42424242.424242422</v>
      </c>
    </row>
    <row r="679" spans="1:12">
      <c r="A679">
        <v>3374</v>
      </c>
      <c r="C679">
        <v>0</v>
      </c>
      <c r="D679">
        <v>0</v>
      </c>
      <c r="E679">
        <v>0</v>
      </c>
      <c r="F679">
        <v>0</v>
      </c>
      <c r="G679">
        <v>0</v>
      </c>
      <c r="H679">
        <f t="shared" si="10"/>
        <v>0</v>
      </c>
      <c r="K679" s="248">
        <v>-7.0000000000000007E-2</v>
      </c>
      <c r="L679" s="249">
        <v>257142857.1428571</v>
      </c>
    </row>
    <row r="680" spans="1:12">
      <c r="A680">
        <v>3376</v>
      </c>
      <c r="C680">
        <v>1</v>
      </c>
      <c r="D680">
        <v>1</v>
      </c>
      <c r="E680">
        <v>0</v>
      </c>
      <c r="F680">
        <v>1</v>
      </c>
      <c r="G680">
        <v>0</v>
      </c>
      <c r="H680">
        <f t="shared" si="10"/>
        <v>3</v>
      </c>
      <c r="K680" s="248">
        <v>2.73</v>
      </c>
      <c r="L680" s="249">
        <v>178754578.75457877</v>
      </c>
    </row>
    <row r="681" spans="1:12">
      <c r="A681">
        <v>3379</v>
      </c>
      <c r="C681">
        <v>0</v>
      </c>
      <c r="D681">
        <v>0</v>
      </c>
      <c r="E681">
        <v>2</v>
      </c>
      <c r="F681">
        <v>0</v>
      </c>
      <c r="G681">
        <v>0</v>
      </c>
      <c r="H681">
        <f t="shared" si="10"/>
        <v>2</v>
      </c>
      <c r="K681" s="248">
        <v>-0.46</v>
      </c>
      <c r="L681" s="249">
        <v>39130434.782608695</v>
      </c>
    </row>
    <row r="682" spans="1:12">
      <c r="A682">
        <v>3380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f t="shared" si="10"/>
        <v>0</v>
      </c>
      <c r="K682" s="248">
        <v>-0.65</v>
      </c>
      <c r="L682" s="249">
        <v>0</v>
      </c>
    </row>
    <row r="683" spans="1:12">
      <c r="A683">
        <v>3383</v>
      </c>
      <c r="C683">
        <v>0</v>
      </c>
      <c r="D683">
        <v>0</v>
      </c>
      <c r="E683">
        <v>0</v>
      </c>
      <c r="F683">
        <v>1</v>
      </c>
      <c r="G683">
        <v>0</v>
      </c>
      <c r="H683">
        <f t="shared" si="10"/>
        <v>1</v>
      </c>
      <c r="K683" s="248">
        <v>-1.26</v>
      </c>
      <c r="L683" s="249">
        <v>314285714.28571427</v>
      </c>
    </row>
    <row r="684" spans="1:12">
      <c r="A684">
        <v>3388</v>
      </c>
      <c r="C684">
        <v>0</v>
      </c>
      <c r="D684">
        <v>1</v>
      </c>
      <c r="E684">
        <v>0</v>
      </c>
      <c r="F684">
        <v>1</v>
      </c>
      <c r="G684">
        <v>0</v>
      </c>
      <c r="H684">
        <f t="shared" si="10"/>
        <v>2</v>
      </c>
      <c r="K684" s="248">
        <v>1.33</v>
      </c>
      <c r="L684" s="249">
        <v>62406015.037593983</v>
      </c>
    </row>
    <row r="685" spans="1:12">
      <c r="A685">
        <v>3390</v>
      </c>
      <c r="C685">
        <v>0</v>
      </c>
      <c r="D685">
        <v>1</v>
      </c>
      <c r="E685">
        <v>0</v>
      </c>
      <c r="F685">
        <v>1</v>
      </c>
      <c r="G685">
        <v>0</v>
      </c>
      <c r="H685">
        <f t="shared" si="10"/>
        <v>2</v>
      </c>
      <c r="K685" s="248">
        <v>0.41</v>
      </c>
      <c r="L685" s="249">
        <v>65853658.536585368</v>
      </c>
    </row>
    <row r="686" spans="1:12">
      <c r="A686">
        <v>3402</v>
      </c>
      <c r="C686">
        <v>0</v>
      </c>
      <c r="D686">
        <v>0</v>
      </c>
      <c r="E686">
        <v>0</v>
      </c>
      <c r="F686">
        <v>1</v>
      </c>
      <c r="G686">
        <v>0</v>
      </c>
      <c r="H686">
        <f t="shared" si="10"/>
        <v>1</v>
      </c>
      <c r="K686" s="248">
        <v>0.24</v>
      </c>
      <c r="L686" s="249">
        <v>70833333.333333343</v>
      </c>
    </row>
    <row r="687" spans="1:12">
      <c r="A687">
        <v>3406</v>
      </c>
      <c r="C687">
        <v>0</v>
      </c>
      <c r="D687">
        <v>1</v>
      </c>
      <c r="E687">
        <v>0</v>
      </c>
      <c r="F687">
        <v>1</v>
      </c>
      <c r="G687">
        <v>0</v>
      </c>
      <c r="H687">
        <f t="shared" si="10"/>
        <v>2</v>
      </c>
      <c r="K687" s="248">
        <v>-0.53</v>
      </c>
      <c r="L687" s="249">
        <v>100000000</v>
      </c>
    </row>
    <row r="688" spans="1:12">
      <c r="A688">
        <v>3413</v>
      </c>
      <c r="C688">
        <v>1</v>
      </c>
      <c r="D688">
        <v>1</v>
      </c>
      <c r="E688">
        <v>0</v>
      </c>
      <c r="F688">
        <v>0</v>
      </c>
      <c r="G688">
        <v>0</v>
      </c>
      <c r="H688">
        <f t="shared" si="10"/>
        <v>2</v>
      </c>
      <c r="K688" s="248">
        <v>2.5099999999999998</v>
      </c>
      <c r="L688" s="249">
        <v>65737051.792828694</v>
      </c>
    </row>
    <row r="689" spans="1:12">
      <c r="A689">
        <v>3416</v>
      </c>
      <c r="C689">
        <v>0</v>
      </c>
      <c r="D689">
        <v>1</v>
      </c>
      <c r="E689">
        <v>0</v>
      </c>
      <c r="F689">
        <v>1</v>
      </c>
      <c r="G689">
        <v>0</v>
      </c>
      <c r="H689">
        <f t="shared" si="10"/>
        <v>2</v>
      </c>
      <c r="K689" s="248">
        <v>0.91</v>
      </c>
      <c r="L689" s="249">
        <v>60439560.439560436</v>
      </c>
    </row>
    <row r="690" spans="1:12">
      <c r="A690">
        <v>3419</v>
      </c>
      <c r="C690">
        <v>1</v>
      </c>
      <c r="D690">
        <v>1</v>
      </c>
      <c r="E690">
        <v>2</v>
      </c>
      <c r="F690">
        <v>1</v>
      </c>
      <c r="G690">
        <v>0</v>
      </c>
      <c r="H690">
        <f t="shared" si="10"/>
        <v>5</v>
      </c>
      <c r="K690" s="248">
        <v>0.05</v>
      </c>
      <c r="L690" s="249">
        <v>120000000</v>
      </c>
    </row>
    <row r="691" spans="1:12">
      <c r="A691">
        <v>3428</v>
      </c>
      <c r="C691">
        <v>1</v>
      </c>
      <c r="D691">
        <v>1</v>
      </c>
      <c r="E691">
        <v>2</v>
      </c>
      <c r="F691">
        <v>1</v>
      </c>
      <c r="G691">
        <v>0</v>
      </c>
      <c r="H691">
        <f t="shared" si="10"/>
        <v>5</v>
      </c>
      <c r="K691" s="248">
        <v>1.31</v>
      </c>
      <c r="L691" s="249">
        <v>95419847.328244269</v>
      </c>
    </row>
    <row r="692" spans="1:12">
      <c r="A692">
        <v>3431</v>
      </c>
      <c r="C692">
        <v>0</v>
      </c>
      <c r="D692">
        <v>0</v>
      </c>
      <c r="E692">
        <v>0</v>
      </c>
      <c r="F692">
        <v>0</v>
      </c>
      <c r="G692">
        <v>0</v>
      </c>
      <c r="H692">
        <f t="shared" si="10"/>
        <v>0</v>
      </c>
      <c r="K692" s="248">
        <v>-1.47</v>
      </c>
      <c r="L692" s="249">
        <v>35374149.659863949</v>
      </c>
    </row>
    <row r="693" spans="1:12">
      <c r="A693">
        <v>3432</v>
      </c>
      <c r="C693">
        <v>0</v>
      </c>
      <c r="D693">
        <v>1</v>
      </c>
      <c r="E693">
        <v>0</v>
      </c>
      <c r="F693">
        <v>0</v>
      </c>
      <c r="G693">
        <v>0</v>
      </c>
      <c r="H693">
        <f t="shared" si="10"/>
        <v>1</v>
      </c>
      <c r="K693" s="248">
        <v>0.33</v>
      </c>
      <c r="L693" s="249">
        <v>66666666.666666664</v>
      </c>
    </row>
    <row r="694" spans="1:12">
      <c r="A694">
        <v>3434</v>
      </c>
      <c r="C694">
        <v>1</v>
      </c>
      <c r="D694">
        <v>1</v>
      </c>
      <c r="E694">
        <v>2</v>
      </c>
      <c r="F694">
        <v>0</v>
      </c>
      <c r="G694">
        <v>0</v>
      </c>
      <c r="H694">
        <f t="shared" si="10"/>
        <v>4</v>
      </c>
      <c r="K694" s="248">
        <v>0.44</v>
      </c>
      <c r="L694" s="249">
        <v>22727272.727272727</v>
      </c>
    </row>
    <row r="695" spans="1:12">
      <c r="A695">
        <v>3437</v>
      </c>
      <c r="C695">
        <v>0</v>
      </c>
      <c r="D695">
        <v>1</v>
      </c>
      <c r="E695">
        <v>0</v>
      </c>
      <c r="F695">
        <v>1</v>
      </c>
      <c r="G695">
        <v>0</v>
      </c>
      <c r="H695">
        <f t="shared" si="10"/>
        <v>2</v>
      </c>
      <c r="K695" s="248">
        <v>0.57999999999999996</v>
      </c>
      <c r="L695" s="249">
        <v>143103448.27586207</v>
      </c>
    </row>
    <row r="696" spans="1:12">
      <c r="A696">
        <v>3438</v>
      </c>
      <c r="C696">
        <v>0</v>
      </c>
      <c r="D696">
        <v>0</v>
      </c>
      <c r="E696">
        <v>0</v>
      </c>
      <c r="F696">
        <v>0</v>
      </c>
      <c r="G696">
        <v>0</v>
      </c>
      <c r="H696">
        <f t="shared" si="10"/>
        <v>0</v>
      </c>
      <c r="K696" s="248">
        <v>-0.3</v>
      </c>
      <c r="L696" s="249">
        <v>40000000</v>
      </c>
    </row>
    <row r="697" spans="1:12">
      <c r="A697">
        <v>3441</v>
      </c>
      <c r="C697">
        <v>0</v>
      </c>
      <c r="D697">
        <v>1</v>
      </c>
      <c r="E697">
        <v>0</v>
      </c>
      <c r="F697">
        <v>1</v>
      </c>
      <c r="G697">
        <v>0</v>
      </c>
      <c r="H697">
        <f t="shared" si="10"/>
        <v>2</v>
      </c>
      <c r="K697" s="248">
        <v>0.23</v>
      </c>
      <c r="L697" s="249">
        <v>39130434.782608695</v>
      </c>
    </row>
    <row r="698" spans="1:12">
      <c r="A698">
        <v>3443</v>
      </c>
      <c r="C698">
        <v>1</v>
      </c>
      <c r="D698">
        <v>1</v>
      </c>
      <c r="E698">
        <v>0</v>
      </c>
      <c r="F698">
        <v>1</v>
      </c>
      <c r="G698">
        <v>0</v>
      </c>
      <c r="H698">
        <f t="shared" si="10"/>
        <v>3</v>
      </c>
      <c r="K698" s="248">
        <v>0.92</v>
      </c>
      <c r="L698" s="249">
        <v>133695652.17391303</v>
      </c>
    </row>
    <row r="699" spans="1:12">
      <c r="A699">
        <v>3444</v>
      </c>
      <c r="C699">
        <v>0</v>
      </c>
      <c r="D699">
        <v>1</v>
      </c>
      <c r="E699">
        <v>0</v>
      </c>
      <c r="F699">
        <v>0</v>
      </c>
      <c r="G699">
        <v>0</v>
      </c>
      <c r="H699">
        <f t="shared" si="10"/>
        <v>1</v>
      </c>
      <c r="K699" s="248">
        <v>0.32</v>
      </c>
      <c r="L699" s="249">
        <v>40625000</v>
      </c>
    </row>
    <row r="700" spans="1:12">
      <c r="A700">
        <v>3450</v>
      </c>
      <c r="C700">
        <v>1</v>
      </c>
      <c r="D700">
        <v>1</v>
      </c>
      <c r="E700">
        <v>0</v>
      </c>
      <c r="F700">
        <v>1</v>
      </c>
      <c r="G700">
        <v>0</v>
      </c>
      <c r="H700">
        <f t="shared" si="10"/>
        <v>3</v>
      </c>
      <c r="K700" s="248">
        <v>3.57</v>
      </c>
      <c r="L700" s="249">
        <v>91876750.700280115</v>
      </c>
    </row>
    <row r="701" spans="1:12">
      <c r="A701">
        <v>3452</v>
      </c>
      <c r="C701">
        <v>0</v>
      </c>
      <c r="D701">
        <v>1</v>
      </c>
      <c r="E701">
        <v>2</v>
      </c>
      <c r="F701">
        <v>1</v>
      </c>
      <c r="G701">
        <v>0</v>
      </c>
      <c r="H701">
        <f t="shared" si="10"/>
        <v>4</v>
      </c>
      <c r="K701" s="248">
        <v>-0.23</v>
      </c>
      <c r="L701" s="249">
        <v>782608695.65217388</v>
      </c>
    </row>
    <row r="702" spans="1:12">
      <c r="A702">
        <v>3454</v>
      </c>
      <c r="C702">
        <v>0</v>
      </c>
      <c r="D702">
        <v>1</v>
      </c>
      <c r="E702">
        <v>0</v>
      </c>
      <c r="F702">
        <v>1</v>
      </c>
      <c r="G702">
        <v>0</v>
      </c>
      <c r="H702">
        <f t="shared" si="10"/>
        <v>2</v>
      </c>
      <c r="K702" s="248">
        <v>2.0499999999999998</v>
      </c>
      <c r="L702" s="249">
        <v>76585365.853658542</v>
      </c>
    </row>
    <row r="703" spans="1:12">
      <c r="A703">
        <v>3455</v>
      </c>
      <c r="C703">
        <v>0</v>
      </c>
      <c r="D703">
        <v>1</v>
      </c>
      <c r="E703">
        <v>0</v>
      </c>
      <c r="F703">
        <v>1</v>
      </c>
      <c r="G703">
        <v>0</v>
      </c>
      <c r="H703">
        <f t="shared" si="10"/>
        <v>2</v>
      </c>
      <c r="K703" s="248">
        <v>1.32</v>
      </c>
      <c r="L703" s="249">
        <v>61363636.36363636</v>
      </c>
    </row>
    <row r="704" spans="1:12">
      <c r="A704">
        <v>3465</v>
      </c>
      <c r="C704">
        <v>0</v>
      </c>
      <c r="D704">
        <v>0</v>
      </c>
      <c r="E704">
        <v>0</v>
      </c>
      <c r="F704">
        <v>0</v>
      </c>
      <c r="G704">
        <v>0</v>
      </c>
      <c r="H704">
        <f t="shared" si="10"/>
        <v>0</v>
      </c>
      <c r="K704" s="248">
        <v>-0.86</v>
      </c>
      <c r="L704" s="249">
        <v>26744186.046511628</v>
      </c>
    </row>
    <row r="705" spans="1:12">
      <c r="A705">
        <v>3466</v>
      </c>
      <c r="C705">
        <v>0</v>
      </c>
      <c r="D705">
        <v>1</v>
      </c>
      <c r="E705">
        <v>0</v>
      </c>
      <c r="F705">
        <v>1</v>
      </c>
      <c r="G705">
        <v>0</v>
      </c>
      <c r="H705">
        <f t="shared" si="10"/>
        <v>2</v>
      </c>
      <c r="K705" s="248">
        <v>0.42</v>
      </c>
      <c r="L705" s="249">
        <v>61904761.90476191</v>
      </c>
    </row>
    <row r="706" spans="1:12">
      <c r="A706">
        <v>3474</v>
      </c>
      <c r="C706">
        <v>0</v>
      </c>
      <c r="D706">
        <v>1</v>
      </c>
      <c r="E706">
        <v>1</v>
      </c>
      <c r="F706">
        <v>1</v>
      </c>
      <c r="G706">
        <v>0</v>
      </c>
      <c r="H706">
        <f t="shared" ref="H706:H769" si="11">SUM(C706:G706)</f>
        <v>3</v>
      </c>
      <c r="K706" s="248">
        <v>0.88</v>
      </c>
      <c r="L706" s="249">
        <v>6561363636.363636</v>
      </c>
    </row>
    <row r="707" spans="1:12">
      <c r="A707">
        <v>3479</v>
      </c>
      <c r="C707">
        <v>1</v>
      </c>
      <c r="D707">
        <v>1</v>
      </c>
      <c r="E707">
        <v>2</v>
      </c>
      <c r="F707">
        <v>1</v>
      </c>
      <c r="G707">
        <v>1</v>
      </c>
      <c r="H707">
        <f t="shared" si="11"/>
        <v>6</v>
      </c>
      <c r="K707" s="248">
        <v>1.57</v>
      </c>
      <c r="L707" s="249">
        <v>68152866.24203822</v>
      </c>
    </row>
    <row r="708" spans="1:12">
      <c r="A708">
        <v>3481</v>
      </c>
      <c r="C708">
        <v>0</v>
      </c>
      <c r="D708">
        <v>0</v>
      </c>
      <c r="E708">
        <v>0</v>
      </c>
      <c r="F708">
        <v>1</v>
      </c>
      <c r="G708">
        <v>0</v>
      </c>
      <c r="H708">
        <f t="shared" si="11"/>
        <v>1</v>
      </c>
      <c r="K708" s="248">
        <v>0.35</v>
      </c>
      <c r="L708" s="249">
        <v>9948571428.5714283</v>
      </c>
    </row>
    <row r="709" spans="1:12">
      <c r="A709">
        <v>3483</v>
      </c>
      <c r="C709">
        <v>0</v>
      </c>
      <c r="D709">
        <v>1</v>
      </c>
      <c r="E709">
        <v>2</v>
      </c>
      <c r="F709">
        <v>0</v>
      </c>
      <c r="G709">
        <v>0</v>
      </c>
      <c r="H709">
        <f t="shared" si="11"/>
        <v>3</v>
      </c>
      <c r="K709" s="248">
        <v>0.14000000000000001</v>
      </c>
      <c r="L709" s="249">
        <v>49999999.999999993</v>
      </c>
    </row>
    <row r="710" spans="1:12">
      <c r="A710">
        <v>3484</v>
      </c>
      <c r="C710">
        <v>0</v>
      </c>
      <c r="D710">
        <v>1</v>
      </c>
      <c r="E710">
        <v>0</v>
      </c>
      <c r="F710">
        <v>0</v>
      </c>
      <c r="G710">
        <v>0</v>
      </c>
      <c r="H710">
        <f t="shared" si="11"/>
        <v>1</v>
      </c>
      <c r="K710" s="248">
        <v>0.78</v>
      </c>
      <c r="L710" s="249">
        <v>64102564.102564104</v>
      </c>
    </row>
    <row r="711" spans="1:12">
      <c r="A711">
        <v>3489</v>
      </c>
      <c r="C711">
        <v>0</v>
      </c>
      <c r="D711">
        <v>1</v>
      </c>
      <c r="E711">
        <v>2</v>
      </c>
      <c r="F711">
        <v>0</v>
      </c>
      <c r="G711">
        <v>0</v>
      </c>
      <c r="H711">
        <f t="shared" si="11"/>
        <v>3</v>
      </c>
      <c r="K711" s="248">
        <v>0.2</v>
      </c>
      <c r="L711" s="249">
        <v>80000000</v>
      </c>
    </row>
    <row r="712" spans="1:12">
      <c r="A712">
        <v>3490</v>
      </c>
      <c r="C712">
        <v>0</v>
      </c>
      <c r="D712">
        <v>0</v>
      </c>
      <c r="E712">
        <v>0</v>
      </c>
      <c r="F712">
        <v>1</v>
      </c>
      <c r="G712">
        <v>0</v>
      </c>
      <c r="H712">
        <f t="shared" si="11"/>
        <v>1</v>
      </c>
      <c r="K712" s="248">
        <v>1.31</v>
      </c>
      <c r="L712" s="249">
        <v>61832061.068702288</v>
      </c>
    </row>
    <row r="713" spans="1:12">
      <c r="A713">
        <v>3491</v>
      </c>
      <c r="C713">
        <v>1</v>
      </c>
      <c r="D713">
        <v>1</v>
      </c>
      <c r="E713">
        <v>1</v>
      </c>
      <c r="F713">
        <v>1</v>
      </c>
      <c r="G713">
        <v>1</v>
      </c>
      <c r="H713">
        <f t="shared" si="11"/>
        <v>5</v>
      </c>
      <c r="K713" s="248">
        <v>1.49</v>
      </c>
      <c r="L713" s="249">
        <v>51677852.348993286</v>
      </c>
    </row>
    <row r="714" spans="1:12">
      <c r="A714">
        <v>3492</v>
      </c>
      <c r="C714">
        <v>1</v>
      </c>
      <c r="D714">
        <v>1</v>
      </c>
      <c r="E714">
        <v>0</v>
      </c>
      <c r="F714">
        <v>1</v>
      </c>
      <c r="G714">
        <v>1</v>
      </c>
      <c r="H714">
        <f t="shared" si="11"/>
        <v>4</v>
      </c>
      <c r="K714" s="248">
        <v>1.07</v>
      </c>
      <c r="L714" s="249">
        <v>35514018.691588782</v>
      </c>
    </row>
    <row r="715" spans="1:12">
      <c r="A715">
        <v>3494</v>
      </c>
      <c r="C715">
        <v>0</v>
      </c>
      <c r="D715">
        <v>0</v>
      </c>
      <c r="E715">
        <v>0</v>
      </c>
      <c r="F715">
        <v>0</v>
      </c>
      <c r="G715">
        <v>0</v>
      </c>
      <c r="H715">
        <f t="shared" si="11"/>
        <v>0</v>
      </c>
      <c r="K715" s="248">
        <v>-0.12</v>
      </c>
      <c r="L715" s="249">
        <v>183333333.33333334</v>
      </c>
    </row>
    <row r="716" spans="1:12">
      <c r="A716">
        <v>3498</v>
      </c>
      <c r="C716">
        <v>1</v>
      </c>
      <c r="D716">
        <v>1</v>
      </c>
      <c r="E716">
        <v>1</v>
      </c>
      <c r="F716">
        <v>1</v>
      </c>
      <c r="G716">
        <v>0</v>
      </c>
      <c r="H716">
        <f t="shared" si="11"/>
        <v>4</v>
      </c>
      <c r="K716" s="248">
        <v>2.8</v>
      </c>
      <c r="L716" s="249">
        <v>76785714.285714284</v>
      </c>
    </row>
    <row r="717" spans="1:12">
      <c r="A717">
        <v>3499</v>
      </c>
      <c r="C717">
        <v>1</v>
      </c>
      <c r="D717">
        <v>1</v>
      </c>
      <c r="E717">
        <v>2</v>
      </c>
      <c r="F717">
        <v>1</v>
      </c>
      <c r="G717">
        <v>0</v>
      </c>
      <c r="H717">
        <f t="shared" si="11"/>
        <v>5</v>
      </c>
      <c r="K717" s="248">
        <v>0.28999999999999998</v>
      </c>
      <c r="L717" s="249">
        <v>0</v>
      </c>
    </row>
    <row r="718" spans="1:12">
      <c r="A718">
        <v>3501</v>
      </c>
      <c r="C718">
        <v>1</v>
      </c>
      <c r="D718">
        <v>1</v>
      </c>
      <c r="E718">
        <v>1</v>
      </c>
      <c r="F718">
        <v>1</v>
      </c>
      <c r="G718">
        <v>1</v>
      </c>
      <c r="H718">
        <f t="shared" si="11"/>
        <v>5</v>
      </c>
      <c r="K718" s="248">
        <v>2.31</v>
      </c>
      <c r="L718" s="249">
        <v>115584415.58441558</v>
      </c>
    </row>
    <row r="719" spans="1:12">
      <c r="A719">
        <v>3504</v>
      </c>
      <c r="C719">
        <v>0</v>
      </c>
      <c r="D719">
        <v>1</v>
      </c>
      <c r="E719">
        <v>1</v>
      </c>
      <c r="F719">
        <v>0</v>
      </c>
      <c r="G719">
        <v>0</v>
      </c>
      <c r="H719">
        <f t="shared" si="11"/>
        <v>2</v>
      </c>
      <c r="K719" s="248">
        <v>0.5</v>
      </c>
      <c r="L719" s="249">
        <v>116000000</v>
      </c>
    </row>
    <row r="720" spans="1:12">
      <c r="A720">
        <v>3508</v>
      </c>
      <c r="C720">
        <v>0</v>
      </c>
      <c r="D720">
        <v>1</v>
      </c>
      <c r="E720">
        <v>1</v>
      </c>
      <c r="F720">
        <v>1</v>
      </c>
      <c r="G720">
        <v>0</v>
      </c>
      <c r="H720">
        <f t="shared" si="11"/>
        <v>3</v>
      </c>
      <c r="K720" s="248">
        <v>-0.85</v>
      </c>
      <c r="L720" s="249">
        <v>91764705.882352948</v>
      </c>
    </row>
    <row r="721" spans="1:12">
      <c r="A721">
        <v>3511</v>
      </c>
      <c r="C721">
        <v>0</v>
      </c>
      <c r="D721">
        <v>1</v>
      </c>
      <c r="E721">
        <v>2</v>
      </c>
      <c r="F721">
        <v>1</v>
      </c>
      <c r="G721">
        <v>0</v>
      </c>
      <c r="H721">
        <f t="shared" si="11"/>
        <v>4</v>
      </c>
      <c r="K721" s="248">
        <v>1.01</v>
      </c>
      <c r="L721" s="249">
        <v>39603960.396039605</v>
      </c>
    </row>
    <row r="722" spans="1:12">
      <c r="A722">
        <v>3512</v>
      </c>
      <c r="C722">
        <v>1</v>
      </c>
      <c r="D722">
        <v>1</v>
      </c>
      <c r="E722">
        <v>2</v>
      </c>
      <c r="F722">
        <v>0</v>
      </c>
      <c r="G722">
        <v>0</v>
      </c>
      <c r="H722">
        <f t="shared" si="11"/>
        <v>4</v>
      </c>
      <c r="K722" s="248">
        <v>0.72</v>
      </c>
      <c r="L722" s="249">
        <v>59722222.222222224</v>
      </c>
    </row>
    <row r="723" spans="1:12">
      <c r="A723">
        <v>3514</v>
      </c>
      <c r="C723">
        <v>0</v>
      </c>
      <c r="D723">
        <v>1</v>
      </c>
      <c r="E723">
        <v>1</v>
      </c>
      <c r="F723">
        <v>1</v>
      </c>
      <c r="G723">
        <v>0</v>
      </c>
      <c r="H723">
        <f t="shared" si="11"/>
        <v>3</v>
      </c>
      <c r="K723" s="248">
        <v>0.32</v>
      </c>
      <c r="L723" s="249">
        <v>434375000</v>
      </c>
    </row>
    <row r="724" spans="1:12">
      <c r="A724">
        <v>3515</v>
      </c>
      <c r="C724">
        <v>0</v>
      </c>
      <c r="D724">
        <v>1</v>
      </c>
      <c r="E724">
        <v>0</v>
      </c>
      <c r="F724">
        <v>0</v>
      </c>
      <c r="G724">
        <v>0</v>
      </c>
      <c r="H724">
        <f t="shared" si="11"/>
        <v>1</v>
      </c>
      <c r="K724" s="248">
        <v>0.55000000000000004</v>
      </c>
      <c r="L724" s="249">
        <v>114545454.54545453</v>
      </c>
    </row>
    <row r="725" spans="1:12">
      <c r="A725">
        <v>3516</v>
      </c>
      <c r="C725">
        <v>0</v>
      </c>
      <c r="D725">
        <v>1</v>
      </c>
      <c r="E725">
        <v>0</v>
      </c>
      <c r="F725">
        <v>0</v>
      </c>
      <c r="G725">
        <v>0</v>
      </c>
      <c r="H725">
        <f t="shared" si="11"/>
        <v>1</v>
      </c>
      <c r="K725" s="248">
        <v>0.97</v>
      </c>
      <c r="L725" s="249">
        <v>71134020.618556708</v>
      </c>
    </row>
    <row r="726" spans="1:12">
      <c r="A726">
        <v>3518</v>
      </c>
      <c r="C726">
        <v>0</v>
      </c>
      <c r="D726">
        <v>1</v>
      </c>
      <c r="E726">
        <v>0</v>
      </c>
      <c r="F726">
        <v>0</v>
      </c>
      <c r="G726">
        <v>0</v>
      </c>
      <c r="H726">
        <f t="shared" si="11"/>
        <v>1</v>
      </c>
      <c r="K726" s="248">
        <v>-0.51</v>
      </c>
      <c r="L726" s="249">
        <v>86274509.803921565</v>
      </c>
    </row>
    <row r="727" spans="1:12">
      <c r="A727">
        <v>3519</v>
      </c>
      <c r="C727">
        <v>0</v>
      </c>
      <c r="D727">
        <v>1</v>
      </c>
      <c r="E727">
        <v>2</v>
      </c>
      <c r="F727">
        <v>0</v>
      </c>
      <c r="G727">
        <v>0</v>
      </c>
      <c r="H727">
        <f t="shared" si="11"/>
        <v>3</v>
      </c>
      <c r="K727" s="248">
        <v>-1.37</v>
      </c>
      <c r="L727" s="249">
        <v>413868613.13868612</v>
      </c>
    </row>
    <row r="728" spans="1:12">
      <c r="A728">
        <v>3520</v>
      </c>
      <c r="C728">
        <v>1</v>
      </c>
      <c r="D728">
        <v>1</v>
      </c>
      <c r="E728">
        <v>1</v>
      </c>
      <c r="F728">
        <v>1</v>
      </c>
      <c r="G728">
        <v>0</v>
      </c>
      <c r="H728">
        <f t="shared" si="11"/>
        <v>4</v>
      </c>
      <c r="K728" s="248">
        <v>0.15</v>
      </c>
      <c r="L728" s="249">
        <v>53333333.333333336</v>
      </c>
    </row>
    <row r="729" spans="1:12">
      <c r="A729">
        <v>3521</v>
      </c>
      <c r="C729">
        <v>1</v>
      </c>
      <c r="D729">
        <v>1</v>
      </c>
      <c r="E729">
        <v>1</v>
      </c>
      <c r="F729">
        <v>0</v>
      </c>
      <c r="G729">
        <v>0</v>
      </c>
      <c r="H729">
        <f t="shared" si="11"/>
        <v>3</v>
      </c>
      <c r="K729" s="248">
        <v>0.36</v>
      </c>
      <c r="L729" s="249">
        <v>47222222.222222224</v>
      </c>
    </row>
    <row r="730" spans="1:12">
      <c r="A730">
        <v>3522</v>
      </c>
      <c r="C730">
        <v>0</v>
      </c>
      <c r="D730">
        <v>1</v>
      </c>
      <c r="E730">
        <v>2</v>
      </c>
      <c r="F730">
        <v>0</v>
      </c>
      <c r="G730">
        <v>0</v>
      </c>
      <c r="H730">
        <f t="shared" si="11"/>
        <v>3</v>
      </c>
      <c r="K730" s="248">
        <v>0.13</v>
      </c>
      <c r="L730" s="249">
        <v>46153846.153846152</v>
      </c>
    </row>
    <row r="731" spans="1:12">
      <c r="A731">
        <v>3523</v>
      </c>
      <c r="C731">
        <v>0</v>
      </c>
      <c r="D731">
        <v>1</v>
      </c>
      <c r="E731">
        <v>0</v>
      </c>
      <c r="F731">
        <v>0</v>
      </c>
      <c r="G731">
        <v>0</v>
      </c>
      <c r="H731">
        <f t="shared" si="11"/>
        <v>1</v>
      </c>
      <c r="K731" s="248">
        <v>-0.56999999999999995</v>
      </c>
      <c r="L731" s="249">
        <v>96491228.070175454</v>
      </c>
    </row>
    <row r="732" spans="1:12">
      <c r="A732">
        <v>3526</v>
      </c>
      <c r="C732">
        <v>0</v>
      </c>
      <c r="D732">
        <v>1</v>
      </c>
      <c r="E732">
        <v>2</v>
      </c>
      <c r="F732">
        <v>1</v>
      </c>
      <c r="G732">
        <v>0</v>
      </c>
      <c r="H732">
        <f t="shared" si="11"/>
        <v>4</v>
      </c>
      <c r="K732" s="248">
        <v>0.64</v>
      </c>
      <c r="L732" s="249">
        <v>65625000</v>
      </c>
    </row>
    <row r="733" spans="1:12">
      <c r="A733">
        <v>3527</v>
      </c>
      <c r="C733">
        <v>0</v>
      </c>
      <c r="D733">
        <v>1</v>
      </c>
      <c r="E733">
        <v>0</v>
      </c>
      <c r="F733">
        <v>0</v>
      </c>
      <c r="G733">
        <v>0</v>
      </c>
      <c r="H733">
        <f t="shared" si="11"/>
        <v>1</v>
      </c>
      <c r="K733" s="248">
        <v>1.59</v>
      </c>
      <c r="L733" s="249">
        <v>32704402.515723269</v>
      </c>
    </row>
    <row r="734" spans="1:12">
      <c r="A734">
        <v>3528</v>
      </c>
      <c r="C734">
        <v>0</v>
      </c>
      <c r="D734">
        <v>1</v>
      </c>
      <c r="E734">
        <v>0</v>
      </c>
      <c r="F734">
        <v>0</v>
      </c>
      <c r="G734">
        <v>0</v>
      </c>
      <c r="H734">
        <f t="shared" si="11"/>
        <v>1</v>
      </c>
      <c r="K734" s="248">
        <v>0.9</v>
      </c>
      <c r="L734" s="249">
        <v>56666666.666666664</v>
      </c>
    </row>
    <row r="735" spans="1:12">
      <c r="A735">
        <v>3529</v>
      </c>
      <c r="C735">
        <v>0</v>
      </c>
      <c r="D735">
        <v>0</v>
      </c>
      <c r="E735">
        <v>1</v>
      </c>
      <c r="F735">
        <v>1</v>
      </c>
      <c r="G735">
        <v>0</v>
      </c>
      <c r="H735">
        <f t="shared" si="11"/>
        <v>2</v>
      </c>
      <c r="K735" s="248">
        <v>1.4</v>
      </c>
      <c r="L735" s="249">
        <v>75714285.714285716</v>
      </c>
    </row>
    <row r="736" spans="1:12">
      <c r="A736">
        <v>3531</v>
      </c>
      <c r="C736">
        <v>0</v>
      </c>
      <c r="D736">
        <v>1</v>
      </c>
      <c r="E736">
        <v>1</v>
      </c>
      <c r="F736">
        <v>0</v>
      </c>
      <c r="G736">
        <v>0</v>
      </c>
      <c r="H736">
        <f t="shared" si="11"/>
        <v>2</v>
      </c>
      <c r="K736" s="248">
        <v>0.14000000000000001</v>
      </c>
      <c r="L736" s="249">
        <v>57142857.142857134</v>
      </c>
    </row>
    <row r="737" spans="1:12">
      <c r="A737">
        <v>3532</v>
      </c>
      <c r="C737">
        <v>1</v>
      </c>
      <c r="D737">
        <v>1</v>
      </c>
      <c r="E737">
        <v>0</v>
      </c>
      <c r="F737">
        <v>1</v>
      </c>
      <c r="G737">
        <v>0</v>
      </c>
      <c r="H737">
        <f t="shared" si="11"/>
        <v>3</v>
      </c>
      <c r="K737" s="248">
        <v>0.53</v>
      </c>
      <c r="L737" s="249">
        <v>781132075.47169805</v>
      </c>
    </row>
    <row r="738" spans="1:12">
      <c r="A738">
        <v>3533</v>
      </c>
      <c r="C738">
        <v>1</v>
      </c>
      <c r="D738">
        <v>1</v>
      </c>
      <c r="E738">
        <v>2</v>
      </c>
      <c r="F738">
        <v>1</v>
      </c>
      <c r="G738">
        <v>0</v>
      </c>
      <c r="H738">
        <f t="shared" si="11"/>
        <v>5</v>
      </c>
      <c r="K738" s="248">
        <v>3.3</v>
      </c>
      <c r="L738" s="249">
        <v>93636363.63636364</v>
      </c>
    </row>
    <row r="739" spans="1:12">
      <c r="A739">
        <v>3535</v>
      </c>
      <c r="C739">
        <v>0</v>
      </c>
      <c r="D739">
        <v>1</v>
      </c>
      <c r="E739">
        <v>1</v>
      </c>
      <c r="F739">
        <v>0</v>
      </c>
      <c r="G739">
        <v>0</v>
      </c>
      <c r="H739">
        <f t="shared" si="11"/>
        <v>2</v>
      </c>
      <c r="K739" s="248">
        <v>0.08</v>
      </c>
      <c r="L739" s="249">
        <v>87500000</v>
      </c>
    </row>
    <row r="740" spans="1:12">
      <c r="A740">
        <v>3536</v>
      </c>
      <c r="C740">
        <v>1</v>
      </c>
      <c r="D740">
        <v>1</v>
      </c>
      <c r="E740">
        <v>1</v>
      </c>
      <c r="F740">
        <v>1</v>
      </c>
      <c r="G740">
        <v>0</v>
      </c>
      <c r="H740">
        <f t="shared" si="11"/>
        <v>4</v>
      </c>
      <c r="K740" s="248">
        <v>-0.04</v>
      </c>
      <c r="L740" s="249">
        <v>100000000</v>
      </c>
    </row>
    <row r="741" spans="1:12">
      <c r="A741">
        <v>3537</v>
      </c>
      <c r="C741">
        <v>1</v>
      </c>
      <c r="D741">
        <v>1</v>
      </c>
      <c r="E741">
        <v>0</v>
      </c>
      <c r="F741">
        <v>0</v>
      </c>
      <c r="G741">
        <v>0</v>
      </c>
      <c r="H741">
        <f t="shared" si="11"/>
        <v>2</v>
      </c>
      <c r="K741" s="248">
        <v>0.83</v>
      </c>
      <c r="L741" s="249">
        <v>48192771.084337354</v>
      </c>
    </row>
    <row r="742" spans="1:12">
      <c r="A742">
        <v>3540</v>
      </c>
      <c r="C742">
        <v>1</v>
      </c>
      <c r="D742">
        <v>1</v>
      </c>
      <c r="E742">
        <v>0</v>
      </c>
      <c r="F742">
        <v>0</v>
      </c>
      <c r="G742">
        <v>0</v>
      </c>
      <c r="H742">
        <f t="shared" si="11"/>
        <v>2</v>
      </c>
      <c r="K742" s="248">
        <v>0.25</v>
      </c>
      <c r="L742" s="249">
        <v>64000000</v>
      </c>
    </row>
    <row r="743" spans="1:12">
      <c r="A743">
        <v>3541</v>
      </c>
      <c r="C743">
        <v>0</v>
      </c>
      <c r="D743">
        <v>1</v>
      </c>
      <c r="E743">
        <v>1</v>
      </c>
      <c r="F743">
        <v>1</v>
      </c>
      <c r="G743">
        <v>0</v>
      </c>
      <c r="H743">
        <f t="shared" si="11"/>
        <v>3</v>
      </c>
      <c r="K743" s="248">
        <v>1.1100000000000001</v>
      </c>
      <c r="L743" s="249">
        <v>44144144.14414414</v>
      </c>
    </row>
    <row r="744" spans="1:12">
      <c r="A744">
        <v>3545</v>
      </c>
      <c r="C744">
        <v>1</v>
      </c>
      <c r="D744">
        <v>1</v>
      </c>
      <c r="E744">
        <v>0</v>
      </c>
      <c r="F744">
        <v>1</v>
      </c>
      <c r="G744">
        <v>0</v>
      </c>
      <c r="H744">
        <f t="shared" si="11"/>
        <v>3</v>
      </c>
      <c r="K744" s="248">
        <v>0.49</v>
      </c>
      <c r="L744" s="249">
        <v>408163265.30612248</v>
      </c>
    </row>
    <row r="745" spans="1:12">
      <c r="A745">
        <v>3546</v>
      </c>
      <c r="C745">
        <v>0</v>
      </c>
      <c r="D745">
        <v>1</v>
      </c>
      <c r="E745">
        <v>2</v>
      </c>
      <c r="F745">
        <v>0</v>
      </c>
      <c r="G745">
        <v>0</v>
      </c>
      <c r="H745">
        <f t="shared" si="11"/>
        <v>3</v>
      </c>
      <c r="K745" s="248">
        <v>0.28000000000000003</v>
      </c>
      <c r="L745" s="249">
        <v>32142857.142857138</v>
      </c>
    </row>
    <row r="746" spans="1:12">
      <c r="A746">
        <v>3548</v>
      </c>
      <c r="C746">
        <v>1</v>
      </c>
      <c r="D746">
        <v>1</v>
      </c>
      <c r="E746">
        <v>1</v>
      </c>
      <c r="F746">
        <v>1</v>
      </c>
      <c r="G746">
        <v>0</v>
      </c>
      <c r="H746">
        <f t="shared" si="11"/>
        <v>4</v>
      </c>
      <c r="K746" s="248">
        <v>2.27</v>
      </c>
      <c r="L746" s="249">
        <v>50660792.951541848</v>
      </c>
    </row>
    <row r="747" spans="1:12">
      <c r="A747">
        <v>3550</v>
      </c>
      <c r="C747">
        <v>0</v>
      </c>
      <c r="D747">
        <v>1</v>
      </c>
      <c r="E747">
        <v>0</v>
      </c>
      <c r="F747">
        <v>1</v>
      </c>
      <c r="G747">
        <v>0</v>
      </c>
      <c r="H747">
        <f t="shared" si="11"/>
        <v>2</v>
      </c>
      <c r="K747" s="248">
        <v>0.48</v>
      </c>
      <c r="L747" s="249">
        <v>85416666.666666672</v>
      </c>
    </row>
    <row r="748" spans="1:12">
      <c r="A748">
        <v>3551</v>
      </c>
      <c r="C748">
        <v>0</v>
      </c>
      <c r="D748">
        <v>1</v>
      </c>
      <c r="E748">
        <v>0</v>
      </c>
      <c r="F748">
        <v>0</v>
      </c>
      <c r="G748">
        <v>0</v>
      </c>
      <c r="H748">
        <f t="shared" si="11"/>
        <v>1</v>
      </c>
      <c r="K748" s="248">
        <v>1.1000000000000001</v>
      </c>
      <c r="L748" s="249">
        <v>57272727.272727266</v>
      </c>
    </row>
    <row r="749" spans="1:12">
      <c r="A749">
        <v>3552</v>
      </c>
      <c r="C749">
        <v>1</v>
      </c>
      <c r="D749">
        <v>1</v>
      </c>
      <c r="E749">
        <v>0</v>
      </c>
      <c r="F749">
        <v>1</v>
      </c>
      <c r="G749">
        <v>0</v>
      </c>
      <c r="H749">
        <f t="shared" si="11"/>
        <v>3</v>
      </c>
      <c r="K749" s="248">
        <v>2.64</v>
      </c>
      <c r="L749" s="249">
        <v>84469696.969696969</v>
      </c>
    </row>
    <row r="750" spans="1:12">
      <c r="A750">
        <v>3553</v>
      </c>
      <c r="C750">
        <v>0</v>
      </c>
      <c r="D750">
        <v>0</v>
      </c>
      <c r="E750">
        <v>0</v>
      </c>
      <c r="F750">
        <v>0</v>
      </c>
      <c r="G750">
        <v>0</v>
      </c>
      <c r="H750">
        <f t="shared" si="11"/>
        <v>0</v>
      </c>
      <c r="K750" s="248">
        <v>-0.08</v>
      </c>
      <c r="L750" s="249">
        <v>62500000</v>
      </c>
    </row>
    <row r="751" spans="1:12">
      <c r="A751">
        <v>3555</v>
      </c>
      <c r="C751">
        <v>0</v>
      </c>
      <c r="D751">
        <v>1</v>
      </c>
      <c r="E751">
        <v>0</v>
      </c>
      <c r="F751">
        <v>0</v>
      </c>
      <c r="G751">
        <v>0</v>
      </c>
      <c r="H751">
        <f t="shared" si="11"/>
        <v>1</v>
      </c>
      <c r="K751" s="248">
        <v>-3.62</v>
      </c>
      <c r="L751" s="249">
        <v>20165745.856353592</v>
      </c>
    </row>
    <row r="752" spans="1:12">
      <c r="A752">
        <v>3556</v>
      </c>
      <c r="C752">
        <v>0</v>
      </c>
      <c r="D752">
        <v>0</v>
      </c>
      <c r="E752">
        <v>0</v>
      </c>
      <c r="F752">
        <v>1</v>
      </c>
      <c r="G752">
        <v>0</v>
      </c>
      <c r="H752">
        <f t="shared" si="11"/>
        <v>1</v>
      </c>
      <c r="K752" s="248">
        <v>0.88</v>
      </c>
      <c r="L752" s="249">
        <v>54545454.545454547</v>
      </c>
    </row>
    <row r="753" spans="1:12">
      <c r="A753">
        <v>3557</v>
      </c>
      <c r="C753">
        <v>0</v>
      </c>
      <c r="D753">
        <v>1</v>
      </c>
      <c r="E753">
        <v>0</v>
      </c>
      <c r="F753">
        <v>1</v>
      </c>
      <c r="G753">
        <v>0</v>
      </c>
      <c r="H753">
        <f t="shared" si="11"/>
        <v>2</v>
      </c>
      <c r="K753" s="248">
        <v>-0.1</v>
      </c>
      <c r="L753" s="249">
        <v>110000000</v>
      </c>
    </row>
    <row r="754" spans="1:12">
      <c r="A754">
        <v>3558</v>
      </c>
      <c r="C754">
        <v>1</v>
      </c>
      <c r="D754">
        <v>1</v>
      </c>
      <c r="E754">
        <v>2</v>
      </c>
      <c r="F754">
        <v>1</v>
      </c>
      <c r="G754">
        <v>1</v>
      </c>
      <c r="H754">
        <f t="shared" si="11"/>
        <v>6</v>
      </c>
      <c r="K754" s="248">
        <v>5.14</v>
      </c>
      <c r="L754" s="249">
        <v>49027237.354085609</v>
      </c>
    </row>
    <row r="755" spans="1:12">
      <c r="A755">
        <v>3559</v>
      </c>
      <c r="C755">
        <v>0</v>
      </c>
      <c r="D755">
        <v>1</v>
      </c>
      <c r="E755">
        <v>1</v>
      </c>
      <c r="F755">
        <v>1</v>
      </c>
      <c r="G755">
        <v>0</v>
      </c>
      <c r="H755">
        <f t="shared" si="11"/>
        <v>3</v>
      </c>
      <c r="K755" s="248">
        <v>0.65</v>
      </c>
      <c r="L755" s="249">
        <v>120000000</v>
      </c>
    </row>
    <row r="756" spans="1:12">
      <c r="A756">
        <v>3561</v>
      </c>
      <c r="C756">
        <v>0</v>
      </c>
      <c r="D756">
        <v>1</v>
      </c>
      <c r="E756">
        <v>2</v>
      </c>
      <c r="F756">
        <v>1</v>
      </c>
      <c r="G756">
        <v>0</v>
      </c>
      <c r="H756">
        <f t="shared" si="11"/>
        <v>4</v>
      </c>
      <c r="K756" s="248">
        <v>0.06</v>
      </c>
      <c r="L756" s="249">
        <v>383333333.33333337</v>
      </c>
    </row>
    <row r="757" spans="1:12">
      <c r="A757">
        <v>3562</v>
      </c>
      <c r="C757">
        <v>0</v>
      </c>
      <c r="D757">
        <v>0</v>
      </c>
      <c r="E757">
        <v>0</v>
      </c>
      <c r="F757">
        <v>0</v>
      </c>
      <c r="G757">
        <v>0</v>
      </c>
      <c r="H757">
        <f t="shared" si="11"/>
        <v>0</v>
      </c>
      <c r="K757" s="248">
        <v>-0.11</v>
      </c>
      <c r="L757" s="249">
        <v>54545454.545454547</v>
      </c>
    </row>
    <row r="758" spans="1:12">
      <c r="A758">
        <v>3563</v>
      </c>
      <c r="C758">
        <v>1</v>
      </c>
      <c r="D758">
        <v>1</v>
      </c>
      <c r="E758">
        <v>0</v>
      </c>
      <c r="F758">
        <v>0</v>
      </c>
      <c r="G758">
        <v>0</v>
      </c>
      <c r="H758">
        <f t="shared" si="11"/>
        <v>2</v>
      </c>
      <c r="K758" s="248">
        <v>1.51</v>
      </c>
      <c r="L758" s="249">
        <v>42384105.960264899</v>
      </c>
    </row>
    <row r="759" spans="1:12">
      <c r="A759">
        <v>3564</v>
      </c>
      <c r="C759">
        <v>0</v>
      </c>
      <c r="D759">
        <v>1</v>
      </c>
      <c r="E759">
        <v>0</v>
      </c>
      <c r="F759">
        <v>1</v>
      </c>
      <c r="G759">
        <v>1</v>
      </c>
      <c r="H759">
        <f t="shared" si="11"/>
        <v>3</v>
      </c>
      <c r="K759" s="248">
        <v>1.91</v>
      </c>
      <c r="L759" s="249">
        <v>20418848.167539269</v>
      </c>
    </row>
    <row r="760" spans="1:12">
      <c r="A760">
        <v>3567</v>
      </c>
      <c r="C760">
        <v>0</v>
      </c>
      <c r="D760">
        <v>1</v>
      </c>
      <c r="E760">
        <v>1</v>
      </c>
      <c r="F760">
        <v>1</v>
      </c>
      <c r="G760">
        <v>0</v>
      </c>
      <c r="H760">
        <f t="shared" si="11"/>
        <v>3</v>
      </c>
      <c r="K760" s="248">
        <v>0.38</v>
      </c>
      <c r="L760" s="249">
        <v>36842105.263157897</v>
      </c>
    </row>
    <row r="761" spans="1:12">
      <c r="A761">
        <v>3570</v>
      </c>
      <c r="C761">
        <v>0</v>
      </c>
      <c r="D761">
        <v>0</v>
      </c>
      <c r="E761">
        <v>2</v>
      </c>
      <c r="F761">
        <v>0</v>
      </c>
      <c r="G761">
        <v>0</v>
      </c>
      <c r="H761">
        <f t="shared" si="11"/>
        <v>2</v>
      </c>
      <c r="K761" s="248">
        <v>1.1100000000000001</v>
      </c>
      <c r="L761" s="249">
        <v>17117117.117117114</v>
      </c>
    </row>
    <row r="762" spans="1:12">
      <c r="A762">
        <v>3573</v>
      </c>
      <c r="C762">
        <v>1</v>
      </c>
      <c r="D762">
        <v>1</v>
      </c>
      <c r="E762">
        <v>2</v>
      </c>
      <c r="F762">
        <v>0</v>
      </c>
      <c r="G762">
        <v>0</v>
      </c>
      <c r="H762">
        <f t="shared" si="11"/>
        <v>4</v>
      </c>
      <c r="K762" s="248">
        <v>0.39</v>
      </c>
      <c r="L762" s="249">
        <v>125641025.64102563</v>
      </c>
    </row>
    <row r="763" spans="1:12">
      <c r="A763">
        <v>3576</v>
      </c>
      <c r="C763">
        <v>0</v>
      </c>
      <c r="D763">
        <v>1</v>
      </c>
      <c r="E763">
        <v>1</v>
      </c>
      <c r="F763">
        <v>0</v>
      </c>
      <c r="G763">
        <v>0</v>
      </c>
      <c r="H763">
        <f t="shared" si="11"/>
        <v>2</v>
      </c>
      <c r="K763" s="248">
        <v>-0.42</v>
      </c>
      <c r="L763" s="249">
        <v>859523809.52380955</v>
      </c>
    </row>
    <row r="764" spans="1:12">
      <c r="A764">
        <v>3577</v>
      </c>
      <c r="C764">
        <v>0</v>
      </c>
      <c r="D764">
        <v>1</v>
      </c>
      <c r="E764">
        <v>0</v>
      </c>
      <c r="F764">
        <v>1</v>
      </c>
      <c r="G764">
        <v>0</v>
      </c>
      <c r="H764">
        <f t="shared" si="11"/>
        <v>2</v>
      </c>
      <c r="K764" s="248">
        <v>0.54</v>
      </c>
      <c r="L764" s="249">
        <v>42592592.59259259</v>
      </c>
    </row>
    <row r="765" spans="1:12">
      <c r="A765">
        <v>3579</v>
      </c>
      <c r="C765">
        <v>0</v>
      </c>
      <c r="D765">
        <v>1</v>
      </c>
      <c r="E765">
        <v>2</v>
      </c>
      <c r="F765">
        <v>0</v>
      </c>
      <c r="G765">
        <v>0</v>
      </c>
      <c r="H765">
        <f t="shared" si="11"/>
        <v>3</v>
      </c>
      <c r="K765" s="248">
        <v>-1.61</v>
      </c>
      <c r="L765" s="249">
        <v>115527950.310559</v>
      </c>
    </row>
    <row r="766" spans="1:12">
      <c r="A766">
        <v>3580</v>
      </c>
      <c r="C766">
        <v>0</v>
      </c>
      <c r="D766">
        <v>1</v>
      </c>
      <c r="E766">
        <v>0</v>
      </c>
      <c r="F766">
        <v>0</v>
      </c>
      <c r="G766">
        <v>0</v>
      </c>
      <c r="H766">
        <f t="shared" si="11"/>
        <v>1</v>
      </c>
      <c r="K766" s="248">
        <v>-0.19</v>
      </c>
      <c r="L766" s="249">
        <v>52631578.947368421</v>
      </c>
    </row>
    <row r="767" spans="1:12">
      <c r="A767">
        <v>3581</v>
      </c>
      <c r="C767">
        <v>0</v>
      </c>
      <c r="D767">
        <v>1</v>
      </c>
      <c r="E767">
        <v>0</v>
      </c>
      <c r="F767">
        <v>1</v>
      </c>
      <c r="G767">
        <v>1</v>
      </c>
      <c r="H767">
        <f t="shared" si="11"/>
        <v>3</v>
      </c>
      <c r="K767" s="248">
        <v>0.22</v>
      </c>
      <c r="L767" s="249">
        <v>50000000</v>
      </c>
    </row>
    <row r="768" spans="1:12">
      <c r="A768">
        <v>3583</v>
      </c>
      <c r="C768">
        <v>0</v>
      </c>
      <c r="D768">
        <v>1</v>
      </c>
      <c r="E768">
        <v>1</v>
      </c>
      <c r="F768">
        <v>1</v>
      </c>
      <c r="G768">
        <v>0</v>
      </c>
      <c r="H768">
        <f t="shared" si="11"/>
        <v>3</v>
      </c>
      <c r="K768" s="248">
        <v>0.05</v>
      </c>
      <c r="L768" s="249">
        <v>80000000</v>
      </c>
    </row>
    <row r="769" spans="1:12">
      <c r="A769">
        <v>3584</v>
      </c>
      <c r="C769">
        <v>0</v>
      </c>
      <c r="D769">
        <v>0</v>
      </c>
      <c r="E769">
        <v>0</v>
      </c>
      <c r="F769">
        <v>0</v>
      </c>
      <c r="G769">
        <v>0</v>
      </c>
      <c r="H769">
        <f t="shared" si="11"/>
        <v>0</v>
      </c>
      <c r="K769" s="248">
        <v>-3.01</v>
      </c>
      <c r="L769" s="249">
        <v>140531561.46179402</v>
      </c>
    </row>
    <row r="770" spans="1:12">
      <c r="A770">
        <v>3587</v>
      </c>
      <c r="C770">
        <v>0</v>
      </c>
      <c r="D770">
        <v>1</v>
      </c>
      <c r="E770">
        <v>1</v>
      </c>
      <c r="F770">
        <v>1</v>
      </c>
      <c r="G770">
        <v>1</v>
      </c>
      <c r="H770">
        <f t="shared" ref="H770:H833" si="12">SUM(C770:G770)</f>
        <v>4</v>
      </c>
      <c r="K770" s="248">
        <v>1.33</v>
      </c>
      <c r="L770" s="249">
        <v>45864661.654135339</v>
      </c>
    </row>
    <row r="771" spans="1:12">
      <c r="A771">
        <v>3588</v>
      </c>
      <c r="C771">
        <v>1</v>
      </c>
      <c r="D771">
        <v>1</v>
      </c>
      <c r="E771">
        <v>1</v>
      </c>
      <c r="F771">
        <v>0</v>
      </c>
      <c r="G771">
        <v>0</v>
      </c>
      <c r="H771">
        <f t="shared" si="12"/>
        <v>3</v>
      </c>
      <c r="K771" s="248">
        <v>0.77</v>
      </c>
      <c r="L771" s="249">
        <v>45454545.454545453</v>
      </c>
    </row>
    <row r="772" spans="1:12">
      <c r="A772">
        <v>3591</v>
      </c>
      <c r="C772">
        <v>0</v>
      </c>
      <c r="D772">
        <v>1</v>
      </c>
      <c r="E772">
        <v>0</v>
      </c>
      <c r="F772">
        <v>1</v>
      </c>
      <c r="G772">
        <v>0</v>
      </c>
      <c r="H772">
        <f t="shared" si="12"/>
        <v>2</v>
      </c>
      <c r="K772" s="248">
        <v>0.01</v>
      </c>
      <c r="L772" s="249">
        <v>200000000</v>
      </c>
    </row>
    <row r="773" spans="1:12">
      <c r="A773">
        <v>3593</v>
      </c>
      <c r="C773">
        <v>0</v>
      </c>
      <c r="D773">
        <v>1</v>
      </c>
      <c r="E773">
        <v>1</v>
      </c>
      <c r="F773">
        <v>0</v>
      </c>
      <c r="G773">
        <v>1</v>
      </c>
      <c r="H773">
        <f t="shared" si="12"/>
        <v>3</v>
      </c>
      <c r="K773" s="248">
        <v>-0.18</v>
      </c>
      <c r="L773" s="249">
        <v>111111111.11111112</v>
      </c>
    </row>
    <row r="774" spans="1:12">
      <c r="A774">
        <v>3594</v>
      </c>
      <c r="C774">
        <v>0</v>
      </c>
      <c r="D774">
        <v>0</v>
      </c>
      <c r="E774">
        <v>0</v>
      </c>
      <c r="F774">
        <v>0</v>
      </c>
      <c r="G774">
        <v>0</v>
      </c>
      <c r="H774">
        <f t="shared" si="12"/>
        <v>0</v>
      </c>
      <c r="K774" s="248">
        <v>0.15</v>
      </c>
      <c r="L774" s="249">
        <v>53333333.333333336</v>
      </c>
    </row>
    <row r="775" spans="1:12">
      <c r="A775">
        <v>3596</v>
      </c>
      <c r="C775">
        <v>1</v>
      </c>
      <c r="D775">
        <v>1</v>
      </c>
      <c r="E775">
        <v>1</v>
      </c>
      <c r="F775">
        <v>0</v>
      </c>
      <c r="G775">
        <v>0</v>
      </c>
      <c r="H775">
        <f t="shared" si="12"/>
        <v>3</v>
      </c>
      <c r="K775" s="248">
        <v>1.42</v>
      </c>
      <c r="L775" s="249">
        <v>188732394.3661972</v>
      </c>
    </row>
    <row r="776" spans="1:12">
      <c r="A776">
        <v>3598</v>
      </c>
      <c r="C776">
        <v>0</v>
      </c>
      <c r="D776">
        <v>1</v>
      </c>
      <c r="E776">
        <v>0</v>
      </c>
      <c r="F776">
        <v>1</v>
      </c>
      <c r="G776">
        <v>0</v>
      </c>
      <c r="H776">
        <f t="shared" si="12"/>
        <v>2</v>
      </c>
      <c r="K776" s="248">
        <v>1.4</v>
      </c>
      <c r="L776" s="249">
        <v>72142857.142857149</v>
      </c>
    </row>
    <row r="777" spans="1:12">
      <c r="A777">
        <v>3605</v>
      </c>
      <c r="C777">
        <v>0</v>
      </c>
      <c r="D777">
        <v>1</v>
      </c>
      <c r="E777">
        <v>2</v>
      </c>
      <c r="F777">
        <v>1</v>
      </c>
      <c r="G777">
        <v>0</v>
      </c>
      <c r="H777">
        <f t="shared" si="12"/>
        <v>4</v>
      </c>
      <c r="K777" s="248">
        <v>0.76</v>
      </c>
      <c r="L777" s="249">
        <v>121052631.57894737</v>
      </c>
    </row>
    <row r="778" spans="1:12">
      <c r="A778">
        <v>3607</v>
      </c>
      <c r="C778">
        <v>0</v>
      </c>
      <c r="D778">
        <v>1</v>
      </c>
      <c r="E778">
        <v>0</v>
      </c>
      <c r="F778">
        <v>1</v>
      </c>
      <c r="G778">
        <v>0</v>
      </c>
      <c r="H778">
        <f t="shared" si="12"/>
        <v>2</v>
      </c>
      <c r="K778" s="248">
        <v>1.39</v>
      </c>
      <c r="L778" s="249">
        <v>123741007.19424461</v>
      </c>
    </row>
    <row r="779" spans="1:12">
      <c r="A779">
        <v>3609</v>
      </c>
      <c r="C779">
        <v>0</v>
      </c>
      <c r="D779">
        <v>1</v>
      </c>
      <c r="E779">
        <v>2</v>
      </c>
      <c r="F779">
        <v>0</v>
      </c>
      <c r="G779">
        <v>0</v>
      </c>
      <c r="H779">
        <f t="shared" si="12"/>
        <v>3</v>
      </c>
      <c r="K779" s="248">
        <v>-0.08</v>
      </c>
      <c r="L779" s="249">
        <v>25000000</v>
      </c>
    </row>
    <row r="780" spans="1:12">
      <c r="A780">
        <v>3611</v>
      </c>
      <c r="C780">
        <v>1</v>
      </c>
      <c r="D780">
        <v>1</v>
      </c>
      <c r="E780">
        <v>0</v>
      </c>
      <c r="F780">
        <v>1</v>
      </c>
      <c r="G780">
        <v>0</v>
      </c>
      <c r="H780">
        <f t="shared" si="12"/>
        <v>3</v>
      </c>
      <c r="K780" s="248">
        <v>4.6100000000000003</v>
      </c>
      <c r="L780" s="249">
        <v>38177874.186550975</v>
      </c>
    </row>
    <row r="781" spans="1:12">
      <c r="A781">
        <v>3615</v>
      </c>
      <c r="C781">
        <v>1</v>
      </c>
      <c r="D781">
        <v>1</v>
      </c>
      <c r="E781">
        <v>1</v>
      </c>
      <c r="F781">
        <v>1</v>
      </c>
      <c r="G781">
        <v>0</v>
      </c>
      <c r="H781">
        <f t="shared" si="12"/>
        <v>4</v>
      </c>
      <c r="K781" s="248">
        <v>0.45</v>
      </c>
      <c r="L781" s="249">
        <v>71111111.111111104</v>
      </c>
    </row>
    <row r="782" spans="1:12">
      <c r="A782">
        <v>3617</v>
      </c>
      <c r="C782">
        <v>1</v>
      </c>
      <c r="D782">
        <v>1</v>
      </c>
      <c r="E782">
        <v>0</v>
      </c>
      <c r="F782">
        <v>1</v>
      </c>
      <c r="G782">
        <v>0</v>
      </c>
      <c r="H782">
        <f t="shared" si="12"/>
        <v>3</v>
      </c>
      <c r="K782" s="248">
        <v>3.66</v>
      </c>
      <c r="L782" s="249">
        <v>80874316.939890712</v>
      </c>
    </row>
    <row r="783" spans="1:12">
      <c r="A783">
        <v>3622</v>
      </c>
      <c r="C783">
        <v>0</v>
      </c>
      <c r="D783">
        <v>1</v>
      </c>
      <c r="E783">
        <v>0</v>
      </c>
      <c r="F783">
        <v>1</v>
      </c>
      <c r="G783">
        <v>0</v>
      </c>
      <c r="H783">
        <f t="shared" si="12"/>
        <v>2</v>
      </c>
      <c r="K783" s="248">
        <v>-1.32</v>
      </c>
      <c r="L783" s="249">
        <v>151515151.5151515</v>
      </c>
    </row>
    <row r="784" spans="1:12">
      <c r="A784">
        <v>3623</v>
      </c>
      <c r="C784">
        <v>0</v>
      </c>
      <c r="D784">
        <v>1</v>
      </c>
      <c r="E784">
        <v>1</v>
      </c>
      <c r="F784">
        <v>1</v>
      </c>
      <c r="G784">
        <v>0</v>
      </c>
      <c r="H784">
        <f t="shared" si="12"/>
        <v>3</v>
      </c>
      <c r="K784" s="248">
        <v>0.87</v>
      </c>
      <c r="L784" s="249">
        <v>58620689.655172415</v>
      </c>
    </row>
    <row r="785" spans="1:12">
      <c r="A785">
        <v>3624</v>
      </c>
      <c r="C785">
        <v>1</v>
      </c>
      <c r="D785">
        <v>1</v>
      </c>
      <c r="E785">
        <v>0</v>
      </c>
      <c r="F785">
        <v>1</v>
      </c>
      <c r="G785">
        <v>0</v>
      </c>
      <c r="H785">
        <f t="shared" si="12"/>
        <v>3</v>
      </c>
      <c r="K785" s="248">
        <v>0.7</v>
      </c>
      <c r="L785" s="249">
        <v>117142857.14285715</v>
      </c>
    </row>
    <row r="786" spans="1:12">
      <c r="A786">
        <v>3625</v>
      </c>
      <c r="C786">
        <v>0</v>
      </c>
      <c r="D786">
        <v>1</v>
      </c>
      <c r="E786">
        <v>1</v>
      </c>
      <c r="F786">
        <v>0</v>
      </c>
      <c r="G786">
        <v>0</v>
      </c>
      <c r="H786">
        <f t="shared" si="12"/>
        <v>2</v>
      </c>
      <c r="K786" s="248">
        <v>7.0000000000000007E-2</v>
      </c>
      <c r="L786" s="249">
        <v>57142857.142857134</v>
      </c>
    </row>
    <row r="787" spans="1:12">
      <c r="A787">
        <v>3628</v>
      </c>
      <c r="C787">
        <v>0</v>
      </c>
      <c r="D787">
        <v>0</v>
      </c>
      <c r="E787">
        <v>0</v>
      </c>
      <c r="F787">
        <v>0</v>
      </c>
      <c r="G787">
        <v>0</v>
      </c>
      <c r="H787">
        <f t="shared" si="12"/>
        <v>0</v>
      </c>
      <c r="K787" s="248">
        <v>0.65</v>
      </c>
      <c r="L787" s="249">
        <v>44615384.615384616</v>
      </c>
    </row>
    <row r="788" spans="1:12">
      <c r="A788">
        <v>3629</v>
      </c>
      <c r="C788">
        <v>0</v>
      </c>
      <c r="D788">
        <v>1</v>
      </c>
      <c r="E788">
        <v>1</v>
      </c>
      <c r="F788">
        <v>0</v>
      </c>
      <c r="G788">
        <v>0</v>
      </c>
      <c r="H788">
        <f t="shared" si="12"/>
        <v>2</v>
      </c>
      <c r="K788" s="248">
        <v>-1.38</v>
      </c>
      <c r="L788" s="249">
        <v>14492753.623188406</v>
      </c>
    </row>
    <row r="789" spans="1:12">
      <c r="A789">
        <v>3630</v>
      </c>
      <c r="C789">
        <v>0</v>
      </c>
      <c r="D789">
        <v>1</v>
      </c>
      <c r="E789">
        <v>0</v>
      </c>
      <c r="F789">
        <v>0</v>
      </c>
      <c r="G789">
        <v>0</v>
      </c>
      <c r="H789">
        <f t="shared" si="12"/>
        <v>1</v>
      </c>
      <c r="K789" s="248">
        <v>-1.51</v>
      </c>
      <c r="L789" s="249">
        <v>101324503.31125827</v>
      </c>
    </row>
    <row r="790" spans="1:12">
      <c r="A790">
        <v>3631</v>
      </c>
      <c r="C790">
        <v>0</v>
      </c>
      <c r="D790">
        <v>0</v>
      </c>
      <c r="E790">
        <v>1</v>
      </c>
      <c r="F790">
        <v>1</v>
      </c>
      <c r="G790">
        <v>0</v>
      </c>
      <c r="H790">
        <f t="shared" si="12"/>
        <v>2</v>
      </c>
      <c r="K790" s="248">
        <v>-0.69</v>
      </c>
      <c r="L790" s="249">
        <v>79710144.927536234</v>
      </c>
    </row>
    <row r="791" spans="1:12">
      <c r="A791">
        <v>3632</v>
      </c>
      <c r="C791">
        <v>1</v>
      </c>
      <c r="D791">
        <v>1</v>
      </c>
      <c r="E791">
        <v>2</v>
      </c>
      <c r="F791">
        <v>0</v>
      </c>
      <c r="G791">
        <v>0</v>
      </c>
      <c r="H791">
        <f t="shared" si="12"/>
        <v>4</v>
      </c>
      <c r="K791" s="248">
        <v>1.05</v>
      </c>
      <c r="L791" s="249">
        <v>30476190.476190474</v>
      </c>
    </row>
    <row r="792" spans="1:12">
      <c r="A792">
        <v>3642</v>
      </c>
      <c r="C792">
        <v>0</v>
      </c>
      <c r="D792">
        <v>0</v>
      </c>
      <c r="E792">
        <v>0</v>
      </c>
      <c r="F792">
        <v>1</v>
      </c>
      <c r="G792">
        <v>0</v>
      </c>
      <c r="H792">
        <f t="shared" si="12"/>
        <v>1</v>
      </c>
      <c r="K792" s="248">
        <v>-5.33</v>
      </c>
      <c r="L792" s="249">
        <v>29831144.465290807</v>
      </c>
    </row>
    <row r="793" spans="1:12">
      <c r="A793">
        <v>3645</v>
      </c>
      <c r="C793">
        <v>0</v>
      </c>
      <c r="D793">
        <v>1</v>
      </c>
      <c r="E793">
        <v>1</v>
      </c>
      <c r="F793">
        <v>0</v>
      </c>
      <c r="G793">
        <v>0</v>
      </c>
      <c r="H793">
        <f t="shared" si="12"/>
        <v>2</v>
      </c>
      <c r="K793" s="248">
        <v>0.51</v>
      </c>
      <c r="L793" s="249">
        <v>117647058.82352941</v>
      </c>
    </row>
    <row r="794" spans="1:12">
      <c r="A794">
        <v>3646</v>
      </c>
      <c r="C794">
        <v>1</v>
      </c>
      <c r="D794">
        <v>1</v>
      </c>
      <c r="E794">
        <v>0</v>
      </c>
      <c r="F794">
        <v>1</v>
      </c>
      <c r="G794">
        <v>0</v>
      </c>
      <c r="H794">
        <f t="shared" si="12"/>
        <v>3</v>
      </c>
      <c r="K794" s="248">
        <v>0.56999999999999995</v>
      </c>
      <c r="L794" s="249">
        <v>38596491.228070177</v>
      </c>
    </row>
    <row r="795" spans="1:12">
      <c r="A795">
        <v>3652</v>
      </c>
      <c r="C795">
        <v>0</v>
      </c>
      <c r="D795">
        <v>1</v>
      </c>
      <c r="E795">
        <v>0</v>
      </c>
      <c r="F795">
        <v>0</v>
      </c>
      <c r="G795">
        <v>0</v>
      </c>
      <c r="H795">
        <f t="shared" si="12"/>
        <v>1</v>
      </c>
      <c r="K795" s="248">
        <v>0.03</v>
      </c>
      <c r="L795" s="249">
        <v>66666666.666666672</v>
      </c>
    </row>
    <row r="796" spans="1:12">
      <c r="A796">
        <v>3653</v>
      </c>
      <c r="C796">
        <v>1</v>
      </c>
      <c r="D796">
        <v>1</v>
      </c>
      <c r="E796">
        <v>0</v>
      </c>
      <c r="F796">
        <v>1</v>
      </c>
      <c r="G796">
        <v>0</v>
      </c>
      <c r="H796">
        <f t="shared" si="12"/>
        <v>3</v>
      </c>
      <c r="K796" s="248">
        <v>1.1100000000000001</v>
      </c>
      <c r="L796" s="249">
        <v>106306306.3063063</v>
      </c>
    </row>
    <row r="797" spans="1:12">
      <c r="A797">
        <v>3658</v>
      </c>
      <c r="C797">
        <v>0</v>
      </c>
      <c r="D797">
        <v>1</v>
      </c>
      <c r="E797">
        <v>0</v>
      </c>
      <c r="F797">
        <v>1</v>
      </c>
      <c r="G797">
        <v>0</v>
      </c>
      <c r="H797">
        <f t="shared" si="12"/>
        <v>2</v>
      </c>
      <c r="K797" s="248">
        <v>6.64</v>
      </c>
      <c r="L797" s="249">
        <v>70933734.939759046</v>
      </c>
    </row>
    <row r="798" spans="1:12">
      <c r="A798">
        <v>3661</v>
      </c>
      <c r="C798">
        <v>0</v>
      </c>
      <c r="D798">
        <v>1</v>
      </c>
      <c r="E798">
        <v>0</v>
      </c>
      <c r="F798">
        <v>1</v>
      </c>
      <c r="G798">
        <v>0</v>
      </c>
      <c r="H798">
        <f t="shared" si="12"/>
        <v>2</v>
      </c>
      <c r="K798" s="248">
        <v>1.51</v>
      </c>
      <c r="L798" s="249">
        <v>61589403.97350993</v>
      </c>
    </row>
    <row r="799" spans="1:12">
      <c r="A799">
        <v>3662</v>
      </c>
      <c r="C799">
        <v>0</v>
      </c>
      <c r="D799">
        <v>0</v>
      </c>
      <c r="E799">
        <v>1</v>
      </c>
      <c r="F799">
        <v>0</v>
      </c>
      <c r="G799">
        <v>0</v>
      </c>
      <c r="H799">
        <f t="shared" si="12"/>
        <v>1</v>
      </c>
      <c r="K799" s="248">
        <v>0.95</v>
      </c>
      <c r="L799" s="249">
        <v>118947368.42105263</v>
      </c>
    </row>
    <row r="800" spans="1:12">
      <c r="A800">
        <v>3663</v>
      </c>
      <c r="C800">
        <v>0</v>
      </c>
      <c r="D800">
        <v>0</v>
      </c>
      <c r="E800">
        <v>0</v>
      </c>
      <c r="F800">
        <v>1</v>
      </c>
      <c r="G800">
        <v>0</v>
      </c>
      <c r="H800">
        <f t="shared" si="12"/>
        <v>1</v>
      </c>
      <c r="K800" s="248">
        <v>-1.1299999999999999</v>
      </c>
      <c r="L800" s="249">
        <v>73451327.433628321</v>
      </c>
    </row>
    <row r="801" spans="1:12">
      <c r="A801">
        <v>3664</v>
      </c>
      <c r="C801">
        <v>0</v>
      </c>
      <c r="D801">
        <v>0</v>
      </c>
      <c r="E801">
        <v>1</v>
      </c>
      <c r="F801">
        <v>1</v>
      </c>
      <c r="G801">
        <v>0</v>
      </c>
      <c r="H801">
        <f t="shared" si="12"/>
        <v>2</v>
      </c>
      <c r="K801" s="248">
        <v>-0.55000000000000004</v>
      </c>
      <c r="L801" s="249">
        <v>78181818.181818172</v>
      </c>
    </row>
    <row r="802" spans="1:12">
      <c r="A802">
        <v>3665</v>
      </c>
      <c r="C802">
        <v>1</v>
      </c>
      <c r="D802">
        <v>1</v>
      </c>
      <c r="E802">
        <v>0</v>
      </c>
      <c r="F802">
        <v>1</v>
      </c>
      <c r="G802">
        <v>0</v>
      </c>
      <c r="H802">
        <f t="shared" si="12"/>
        <v>3</v>
      </c>
      <c r="K802" s="248">
        <v>2.27</v>
      </c>
      <c r="L802" s="249">
        <v>91629955.947136566</v>
      </c>
    </row>
    <row r="803" spans="1:12">
      <c r="A803">
        <v>3666</v>
      </c>
      <c r="C803">
        <v>0</v>
      </c>
      <c r="D803">
        <v>1</v>
      </c>
      <c r="E803">
        <v>0</v>
      </c>
      <c r="F803">
        <v>1</v>
      </c>
      <c r="G803">
        <v>0</v>
      </c>
      <c r="H803">
        <f t="shared" si="12"/>
        <v>2</v>
      </c>
      <c r="K803" s="248">
        <v>0.28999999999999998</v>
      </c>
      <c r="L803" s="249">
        <v>48275862.068965517</v>
      </c>
    </row>
    <row r="804" spans="1:12">
      <c r="A804">
        <v>3669</v>
      </c>
      <c r="C804">
        <v>1</v>
      </c>
      <c r="D804">
        <v>1</v>
      </c>
      <c r="E804">
        <v>2</v>
      </c>
      <c r="F804">
        <v>0</v>
      </c>
      <c r="G804">
        <v>0</v>
      </c>
      <c r="H804">
        <f t="shared" si="12"/>
        <v>4</v>
      </c>
      <c r="K804" s="248">
        <v>0.21</v>
      </c>
      <c r="L804" s="249">
        <v>90476190.476190478</v>
      </c>
    </row>
    <row r="805" spans="1:12">
      <c r="A805">
        <v>3672</v>
      </c>
      <c r="C805">
        <v>0</v>
      </c>
      <c r="D805">
        <v>1</v>
      </c>
      <c r="E805">
        <v>1</v>
      </c>
      <c r="F805">
        <v>0</v>
      </c>
      <c r="G805">
        <v>1</v>
      </c>
      <c r="H805">
        <f t="shared" si="12"/>
        <v>3</v>
      </c>
      <c r="K805" s="248">
        <v>0.98</v>
      </c>
      <c r="L805" s="249">
        <v>29591836.734693877</v>
      </c>
    </row>
    <row r="806" spans="1:12">
      <c r="A806">
        <v>3673</v>
      </c>
      <c r="C806">
        <v>0</v>
      </c>
      <c r="D806">
        <v>0</v>
      </c>
      <c r="E806">
        <v>2</v>
      </c>
      <c r="F806">
        <v>1</v>
      </c>
      <c r="G806">
        <v>0</v>
      </c>
      <c r="H806">
        <f t="shared" si="12"/>
        <v>3</v>
      </c>
      <c r="K806" s="248">
        <v>-55.15</v>
      </c>
      <c r="L806" s="249">
        <v>351586582.04895741</v>
      </c>
    </row>
    <row r="807" spans="1:12">
      <c r="A807">
        <v>3675</v>
      </c>
      <c r="C807">
        <v>1</v>
      </c>
      <c r="D807">
        <v>1</v>
      </c>
      <c r="E807">
        <v>1</v>
      </c>
      <c r="F807">
        <v>1</v>
      </c>
      <c r="G807">
        <v>0</v>
      </c>
      <c r="H807">
        <f t="shared" si="12"/>
        <v>4</v>
      </c>
      <c r="K807" s="248">
        <v>0.68</v>
      </c>
      <c r="L807" s="249">
        <v>44117647.058823526</v>
      </c>
    </row>
    <row r="808" spans="1:12">
      <c r="A808">
        <v>3679</v>
      </c>
      <c r="C808">
        <v>1</v>
      </c>
      <c r="D808">
        <v>1</v>
      </c>
      <c r="E808">
        <v>0</v>
      </c>
      <c r="F808">
        <v>0</v>
      </c>
      <c r="G808">
        <v>1</v>
      </c>
      <c r="H808">
        <f t="shared" si="12"/>
        <v>3</v>
      </c>
      <c r="K808" s="248">
        <v>1.75</v>
      </c>
      <c r="L808" s="249">
        <v>79428571.428571433</v>
      </c>
    </row>
    <row r="809" spans="1:12">
      <c r="A809">
        <v>3680</v>
      </c>
      <c r="C809">
        <v>1</v>
      </c>
      <c r="D809">
        <v>1</v>
      </c>
      <c r="E809">
        <v>0</v>
      </c>
      <c r="F809">
        <v>1</v>
      </c>
      <c r="G809">
        <v>0</v>
      </c>
      <c r="H809">
        <f t="shared" si="12"/>
        <v>3</v>
      </c>
      <c r="K809" s="248">
        <v>0.35</v>
      </c>
      <c r="L809" s="249">
        <v>62857142.857142858</v>
      </c>
    </row>
    <row r="810" spans="1:12">
      <c r="A810">
        <v>3682</v>
      </c>
      <c r="C810">
        <v>0</v>
      </c>
      <c r="D810">
        <v>0</v>
      </c>
      <c r="E810">
        <v>0</v>
      </c>
      <c r="F810">
        <v>0</v>
      </c>
      <c r="G810">
        <v>0</v>
      </c>
      <c r="H810">
        <f t="shared" si="12"/>
        <v>0</v>
      </c>
      <c r="K810" s="248">
        <v>-0.24</v>
      </c>
      <c r="L810" s="249">
        <v>3808333333.3333335</v>
      </c>
    </row>
    <row r="811" spans="1:12">
      <c r="A811">
        <v>3684</v>
      </c>
      <c r="C811">
        <v>1</v>
      </c>
      <c r="D811">
        <v>1</v>
      </c>
      <c r="E811">
        <v>0</v>
      </c>
      <c r="F811">
        <v>1</v>
      </c>
      <c r="G811">
        <v>0</v>
      </c>
      <c r="H811">
        <f t="shared" si="12"/>
        <v>3</v>
      </c>
      <c r="K811" s="248">
        <v>1.88</v>
      </c>
      <c r="L811" s="249">
        <v>20744680.851063833</v>
      </c>
    </row>
    <row r="812" spans="1:12">
      <c r="A812">
        <v>3685</v>
      </c>
      <c r="C812">
        <v>0</v>
      </c>
      <c r="D812">
        <v>0</v>
      </c>
      <c r="E812">
        <v>1</v>
      </c>
      <c r="F812">
        <v>0</v>
      </c>
      <c r="G812">
        <v>1</v>
      </c>
      <c r="H812">
        <f t="shared" si="12"/>
        <v>2</v>
      </c>
      <c r="K812" s="248">
        <v>-0.7</v>
      </c>
      <c r="L812" s="249">
        <v>80000000</v>
      </c>
    </row>
    <row r="813" spans="1:12">
      <c r="A813">
        <v>3686</v>
      </c>
      <c r="C813">
        <v>0</v>
      </c>
      <c r="D813">
        <v>1</v>
      </c>
      <c r="E813">
        <v>0</v>
      </c>
      <c r="F813">
        <v>1</v>
      </c>
      <c r="G813">
        <v>0</v>
      </c>
      <c r="H813">
        <f t="shared" si="12"/>
        <v>2</v>
      </c>
      <c r="K813" s="248">
        <v>-0.32</v>
      </c>
      <c r="L813" s="249">
        <v>353125000</v>
      </c>
    </row>
    <row r="814" spans="1:12">
      <c r="A814">
        <v>3687</v>
      </c>
      <c r="C814">
        <v>0</v>
      </c>
      <c r="D814">
        <v>1</v>
      </c>
      <c r="E814">
        <v>2</v>
      </c>
      <c r="F814">
        <v>0</v>
      </c>
      <c r="G814">
        <v>0</v>
      </c>
      <c r="H814">
        <f t="shared" si="12"/>
        <v>3</v>
      </c>
      <c r="K814" s="248">
        <v>-1</v>
      </c>
      <c r="L814" s="249">
        <v>30000000</v>
      </c>
    </row>
    <row r="815" spans="1:12">
      <c r="A815">
        <v>3689</v>
      </c>
      <c r="C815">
        <v>0</v>
      </c>
      <c r="D815">
        <v>0</v>
      </c>
      <c r="E815">
        <v>1</v>
      </c>
      <c r="F815">
        <v>0</v>
      </c>
      <c r="G815">
        <v>0</v>
      </c>
      <c r="H815">
        <f t="shared" si="12"/>
        <v>1</v>
      </c>
      <c r="K815" s="248">
        <v>0.54</v>
      </c>
      <c r="L815" s="249">
        <v>70370370.370370373</v>
      </c>
    </row>
    <row r="816" spans="1:12">
      <c r="A816">
        <v>3691</v>
      </c>
      <c r="C816">
        <v>1</v>
      </c>
      <c r="D816">
        <v>1</v>
      </c>
      <c r="E816">
        <v>0</v>
      </c>
      <c r="F816">
        <v>1</v>
      </c>
      <c r="G816">
        <v>0</v>
      </c>
      <c r="H816">
        <f t="shared" si="12"/>
        <v>3</v>
      </c>
      <c r="K816" s="248">
        <v>15.25</v>
      </c>
      <c r="L816" s="249">
        <v>60918032.786885247</v>
      </c>
    </row>
    <row r="817" spans="1:12">
      <c r="A817">
        <v>3693</v>
      </c>
      <c r="C817">
        <v>1</v>
      </c>
      <c r="D817">
        <v>1</v>
      </c>
      <c r="E817">
        <v>1</v>
      </c>
      <c r="F817">
        <v>1</v>
      </c>
      <c r="G817">
        <v>0</v>
      </c>
      <c r="H817">
        <f t="shared" si="12"/>
        <v>4</v>
      </c>
      <c r="K817" s="248">
        <v>3.35</v>
      </c>
      <c r="L817" s="249">
        <v>38208955.223880596</v>
      </c>
    </row>
    <row r="818" spans="1:12">
      <c r="A818">
        <v>3694</v>
      </c>
      <c r="C818">
        <v>1</v>
      </c>
      <c r="D818">
        <v>1</v>
      </c>
      <c r="E818">
        <v>2</v>
      </c>
      <c r="F818">
        <v>0</v>
      </c>
      <c r="G818">
        <v>1</v>
      </c>
      <c r="H818">
        <f t="shared" si="12"/>
        <v>5</v>
      </c>
      <c r="K818" s="248">
        <v>0.61</v>
      </c>
      <c r="L818" s="249">
        <v>129508196.72131148</v>
      </c>
    </row>
    <row r="819" spans="1:12">
      <c r="A819">
        <v>3698</v>
      </c>
      <c r="C819">
        <v>0</v>
      </c>
      <c r="D819">
        <v>0</v>
      </c>
      <c r="E819">
        <v>0</v>
      </c>
      <c r="F819">
        <v>1</v>
      </c>
      <c r="G819">
        <v>0</v>
      </c>
      <c r="H819">
        <f t="shared" si="12"/>
        <v>1</v>
      </c>
      <c r="K819" s="248">
        <v>0.06</v>
      </c>
      <c r="L819" s="249">
        <v>600000000</v>
      </c>
    </row>
    <row r="820" spans="1:12">
      <c r="A820">
        <v>3701</v>
      </c>
      <c r="C820">
        <v>0</v>
      </c>
      <c r="D820">
        <v>1</v>
      </c>
      <c r="E820">
        <v>0</v>
      </c>
      <c r="F820">
        <v>1</v>
      </c>
      <c r="G820">
        <v>0</v>
      </c>
      <c r="H820">
        <f t="shared" si="12"/>
        <v>2</v>
      </c>
      <c r="K820" s="248">
        <v>-0.11</v>
      </c>
      <c r="L820" s="249">
        <v>318181818.18181819</v>
      </c>
    </row>
    <row r="821" spans="1:12">
      <c r="A821">
        <v>3702</v>
      </c>
      <c r="C821">
        <v>0</v>
      </c>
      <c r="D821">
        <v>1</v>
      </c>
      <c r="E821">
        <v>0</v>
      </c>
      <c r="F821">
        <v>0</v>
      </c>
      <c r="G821">
        <v>0</v>
      </c>
      <c r="H821">
        <f t="shared" si="12"/>
        <v>1</v>
      </c>
      <c r="K821" s="248">
        <v>0.98</v>
      </c>
      <c r="L821" s="249">
        <v>1650000000</v>
      </c>
    </row>
    <row r="822" spans="1:12">
      <c r="A822">
        <v>3703</v>
      </c>
      <c r="C822">
        <v>0</v>
      </c>
      <c r="D822">
        <v>0</v>
      </c>
      <c r="E822">
        <v>0</v>
      </c>
      <c r="F822">
        <v>0</v>
      </c>
      <c r="G822">
        <v>0</v>
      </c>
      <c r="H822">
        <f t="shared" si="12"/>
        <v>0</v>
      </c>
      <c r="K822" s="248">
        <v>-0.14000000000000001</v>
      </c>
      <c r="L822" s="249">
        <v>914285714.28571415</v>
      </c>
    </row>
    <row r="823" spans="1:12">
      <c r="A823">
        <v>3704</v>
      </c>
      <c r="C823">
        <v>1</v>
      </c>
      <c r="D823">
        <v>1</v>
      </c>
      <c r="E823">
        <v>0</v>
      </c>
      <c r="F823">
        <v>1</v>
      </c>
      <c r="G823">
        <v>0</v>
      </c>
      <c r="H823">
        <f t="shared" si="12"/>
        <v>3</v>
      </c>
      <c r="K823" s="248">
        <v>0.23</v>
      </c>
      <c r="L823" s="249">
        <v>460869565.21739131</v>
      </c>
    </row>
    <row r="824" spans="1:12">
      <c r="A824">
        <v>3705</v>
      </c>
      <c r="C824">
        <v>1</v>
      </c>
      <c r="D824">
        <v>1</v>
      </c>
      <c r="E824">
        <v>0</v>
      </c>
      <c r="F824">
        <v>0</v>
      </c>
      <c r="G824">
        <v>0</v>
      </c>
      <c r="H824">
        <f t="shared" si="12"/>
        <v>2</v>
      </c>
      <c r="K824" s="248">
        <v>0.83</v>
      </c>
      <c r="L824" s="249">
        <v>266265060.24096388</v>
      </c>
    </row>
    <row r="825" spans="1:12">
      <c r="A825">
        <v>3706</v>
      </c>
      <c r="C825">
        <v>0</v>
      </c>
      <c r="D825">
        <v>1</v>
      </c>
      <c r="E825">
        <v>0</v>
      </c>
      <c r="F825">
        <v>1</v>
      </c>
      <c r="G825">
        <v>1</v>
      </c>
      <c r="H825">
        <f t="shared" si="12"/>
        <v>3</v>
      </c>
      <c r="K825" s="248">
        <v>0.64</v>
      </c>
      <c r="L825" s="249">
        <v>767187500</v>
      </c>
    </row>
    <row r="826" spans="1:12">
      <c r="A826">
        <v>3707</v>
      </c>
      <c r="C826">
        <v>1</v>
      </c>
      <c r="D826">
        <v>0</v>
      </c>
      <c r="E826">
        <v>0</v>
      </c>
      <c r="F826">
        <v>0</v>
      </c>
      <c r="G826">
        <v>0</v>
      </c>
      <c r="H826">
        <f t="shared" si="12"/>
        <v>1</v>
      </c>
      <c r="K826" s="248">
        <v>-0.92</v>
      </c>
      <c r="L826" s="249">
        <v>161956521.73913044</v>
      </c>
    </row>
    <row r="827" spans="1:12">
      <c r="A827">
        <v>4102</v>
      </c>
      <c r="C827">
        <v>1</v>
      </c>
      <c r="D827">
        <v>1</v>
      </c>
      <c r="E827">
        <v>0</v>
      </c>
      <c r="F827">
        <v>0</v>
      </c>
      <c r="G827">
        <v>1</v>
      </c>
      <c r="H827">
        <f t="shared" si="12"/>
        <v>3</v>
      </c>
      <c r="K827" s="248">
        <v>0.13</v>
      </c>
      <c r="L827" s="249">
        <v>46153846.153846152</v>
      </c>
    </row>
    <row r="828" spans="1:12">
      <c r="A828">
        <v>4103</v>
      </c>
      <c r="C828">
        <v>1</v>
      </c>
      <c r="D828">
        <v>1</v>
      </c>
      <c r="E828">
        <v>1</v>
      </c>
      <c r="F828">
        <v>0</v>
      </c>
      <c r="G828">
        <v>0</v>
      </c>
      <c r="H828">
        <f t="shared" si="12"/>
        <v>3</v>
      </c>
      <c r="K828" s="248">
        <v>2.8</v>
      </c>
      <c r="L828" s="249">
        <v>110000000</v>
      </c>
    </row>
    <row r="829" spans="1:12">
      <c r="A829">
        <v>4104</v>
      </c>
      <c r="C829">
        <v>0</v>
      </c>
      <c r="D829">
        <v>1</v>
      </c>
      <c r="E829">
        <v>2</v>
      </c>
      <c r="F829">
        <v>0</v>
      </c>
      <c r="G829">
        <v>0</v>
      </c>
      <c r="H829">
        <f t="shared" si="12"/>
        <v>3</v>
      </c>
      <c r="K829" s="248">
        <v>0.77</v>
      </c>
      <c r="L829" s="249">
        <v>116883116.88311689</v>
      </c>
    </row>
    <row r="830" spans="1:12">
      <c r="A830">
        <v>4105</v>
      </c>
      <c r="C830">
        <v>0</v>
      </c>
      <c r="D830">
        <v>1</v>
      </c>
      <c r="E830">
        <v>1</v>
      </c>
      <c r="F830">
        <v>1</v>
      </c>
      <c r="G830">
        <v>0</v>
      </c>
      <c r="H830">
        <f t="shared" si="12"/>
        <v>3</v>
      </c>
      <c r="K830" s="248">
        <v>0.97</v>
      </c>
      <c r="L830" s="249">
        <v>249484536.08247423</v>
      </c>
    </row>
    <row r="831" spans="1:12">
      <c r="A831">
        <v>4106</v>
      </c>
      <c r="C831">
        <v>0</v>
      </c>
      <c r="D831">
        <v>0</v>
      </c>
      <c r="E831">
        <v>0</v>
      </c>
      <c r="F831">
        <v>1</v>
      </c>
      <c r="G831">
        <v>0</v>
      </c>
      <c r="H831">
        <f t="shared" si="12"/>
        <v>1</v>
      </c>
      <c r="K831" s="248">
        <v>0.2</v>
      </c>
      <c r="L831" s="249">
        <v>80000000</v>
      </c>
    </row>
    <row r="832" spans="1:12">
      <c r="A832">
        <v>4107</v>
      </c>
      <c r="C832">
        <v>1</v>
      </c>
      <c r="D832">
        <v>1</v>
      </c>
      <c r="E832">
        <v>0</v>
      </c>
      <c r="F832">
        <v>1</v>
      </c>
      <c r="G832">
        <v>0</v>
      </c>
      <c r="H832">
        <f t="shared" si="12"/>
        <v>3</v>
      </c>
      <c r="K832" s="248">
        <v>1.45</v>
      </c>
      <c r="L832" s="249">
        <v>70344827.586206898</v>
      </c>
    </row>
    <row r="833" spans="1:12">
      <c r="A833">
        <v>4108</v>
      </c>
      <c r="C833">
        <v>0</v>
      </c>
      <c r="D833">
        <v>1</v>
      </c>
      <c r="E833">
        <v>1</v>
      </c>
      <c r="F833">
        <v>2</v>
      </c>
      <c r="G833">
        <v>0</v>
      </c>
      <c r="H833">
        <f t="shared" si="12"/>
        <v>4</v>
      </c>
      <c r="K833" s="248">
        <v>-0.22</v>
      </c>
      <c r="L833" s="249">
        <v>163636363.63636363</v>
      </c>
    </row>
    <row r="834" spans="1:12">
      <c r="A834">
        <v>4109</v>
      </c>
      <c r="C834">
        <v>0</v>
      </c>
      <c r="D834">
        <v>1</v>
      </c>
      <c r="E834">
        <v>0</v>
      </c>
      <c r="F834">
        <v>1</v>
      </c>
      <c r="G834">
        <v>0</v>
      </c>
      <c r="H834">
        <f t="shared" ref="H834:H897" si="13">SUM(C834:G834)</f>
        <v>2</v>
      </c>
      <c r="K834" s="248">
        <v>0.1</v>
      </c>
      <c r="L834" s="249">
        <v>70000000</v>
      </c>
    </row>
    <row r="835" spans="1:12">
      <c r="A835">
        <v>4111</v>
      </c>
      <c r="C835">
        <v>0</v>
      </c>
      <c r="D835">
        <v>1</v>
      </c>
      <c r="E835">
        <v>1</v>
      </c>
      <c r="F835">
        <v>1</v>
      </c>
      <c r="G835">
        <v>0</v>
      </c>
      <c r="H835">
        <f t="shared" si="13"/>
        <v>3</v>
      </c>
      <c r="K835" s="248">
        <v>0.32</v>
      </c>
      <c r="L835" s="249">
        <v>56250000</v>
      </c>
    </row>
    <row r="836" spans="1:12">
      <c r="A836">
        <v>4113</v>
      </c>
      <c r="C836">
        <v>0</v>
      </c>
      <c r="D836">
        <v>1</v>
      </c>
      <c r="E836">
        <v>1</v>
      </c>
      <c r="F836">
        <v>0</v>
      </c>
      <c r="G836">
        <v>0</v>
      </c>
      <c r="H836">
        <f t="shared" si="13"/>
        <v>2</v>
      </c>
      <c r="K836" s="248">
        <v>0.49</v>
      </c>
      <c r="L836" s="249">
        <v>240816326.53061226</v>
      </c>
    </row>
    <row r="837" spans="1:12">
      <c r="A837">
        <v>4114</v>
      </c>
      <c r="C837">
        <v>0</v>
      </c>
      <c r="D837">
        <v>1</v>
      </c>
      <c r="E837">
        <v>1</v>
      </c>
      <c r="F837">
        <v>1</v>
      </c>
      <c r="G837">
        <v>0</v>
      </c>
      <c r="H837">
        <f t="shared" si="13"/>
        <v>3</v>
      </c>
      <c r="K837" s="248">
        <v>0.1</v>
      </c>
      <c r="L837" s="249">
        <v>130000000</v>
      </c>
    </row>
    <row r="838" spans="1:12">
      <c r="A838">
        <v>4119</v>
      </c>
      <c r="C838">
        <v>0</v>
      </c>
      <c r="D838">
        <v>1</v>
      </c>
      <c r="E838">
        <v>0</v>
      </c>
      <c r="F838">
        <v>1</v>
      </c>
      <c r="G838">
        <v>0</v>
      </c>
      <c r="H838">
        <f t="shared" si="13"/>
        <v>2</v>
      </c>
      <c r="K838" s="248">
        <v>1.34</v>
      </c>
      <c r="L838" s="249">
        <v>70895522.388059691</v>
      </c>
    </row>
    <row r="839" spans="1:12">
      <c r="A839">
        <v>4120</v>
      </c>
      <c r="C839">
        <v>0</v>
      </c>
      <c r="D839">
        <v>1</v>
      </c>
      <c r="E839">
        <v>2</v>
      </c>
      <c r="F839">
        <v>1</v>
      </c>
      <c r="G839">
        <v>0</v>
      </c>
      <c r="H839">
        <f t="shared" si="13"/>
        <v>4</v>
      </c>
      <c r="K839" s="248">
        <v>0.47</v>
      </c>
      <c r="L839" s="249">
        <v>87234042.553191498</v>
      </c>
    </row>
    <row r="840" spans="1:12">
      <c r="A840">
        <v>4121</v>
      </c>
      <c r="C840">
        <v>1</v>
      </c>
      <c r="D840">
        <v>1</v>
      </c>
      <c r="E840">
        <v>1</v>
      </c>
      <c r="F840">
        <v>0</v>
      </c>
      <c r="G840">
        <v>0</v>
      </c>
      <c r="H840">
        <f t="shared" si="13"/>
        <v>3</v>
      </c>
      <c r="K840" s="248">
        <v>0.14000000000000001</v>
      </c>
      <c r="L840" s="249">
        <v>78571428.571428567</v>
      </c>
    </row>
    <row r="841" spans="1:12">
      <c r="A841">
        <v>4123</v>
      </c>
      <c r="C841">
        <v>0</v>
      </c>
      <c r="D841">
        <v>1</v>
      </c>
      <c r="E841">
        <v>2</v>
      </c>
      <c r="F841">
        <v>0</v>
      </c>
      <c r="G841">
        <v>0</v>
      </c>
      <c r="H841">
        <f t="shared" si="13"/>
        <v>3</v>
      </c>
      <c r="K841" s="248">
        <v>-0.04</v>
      </c>
      <c r="L841" s="249">
        <v>200000000</v>
      </c>
    </row>
    <row r="842" spans="1:12">
      <c r="A842">
        <v>4126</v>
      </c>
      <c r="C842">
        <v>1</v>
      </c>
      <c r="D842">
        <v>1</v>
      </c>
      <c r="E842">
        <v>1</v>
      </c>
      <c r="F842">
        <v>1</v>
      </c>
      <c r="G842">
        <v>0</v>
      </c>
      <c r="H842">
        <f t="shared" si="13"/>
        <v>4</v>
      </c>
      <c r="K842" s="248">
        <v>1.84</v>
      </c>
      <c r="L842" s="249">
        <v>66304347.826086953</v>
      </c>
    </row>
    <row r="843" spans="1:12">
      <c r="A843">
        <v>4127</v>
      </c>
      <c r="C843">
        <v>0</v>
      </c>
      <c r="D843">
        <v>0</v>
      </c>
      <c r="E843">
        <v>0</v>
      </c>
      <c r="F843">
        <v>0</v>
      </c>
      <c r="G843">
        <v>0</v>
      </c>
      <c r="H843">
        <f t="shared" si="13"/>
        <v>0</v>
      </c>
      <c r="K843" s="248">
        <v>0.13</v>
      </c>
      <c r="L843" s="249">
        <v>46153846.153846152</v>
      </c>
    </row>
    <row r="844" spans="1:12">
      <c r="A844">
        <v>4128</v>
      </c>
      <c r="C844">
        <v>0</v>
      </c>
      <c r="D844">
        <v>1</v>
      </c>
      <c r="E844">
        <v>1</v>
      </c>
      <c r="F844">
        <v>0</v>
      </c>
      <c r="G844">
        <v>0</v>
      </c>
      <c r="H844">
        <f t="shared" si="13"/>
        <v>2</v>
      </c>
      <c r="K844" s="248">
        <v>-0.15</v>
      </c>
      <c r="L844" s="249">
        <v>420000000</v>
      </c>
    </row>
    <row r="845" spans="1:12">
      <c r="A845">
        <v>4129</v>
      </c>
      <c r="C845">
        <v>0</v>
      </c>
      <c r="D845">
        <v>1</v>
      </c>
      <c r="E845">
        <v>0</v>
      </c>
      <c r="F845">
        <v>1</v>
      </c>
      <c r="G845">
        <v>1</v>
      </c>
      <c r="H845">
        <f t="shared" si="13"/>
        <v>3</v>
      </c>
      <c r="K845" s="248">
        <v>0.7</v>
      </c>
      <c r="L845" s="249">
        <v>57142857.142857149</v>
      </c>
    </row>
    <row r="846" spans="1:12">
      <c r="A846">
        <v>4130</v>
      </c>
      <c r="C846">
        <v>0</v>
      </c>
      <c r="D846">
        <v>1</v>
      </c>
      <c r="E846">
        <v>1</v>
      </c>
      <c r="F846">
        <v>1</v>
      </c>
      <c r="G846">
        <v>0</v>
      </c>
      <c r="H846">
        <f t="shared" si="13"/>
        <v>3</v>
      </c>
      <c r="K846" s="248">
        <v>0.16</v>
      </c>
      <c r="L846" s="249">
        <v>100000000</v>
      </c>
    </row>
    <row r="847" spans="1:12">
      <c r="A847">
        <v>4131</v>
      </c>
      <c r="C847">
        <v>0</v>
      </c>
      <c r="D847">
        <v>1</v>
      </c>
      <c r="E847">
        <v>1</v>
      </c>
      <c r="F847">
        <v>0</v>
      </c>
      <c r="G847">
        <v>0</v>
      </c>
      <c r="H847">
        <f t="shared" si="13"/>
        <v>2</v>
      </c>
      <c r="K847" s="248">
        <v>-0.12</v>
      </c>
      <c r="L847" s="249">
        <v>33333333.333333336</v>
      </c>
    </row>
    <row r="848" spans="1:12">
      <c r="A848">
        <v>4133</v>
      </c>
      <c r="C848">
        <v>0</v>
      </c>
      <c r="D848">
        <v>0</v>
      </c>
      <c r="E848">
        <v>1</v>
      </c>
      <c r="F848">
        <v>0</v>
      </c>
      <c r="G848">
        <v>1</v>
      </c>
      <c r="H848">
        <f t="shared" si="13"/>
        <v>2</v>
      </c>
      <c r="K848" s="248">
        <v>0.15</v>
      </c>
      <c r="L848" s="249">
        <v>60000000</v>
      </c>
    </row>
    <row r="849" spans="1:12">
      <c r="A849">
        <v>4137</v>
      </c>
      <c r="C849">
        <v>1</v>
      </c>
      <c r="D849">
        <v>1</v>
      </c>
      <c r="E849">
        <v>0</v>
      </c>
      <c r="F849">
        <v>0</v>
      </c>
      <c r="G849">
        <v>0</v>
      </c>
      <c r="H849">
        <f t="shared" si="13"/>
        <v>2</v>
      </c>
      <c r="K849" s="248">
        <v>4.1100000000000003</v>
      </c>
      <c r="L849" s="249">
        <v>79562043.795620427</v>
      </c>
    </row>
    <row r="850" spans="1:12">
      <c r="A850">
        <v>4138</v>
      </c>
      <c r="C850">
        <v>0</v>
      </c>
      <c r="D850">
        <v>1</v>
      </c>
      <c r="E850">
        <v>2</v>
      </c>
      <c r="F850">
        <v>0</v>
      </c>
      <c r="G850">
        <v>0</v>
      </c>
      <c r="H850">
        <f t="shared" si="13"/>
        <v>3</v>
      </c>
      <c r="K850" s="248">
        <v>1.08</v>
      </c>
      <c r="L850" s="249">
        <v>29629629.629629627</v>
      </c>
    </row>
    <row r="851" spans="1:12">
      <c r="A851">
        <v>4139</v>
      </c>
      <c r="C851">
        <v>0</v>
      </c>
      <c r="D851">
        <v>1</v>
      </c>
      <c r="E851">
        <v>0</v>
      </c>
      <c r="F851">
        <v>0</v>
      </c>
      <c r="G851">
        <v>1</v>
      </c>
      <c r="H851">
        <f t="shared" si="13"/>
        <v>2</v>
      </c>
      <c r="K851" s="248">
        <v>-0.42</v>
      </c>
      <c r="L851" s="249">
        <v>35714285.714285716</v>
      </c>
    </row>
    <row r="852" spans="1:12">
      <c r="A852">
        <v>4141</v>
      </c>
      <c r="C852">
        <v>0</v>
      </c>
      <c r="D852">
        <v>0</v>
      </c>
      <c r="E852">
        <v>0</v>
      </c>
      <c r="F852">
        <v>1</v>
      </c>
      <c r="G852">
        <v>0</v>
      </c>
      <c r="H852">
        <f t="shared" si="13"/>
        <v>1</v>
      </c>
      <c r="K852" s="248">
        <v>-1.98</v>
      </c>
      <c r="L852" s="249">
        <v>152020202.02020201</v>
      </c>
    </row>
    <row r="853" spans="1:12">
      <c r="A853">
        <v>4142</v>
      </c>
      <c r="C853">
        <v>0</v>
      </c>
      <c r="D853">
        <v>1</v>
      </c>
      <c r="E853">
        <v>1</v>
      </c>
      <c r="F853">
        <v>0</v>
      </c>
      <c r="G853">
        <v>0</v>
      </c>
      <c r="H853">
        <f t="shared" si="13"/>
        <v>2</v>
      </c>
      <c r="K853" s="248">
        <v>-0.81</v>
      </c>
      <c r="L853" s="249">
        <v>235802469.13580245</v>
      </c>
    </row>
    <row r="854" spans="1:12">
      <c r="A854">
        <v>4144</v>
      </c>
      <c r="C854">
        <v>0</v>
      </c>
      <c r="D854">
        <v>0</v>
      </c>
      <c r="E854">
        <v>2</v>
      </c>
      <c r="F854">
        <v>1</v>
      </c>
      <c r="G854">
        <v>0</v>
      </c>
      <c r="H854">
        <f t="shared" si="13"/>
        <v>3</v>
      </c>
      <c r="K854" s="248">
        <v>0.85</v>
      </c>
      <c r="L854" s="249">
        <v>77647058.823529407</v>
      </c>
    </row>
    <row r="855" spans="1:12">
      <c r="A855">
        <v>4152</v>
      </c>
      <c r="C855">
        <v>0</v>
      </c>
      <c r="D855">
        <v>0</v>
      </c>
      <c r="E855">
        <v>1</v>
      </c>
      <c r="F855">
        <v>0</v>
      </c>
      <c r="G855">
        <v>0</v>
      </c>
      <c r="H855">
        <f t="shared" si="13"/>
        <v>1</v>
      </c>
      <c r="K855" s="248">
        <v>-3.37</v>
      </c>
      <c r="L855" s="249">
        <v>55192878.338278927</v>
      </c>
    </row>
    <row r="856" spans="1:12">
      <c r="A856">
        <v>4153</v>
      </c>
      <c r="C856">
        <v>1</v>
      </c>
      <c r="D856">
        <v>1</v>
      </c>
      <c r="E856">
        <v>0</v>
      </c>
      <c r="F856">
        <v>1</v>
      </c>
      <c r="G856">
        <v>0</v>
      </c>
      <c r="H856">
        <f t="shared" si="13"/>
        <v>3</v>
      </c>
      <c r="K856" s="248">
        <v>1.67</v>
      </c>
      <c r="L856" s="249">
        <v>37724550.898203596</v>
      </c>
    </row>
    <row r="857" spans="1:12">
      <c r="A857">
        <v>4154</v>
      </c>
      <c r="C857">
        <v>0</v>
      </c>
      <c r="D857">
        <v>0</v>
      </c>
      <c r="E857">
        <v>1</v>
      </c>
      <c r="F857">
        <v>1</v>
      </c>
      <c r="G857">
        <v>0</v>
      </c>
      <c r="H857">
        <f t="shared" si="13"/>
        <v>2</v>
      </c>
      <c r="K857" s="248">
        <v>-0.5</v>
      </c>
      <c r="L857" s="249">
        <v>20000000</v>
      </c>
    </row>
    <row r="858" spans="1:12">
      <c r="A858">
        <v>4157</v>
      </c>
      <c r="C858">
        <v>0</v>
      </c>
      <c r="D858">
        <v>1</v>
      </c>
      <c r="E858">
        <v>2</v>
      </c>
      <c r="F858">
        <v>0</v>
      </c>
      <c r="G858">
        <v>0</v>
      </c>
      <c r="H858">
        <f t="shared" si="13"/>
        <v>3</v>
      </c>
      <c r="K858" s="248">
        <v>-0.15</v>
      </c>
      <c r="L858" s="249">
        <v>673333333.33333337</v>
      </c>
    </row>
    <row r="859" spans="1:12">
      <c r="A859">
        <v>4160</v>
      </c>
      <c r="C859">
        <v>0</v>
      </c>
      <c r="D859">
        <v>1</v>
      </c>
      <c r="E859">
        <v>0</v>
      </c>
      <c r="F859">
        <v>0</v>
      </c>
      <c r="G859">
        <v>0</v>
      </c>
      <c r="H859">
        <f t="shared" si="13"/>
        <v>1</v>
      </c>
      <c r="K859" s="248">
        <v>-0.13</v>
      </c>
      <c r="L859" s="249">
        <v>23076923.076923076</v>
      </c>
    </row>
    <row r="860" spans="1:12">
      <c r="A860">
        <v>4161</v>
      </c>
      <c r="C860">
        <v>0</v>
      </c>
      <c r="D860">
        <v>1</v>
      </c>
      <c r="E860">
        <v>0</v>
      </c>
      <c r="F860">
        <v>1</v>
      </c>
      <c r="G860">
        <v>0</v>
      </c>
      <c r="H860">
        <f t="shared" si="13"/>
        <v>2</v>
      </c>
      <c r="K860" s="248">
        <v>0.04</v>
      </c>
      <c r="L860" s="249">
        <v>50000000</v>
      </c>
    </row>
    <row r="861" spans="1:12">
      <c r="A861">
        <v>4162</v>
      </c>
      <c r="C861">
        <v>0</v>
      </c>
      <c r="D861">
        <v>1</v>
      </c>
      <c r="E861">
        <v>1</v>
      </c>
      <c r="F861">
        <v>1</v>
      </c>
      <c r="G861">
        <v>1</v>
      </c>
      <c r="H861">
        <f t="shared" si="13"/>
        <v>4</v>
      </c>
      <c r="K861" s="248">
        <v>0.34</v>
      </c>
      <c r="L861" s="249">
        <v>102941176.47058822</v>
      </c>
    </row>
    <row r="862" spans="1:12">
      <c r="A862">
        <v>4163</v>
      </c>
      <c r="C862">
        <v>1</v>
      </c>
      <c r="D862">
        <v>1</v>
      </c>
      <c r="E862">
        <v>0</v>
      </c>
      <c r="F862">
        <v>1</v>
      </c>
      <c r="G862">
        <v>0</v>
      </c>
      <c r="H862">
        <f t="shared" si="13"/>
        <v>3</v>
      </c>
      <c r="K862" s="248">
        <v>2.61</v>
      </c>
      <c r="L862" s="249">
        <v>40229885.057471268</v>
      </c>
    </row>
    <row r="863" spans="1:12">
      <c r="A863">
        <v>4164</v>
      </c>
      <c r="C863">
        <v>0</v>
      </c>
      <c r="D863">
        <v>1</v>
      </c>
      <c r="E863">
        <v>0</v>
      </c>
      <c r="F863">
        <v>1</v>
      </c>
      <c r="G863">
        <v>0</v>
      </c>
      <c r="H863">
        <f t="shared" si="13"/>
        <v>2</v>
      </c>
      <c r="K863" s="248">
        <v>0.52</v>
      </c>
      <c r="L863" s="249">
        <v>130769230.76923077</v>
      </c>
    </row>
    <row r="864" spans="1:12">
      <c r="A864">
        <v>4167</v>
      </c>
      <c r="C864">
        <v>0</v>
      </c>
      <c r="D864">
        <v>1</v>
      </c>
      <c r="E864">
        <v>0</v>
      </c>
      <c r="F864">
        <v>0</v>
      </c>
      <c r="G864">
        <v>0</v>
      </c>
      <c r="H864">
        <f t="shared" si="13"/>
        <v>1</v>
      </c>
      <c r="K864" s="248">
        <v>-0.61</v>
      </c>
      <c r="L864" s="249">
        <v>190163934.42622951</v>
      </c>
    </row>
    <row r="865" spans="1:12">
      <c r="A865">
        <v>4168</v>
      </c>
      <c r="C865">
        <v>0</v>
      </c>
      <c r="D865">
        <v>1</v>
      </c>
      <c r="E865">
        <v>0</v>
      </c>
      <c r="F865">
        <v>0</v>
      </c>
      <c r="G865">
        <v>0</v>
      </c>
      <c r="H865">
        <f t="shared" si="13"/>
        <v>1</v>
      </c>
      <c r="K865" s="248">
        <v>-0.27</v>
      </c>
      <c r="L865" s="249">
        <v>74074074.074074075</v>
      </c>
    </row>
    <row r="866" spans="1:12">
      <c r="A866">
        <v>4171</v>
      </c>
      <c r="C866">
        <v>1</v>
      </c>
      <c r="D866">
        <v>1</v>
      </c>
      <c r="E866">
        <v>0</v>
      </c>
      <c r="F866">
        <v>0</v>
      </c>
      <c r="G866">
        <v>0</v>
      </c>
      <c r="H866">
        <f t="shared" si="13"/>
        <v>2</v>
      </c>
      <c r="K866" s="248">
        <v>0.17</v>
      </c>
      <c r="L866" s="249">
        <v>35294117.647058822</v>
      </c>
    </row>
    <row r="867" spans="1:12">
      <c r="A867">
        <v>4173</v>
      </c>
      <c r="C867">
        <v>0</v>
      </c>
      <c r="D867">
        <v>0</v>
      </c>
      <c r="E867">
        <v>1</v>
      </c>
      <c r="F867">
        <v>0</v>
      </c>
      <c r="G867">
        <v>0</v>
      </c>
      <c r="H867">
        <f t="shared" si="13"/>
        <v>1</v>
      </c>
      <c r="K867" s="248">
        <v>7.0000000000000007E-2</v>
      </c>
      <c r="L867" s="249">
        <v>42857142.857142851</v>
      </c>
    </row>
    <row r="868" spans="1:12">
      <c r="A868">
        <v>4174</v>
      </c>
      <c r="C868">
        <v>0</v>
      </c>
      <c r="D868">
        <v>0</v>
      </c>
      <c r="E868">
        <v>1</v>
      </c>
      <c r="F868">
        <v>0</v>
      </c>
      <c r="G868">
        <v>0</v>
      </c>
      <c r="H868">
        <f t="shared" si="13"/>
        <v>1</v>
      </c>
      <c r="K868" s="248">
        <v>-0.79</v>
      </c>
      <c r="L868" s="249">
        <v>169620253.16455695</v>
      </c>
    </row>
    <row r="869" spans="1:12">
      <c r="A869">
        <v>4175</v>
      </c>
      <c r="C869">
        <v>0</v>
      </c>
      <c r="D869">
        <v>1</v>
      </c>
      <c r="E869">
        <v>0</v>
      </c>
      <c r="F869">
        <v>0</v>
      </c>
      <c r="G869">
        <v>0</v>
      </c>
      <c r="H869">
        <f t="shared" si="13"/>
        <v>1</v>
      </c>
      <c r="K869" s="248">
        <v>1.17</v>
      </c>
      <c r="L869" s="249">
        <v>24786324.786324788</v>
      </c>
    </row>
    <row r="870" spans="1:12">
      <c r="A870">
        <v>4180</v>
      </c>
      <c r="C870">
        <v>0</v>
      </c>
      <c r="D870">
        <v>1</v>
      </c>
      <c r="E870">
        <v>1</v>
      </c>
      <c r="F870">
        <v>0</v>
      </c>
      <c r="G870">
        <v>0</v>
      </c>
      <c r="H870">
        <f t="shared" si="13"/>
        <v>2</v>
      </c>
      <c r="K870" s="248">
        <v>-0.64</v>
      </c>
      <c r="L870" s="249">
        <v>112500000</v>
      </c>
    </row>
    <row r="871" spans="1:12">
      <c r="A871">
        <v>4188</v>
      </c>
      <c r="C871">
        <v>0</v>
      </c>
      <c r="D871">
        <v>1</v>
      </c>
      <c r="E871">
        <v>1</v>
      </c>
      <c r="F871">
        <v>0</v>
      </c>
      <c r="G871">
        <v>0</v>
      </c>
      <c r="H871">
        <f t="shared" si="13"/>
        <v>2</v>
      </c>
      <c r="K871" s="248">
        <v>-0.35</v>
      </c>
      <c r="L871" s="249">
        <v>40000000</v>
      </c>
    </row>
    <row r="872" spans="1:12">
      <c r="A872">
        <v>4190</v>
      </c>
      <c r="C872">
        <v>0</v>
      </c>
      <c r="D872">
        <v>1</v>
      </c>
      <c r="E872">
        <v>0</v>
      </c>
      <c r="F872">
        <v>1</v>
      </c>
      <c r="G872">
        <v>0</v>
      </c>
      <c r="H872">
        <f t="shared" si="13"/>
        <v>2</v>
      </c>
      <c r="K872" s="248">
        <v>1.72</v>
      </c>
      <c r="L872" s="249">
        <v>51744186.046511628</v>
      </c>
    </row>
    <row r="873" spans="1:12">
      <c r="A873">
        <v>4192</v>
      </c>
      <c r="C873">
        <v>0</v>
      </c>
      <c r="D873">
        <v>1</v>
      </c>
      <c r="E873">
        <v>0</v>
      </c>
      <c r="F873">
        <v>1</v>
      </c>
      <c r="G873">
        <v>0</v>
      </c>
      <c r="H873">
        <f t="shared" si="13"/>
        <v>2</v>
      </c>
      <c r="K873" s="248">
        <v>-1.22</v>
      </c>
      <c r="L873" s="249">
        <v>58196721.311475411</v>
      </c>
    </row>
    <row r="874" spans="1:12">
      <c r="A874">
        <v>4198</v>
      </c>
      <c r="C874">
        <v>1</v>
      </c>
      <c r="D874">
        <v>1</v>
      </c>
      <c r="E874">
        <v>2</v>
      </c>
      <c r="F874">
        <v>0</v>
      </c>
      <c r="G874">
        <v>0</v>
      </c>
      <c r="H874">
        <f t="shared" si="13"/>
        <v>4</v>
      </c>
      <c r="K874" s="248">
        <v>-0.81</v>
      </c>
      <c r="L874" s="249">
        <v>141975308.64197531</v>
      </c>
    </row>
    <row r="875" spans="1:12">
      <c r="A875">
        <v>4205</v>
      </c>
      <c r="C875">
        <v>1</v>
      </c>
      <c r="D875">
        <v>1</v>
      </c>
      <c r="E875">
        <v>0</v>
      </c>
      <c r="F875">
        <v>1</v>
      </c>
      <c r="G875">
        <v>1</v>
      </c>
      <c r="H875">
        <f t="shared" si="13"/>
        <v>4</v>
      </c>
      <c r="K875" s="248">
        <v>0.79</v>
      </c>
      <c r="L875" s="249">
        <v>73417721.518987343</v>
      </c>
    </row>
    <row r="876" spans="1:12">
      <c r="A876">
        <v>4207</v>
      </c>
      <c r="C876">
        <v>0</v>
      </c>
      <c r="D876">
        <v>0</v>
      </c>
      <c r="E876">
        <v>0</v>
      </c>
      <c r="F876">
        <v>1</v>
      </c>
      <c r="G876">
        <v>0</v>
      </c>
      <c r="H876">
        <f t="shared" si="13"/>
        <v>1</v>
      </c>
      <c r="K876" s="248">
        <v>-0.05</v>
      </c>
      <c r="L876" s="249">
        <v>160000000</v>
      </c>
    </row>
    <row r="877" spans="1:12">
      <c r="A877">
        <v>4303</v>
      </c>
      <c r="C877">
        <v>1</v>
      </c>
      <c r="D877">
        <v>1</v>
      </c>
      <c r="E877">
        <v>0</v>
      </c>
      <c r="F877">
        <v>0</v>
      </c>
      <c r="G877">
        <v>0</v>
      </c>
      <c r="H877">
        <f t="shared" si="13"/>
        <v>2</v>
      </c>
      <c r="K877" s="248">
        <v>0.36</v>
      </c>
      <c r="L877" s="249">
        <v>72222222.222222224</v>
      </c>
    </row>
    <row r="878" spans="1:12">
      <c r="A878">
        <v>4304</v>
      </c>
      <c r="C878">
        <v>0</v>
      </c>
      <c r="D878">
        <v>0</v>
      </c>
      <c r="E878">
        <v>0</v>
      </c>
      <c r="F878">
        <v>0</v>
      </c>
      <c r="G878">
        <v>0</v>
      </c>
      <c r="H878">
        <f t="shared" si="13"/>
        <v>0</v>
      </c>
      <c r="K878" s="248">
        <v>-0.38</v>
      </c>
      <c r="L878" s="249">
        <v>52631578.947368421</v>
      </c>
    </row>
    <row r="879" spans="1:12">
      <c r="A879">
        <v>4305</v>
      </c>
      <c r="C879">
        <v>1</v>
      </c>
      <c r="D879">
        <v>1</v>
      </c>
      <c r="E879">
        <v>1</v>
      </c>
      <c r="F879">
        <v>1</v>
      </c>
      <c r="G879">
        <v>0</v>
      </c>
      <c r="H879">
        <f t="shared" si="13"/>
        <v>4</v>
      </c>
      <c r="K879" s="248">
        <v>0.85</v>
      </c>
      <c r="L879" s="249">
        <v>55294117.647058822</v>
      </c>
    </row>
    <row r="880" spans="1:12">
      <c r="A880">
        <v>4306</v>
      </c>
      <c r="C880">
        <v>0</v>
      </c>
      <c r="D880">
        <v>0</v>
      </c>
      <c r="E880">
        <v>0</v>
      </c>
      <c r="F880">
        <v>0</v>
      </c>
      <c r="G880">
        <v>0</v>
      </c>
      <c r="H880">
        <f t="shared" si="13"/>
        <v>0</v>
      </c>
      <c r="K880" s="248">
        <v>0.09</v>
      </c>
      <c r="L880" s="249">
        <v>488888888.8888889</v>
      </c>
    </row>
    <row r="881" spans="1:12">
      <c r="A881">
        <v>4401</v>
      </c>
      <c r="C881">
        <v>0</v>
      </c>
      <c r="D881">
        <v>1</v>
      </c>
      <c r="E881">
        <v>0</v>
      </c>
      <c r="F881">
        <v>1</v>
      </c>
      <c r="G881">
        <v>0</v>
      </c>
      <c r="H881">
        <f t="shared" si="13"/>
        <v>2</v>
      </c>
      <c r="K881" s="248">
        <v>1.1200000000000001</v>
      </c>
      <c r="L881" s="249">
        <v>119642857.14285713</v>
      </c>
    </row>
    <row r="882" spans="1:12">
      <c r="A882">
        <v>4402</v>
      </c>
      <c r="C882">
        <v>0</v>
      </c>
      <c r="D882">
        <v>0</v>
      </c>
      <c r="E882">
        <v>2</v>
      </c>
      <c r="F882">
        <v>0</v>
      </c>
      <c r="G882">
        <v>0</v>
      </c>
      <c r="H882">
        <f t="shared" si="13"/>
        <v>2</v>
      </c>
      <c r="K882" s="248">
        <v>-1.28</v>
      </c>
      <c r="L882" s="249">
        <v>46093750</v>
      </c>
    </row>
    <row r="883" spans="1:12">
      <c r="A883">
        <v>4406</v>
      </c>
      <c r="C883">
        <v>0</v>
      </c>
      <c r="D883">
        <v>1</v>
      </c>
      <c r="E883">
        <v>0</v>
      </c>
      <c r="F883">
        <v>0</v>
      </c>
      <c r="G883">
        <v>0</v>
      </c>
      <c r="H883">
        <f t="shared" si="13"/>
        <v>1</v>
      </c>
      <c r="K883" s="248">
        <v>0</v>
      </c>
      <c r="L883" s="249">
        <v>0</v>
      </c>
    </row>
    <row r="884" spans="1:12">
      <c r="A884">
        <v>4413</v>
      </c>
      <c r="C884">
        <v>1</v>
      </c>
      <c r="D884">
        <v>1</v>
      </c>
      <c r="E884">
        <v>1</v>
      </c>
      <c r="F884">
        <v>0</v>
      </c>
      <c r="G884">
        <v>1</v>
      </c>
      <c r="H884">
        <f t="shared" si="13"/>
        <v>4</v>
      </c>
      <c r="K884" s="248">
        <v>0.4</v>
      </c>
      <c r="L884" s="249">
        <v>0</v>
      </c>
    </row>
    <row r="885" spans="1:12">
      <c r="A885">
        <v>4414</v>
      </c>
      <c r="C885">
        <v>0</v>
      </c>
      <c r="D885">
        <v>1</v>
      </c>
      <c r="E885">
        <v>0</v>
      </c>
      <c r="F885">
        <v>0</v>
      </c>
      <c r="G885">
        <v>0</v>
      </c>
      <c r="H885">
        <f t="shared" si="13"/>
        <v>1</v>
      </c>
      <c r="K885" s="248">
        <v>-0.16</v>
      </c>
      <c r="L885" s="249">
        <v>131250000</v>
      </c>
    </row>
    <row r="886" spans="1:12">
      <c r="A886">
        <v>4415</v>
      </c>
      <c r="C886">
        <v>1</v>
      </c>
      <c r="D886">
        <v>1</v>
      </c>
      <c r="E886">
        <v>0</v>
      </c>
      <c r="F886">
        <v>0</v>
      </c>
      <c r="G886">
        <v>0</v>
      </c>
      <c r="H886">
        <f t="shared" si="13"/>
        <v>2</v>
      </c>
      <c r="K886" s="248">
        <v>0.02</v>
      </c>
      <c r="L886" s="249">
        <v>50000000</v>
      </c>
    </row>
    <row r="887" spans="1:12">
      <c r="A887">
        <v>4416</v>
      </c>
      <c r="C887">
        <v>0</v>
      </c>
      <c r="D887">
        <v>0</v>
      </c>
      <c r="E887">
        <v>0</v>
      </c>
      <c r="F887">
        <v>0</v>
      </c>
      <c r="G887">
        <v>0</v>
      </c>
      <c r="H887">
        <f t="shared" si="13"/>
        <v>0</v>
      </c>
      <c r="K887" s="248">
        <v>-0.03</v>
      </c>
      <c r="L887" s="249">
        <v>66666666.666666672</v>
      </c>
    </row>
    <row r="888" spans="1:12">
      <c r="A888">
        <v>4417</v>
      </c>
      <c r="C888">
        <v>0</v>
      </c>
      <c r="D888">
        <v>1</v>
      </c>
      <c r="E888">
        <v>1</v>
      </c>
      <c r="F888">
        <v>1</v>
      </c>
      <c r="G888">
        <v>0</v>
      </c>
      <c r="H888">
        <f t="shared" si="13"/>
        <v>3</v>
      </c>
      <c r="K888" s="248">
        <v>0.98</v>
      </c>
      <c r="L888" s="249">
        <v>81632653.06122449</v>
      </c>
    </row>
    <row r="889" spans="1:12">
      <c r="A889">
        <v>4419</v>
      </c>
      <c r="C889">
        <v>0</v>
      </c>
      <c r="D889">
        <v>1</v>
      </c>
      <c r="E889">
        <v>0</v>
      </c>
      <c r="F889">
        <v>0</v>
      </c>
      <c r="G889">
        <v>0</v>
      </c>
      <c r="H889">
        <f t="shared" si="13"/>
        <v>1</v>
      </c>
      <c r="K889" s="248">
        <v>-0.22</v>
      </c>
      <c r="L889" s="249">
        <v>22727272.727272727</v>
      </c>
    </row>
    <row r="890" spans="1:12">
      <c r="A890">
        <v>4420</v>
      </c>
      <c r="C890">
        <v>0</v>
      </c>
      <c r="D890">
        <v>0</v>
      </c>
      <c r="E890">
        <v>0</v>
      </c>
      <c r="F890">
        <v>0</v>
      </c>
      <c r="G890">
        <v>1</v>
      </c>
      <c r="H890">
        <f t="shared" si="13"/>
        <v>1</v>
      </c>
      <c r="K890" s="248">
        <v>0.15</v>
      </c>
      <c r="L890" s="249">
        <v>33333333.333333336</v>
      </c>
    </row>
    <row r="891" spans="1:12">
      <c r="A891">
        <v>4426</v>
      </c>
      <c r="C891">
        <v>1</v>
      </c>
      <c r="D891">
        <v>1</v>
      </c>
      <c r="E891">
        <v>0</v>
      </c>
      <c r="F891">
        <v>1</v>
      </c>
      <c r="G891">
        <v>1</v>
      </c>
      <c r="H891">
        <f t="shared" si="13"/>
        <v>4</v>
      </c>
      <c r="K891" s="248">
        <v>1.91</v>
      </c>
      <c r="L891" s="249">
        <v>91099476.439790577</v>
      </c>
    </row>
    <row r="892" spans="1:12">
      <c r="A892">
        <v>4429</v>
      </c>
      <c r="C892">
        <v>1</v>
      </c>
      <c r="D892">
        <v>1</v>
      </c>
      <c r="E892">
        <v>0</v>
      </c>
      <c r="F892">
        <v>1</v>
      </c>
      <c r="G892">
        <v>0</v>
      </c>
      <c r="H892">
        <f t="shared" si="13"/>
        <v>3</v>
      </c>
      <c r="K892" s="248">
        <v>0.53</v>
      </c>
      <c r="L892" s="249">
        <v>33962264.150943391</v>
      </c>
    </row>
    <row r="893" spans="1:12">
      <c r="A893">
        <v>4430</v>
      </c>
      <c r="C893">
        <v>0</v>
      </c>
      <c r="D893">
        <v>1</v>
      </c>
      <c r="E893">
        <v>0</v>
      </c>
      <c r="F893">
        <v>1</v>
      </c>
      <c r="G893">
        <v>0</v>
      </c>
      <c r="H893">
        <f t="shared" si="13"/>
        <v>2</v>
      </c>
      <c r="K893" s="248">
        <v>0.51</v>
      </c>
      <c r="L893" s="249">
        <v>56862745.098039217</v>
      </c>
    </row>
    <row r="894" spans="1:12">
      <c r="A894">
        <v>4432</v>
      </c>
      <c r="C894">
        <v>1</v>
      </c>
      <c r="D894">
        <v>1</v>
      </c>
      <c r="E894">
        <v>0</v>
      </c>
      <c r="F894">
        <v>1</v>
      </c>
      <c r="G894">
        <v>0</v>
      </c>
      <c r="H894">
        <f t="shared" si="13"/>
        <v>3</v>
      </c>
      <c r="K894" s="248">
        <v>2.16</v>
      </c>
      <c r="L894" s="249">
        <v>50462962.962962963</v>
      </c>
    </row>
    <row r="895" spans="1:12">
      <c r="A895">
        <v>4433</v>
      </c>
      <c r="C895">
        <v>0</v>
      </c>
      <c r="D895">
        <v>1</v>
      </c>
      <c r="E895">
        <v>0</v>
      </c>
      <c r="F895">
        <v>1</v>
      </c>
      <c r="G895">
        <v>0</v>
      </c>
      <c r="H895">
        <f t="shared" si="13"/>
        <v>2</v>
      </c>
      <c r="K895" s="248">
        <v>0.18</v>
      </c>
      <c r="L895" s="249">
        <v>27777777.77777778</v>
      </c>
    </row>
    <row r="896" spans="1:12">
      <c r="A896">
        <v>4502</v>
      </c>
      <c r="C896">
        <v>0</v>
      </c>
      <c r="D896">
        <v>1</v>
      </c>
      <c r="E896">
        <v>2</v>
      </c>
      <c r="F896">
        <v>0</v>
      </c>
      <c r="G896">
        <v>0</v>
      </c>
      <c r="H896">
        <f t="shared" si="13"/>
        <v>3</v>
      </c>
      <c r="K896" s="248">
        <v>-1.38</v>
      </c>
      <c r="L896" s="249">
        <v>27536231.884057973</v>
      </c>
    </row>
    <row r="897" spans="1:12">
      <c r="A897">
        <v>4503</v>
      </c>
      <c r="C897">
        <v>1</v>
      </c>
      <c r="D897">
        <v>1</v>
      </c>
      <c r="E897">
        <v>0</v>
      </c>
      <c r="F897">
        <v>1</v>
      </c>
      <c r="G897">
        <v>0</v>
      </c>
      <c r="H897">
        <f t="shared" si="13"/>
        <v>3</v>
      </c>
      <c r="K897" s="248">
        <v>0.04</v>
      </c>
      <c r="L897" s="249">
        <v>50000000</v>
      </c>
    </row>
    <row r="898" spans="1:12">
      <c r="A898">
        <v>4506</v>
      </c>
      <c r="C898">
        <v>1</v>
      </c>
      <c r="D898">
        <v>1</v>
      </c>
      <c r="E898">
        <v>2</v>
      </c>
      <c r="F898">
        <v>1</v>
      </c>
      <c r="G898">
        <v>1</v>
      </c>
      <c r="H898">
        <f t="shared" ref="H898:H961" si="14">SUM(C898:G898)</f>
        <v>6</v>
      </c>
      <c r="K898" s="248">
        <v>0.8</v>
      </c>
      <c r="L898" s="249">
        <v>197500000</v>
      </c>
    </row>
    <row r="899" spans="1:12">
      <c r="A899">
        <v>4510</v>
      </c>
      <c r="C899">
        <v>1</v>
      </c>
      <c r="D899">
        <v>1</v>
      </c>
      <c r="E899">
        <v>0</v>
      </c>
      <c r="F899">
        <v>0</v>
      </c>
      <c r="G899">
        <v>0</v>
      </c>
      <c r="H899">
        <f t="shared" si="14"/>
        <v>2</v>
      </c>
      <c r="K899" s="248">
        <v>0.61</v>
      </c>
      <c r="L899" s="249">
        <v>106557377.04918033</v>
      </c>
    </row>
    <row r="900" spans="1:12">
      <c r="A900">
        <v>4513</v>
      </c>
      <c r="C900">
        <v>1</v>
      </c>
      <c r="D900">
        <v>1</v>
      </c>
      <c r="E900">
        <v>0</v>
      </c>
      <c r="F900">
        <v>1</v>
      </c>
      <c r="G900">
        <v>0</v>
      </c>
      <c r="H900">
        <f t="shared" si="14"/>
        <v>3</v>
      </c>
      <c r="K900" s="248">
        <v>2.0499999999999998</v>
      </c>
      <c r="L900" s="249">
        <v>76585365.853658542</v>
      </c>
    </row>
    <row r="901" spans="1:12">
      <c r="A901">
        <v>4523</v>
      </c>
      <c r="C901">
        <v>0</v>
      </c>
      <c r="D901">
        <v>0</v>
      </c>
      <c r="E901">
        <v>1</v>
      </c>
      <c r="F901">
        <v>1</v>
      </c>
      <c r="G901">
        <v>0</v>
      </c>
      <c r="H901">
        <f t="shared" si="14"/>
        <v>2</v>
      </c>
      <c r="K901" s="248">
        <v>-0.25</v>
      </c>
      <c r="L901" s="249">
        <v>64000000</v>
      </c>
    </row>
    <row r="902" spans="1:12">
      <c r="A902">
        <v>4526</v>
      </c>
      <c r="C902">
        <v>0</v>
      </c>
      <c r="D902">
        <v>1</v>
      </c>
      <c r="E902">
        <v>0</v>
      </c>
      <c r="F902">
        <v>1</v>
      </c>
      <c r="G902">
        <v>0</v>
      </c>
      <c r="H902">
        <f t="shared" si="14"/>
        <v>2</v>
      </c>
      <c r="K902" s="248">
        <v>0.8</v>
      </c>
      <c r="L902" s="249">
        <v>255000000</v>
      </c>
    </row>
    <row r="903" spans="1:12">
      <c r="A903">
        <v>4527</v>
      </c>
      <c r="C903">
        <v>0</v>
      </c>
      <c r="D903">
        <v>1</v>
      </c>
      <c r="E903">
        <v>0</v>
      </c>
      <c r="F903">
        <v>0</v>
      </c>
      <c r="G903">
        <v>0</v>
      </c>
      <c r="H903">
        <f t="shared" si="14"/>
        <v>1</v>
      </c>
      <c r="K903" s="248">
        <v>0.56999999999999995</v>
      </c>
      <c r="L903" s="249">
        <v>77192982.456140354</v>
      </c>
    </row>
    <row r="904" spans="1:12">
      <c r="A904">
        <v>4528</v>
      </c>
      <c r="C904">
        <v>0</v>
      </c>
      <c r="D904">
        <v>1</v>
      </c>
      <c r="E904">
        <v>0</v>
      </c>
      <c r="F904">
        <v>1</v>
      </c>
      <c r="G904">
        <v>0</v>
      </c>
      <c r="H904">
        <f t="shared" si="14"/>
        <v>2</v>
      </c>
      <c r="K904" s="248">
        <v>0.82</v>
      </c>
      <c r="L904" s="249">
        <v>76829268.292682931</v>
      </c>
    </row>
    <row r="905" spans="1:12">
      <c r="A905">
        <v>4529</v>
      </c>
      <c r="C905">
        <v>1</v>
      </c>
      <c r="D905">
        <v>1</v>
      </c>
      <c r="E905">
        <v>2</v>
      </c>
      <c r="F905">
        <v>0</v>
      </c>
      <c r="G905">
        <v>0</v>
      </c>
      <c r="H905">
        <f t="shared" si="14"/>
        <v>4</v>
      </c>
      <c r="K905" s="248">
        <v>-0.39</v>
      </c>
      <c r="L905" s="249">
        <v>76923076.923076928</v>
      </c>
    </row>
    <row r="906" spans="1:12">
      <c r="A906">
        <v>4530</v>
      </c>
      <c r="C906">
        <v>0</v>
      </c>
      <c r="D906">
        <v>1</v>
      </c>
      <c r="E906">
        <v>1</v>
      </c>
      <c r="F906">
        <v>1</v>
      </c>
      <c r="G906">
        <v>0</v>
      </c>
      <c r="H906">
        <f t="shared" si="14"/>
        <v>3</v>
      </c>
      <c r="K906" s="248">
        <v>0.09</v>
      </c>
      <c r="L906" s="249">
        <v>22222222.222222224</v>
      </c>
    </row>
    <row r="907" spans="1:12">
      <c r="A907">
        <v>4532</v>
      </c>
      <c r="C907">
        <v>0</v>
      </c>
      <c r="D907">
        <v>1</v>
      </c>
      <c r="E907">
        <v>0</v>
      </c>
      <c r="F907">
        <v>1</v>
      </c>
      <c r="G907">
        <v>0</v>
      </c>
      <c r="H907">
        <f t="shared" si="14"/>
        <v>2</v>
      </c>
      <c r="K907" s="248">
        <v>0.5</v>
      </c>
      <c r="L907" s="249">
        <v>472000000</v>
      </c>
    </row>
    <row r="908" spans="1:12">
      <c r="A908">
        <v>4533</v>
      </c>
      <c r="C908">
        <v>0</v>
      </c>
      <c r="D908">
        <v>1</v>
      </c>
      <c r="E908">
        <v>0</v>
      </c>
      <c r="F908">
        <v>0</v>
      </c>
      <c r="G908">
        <v>0</v>
      </c>
      <c r="H908">
        <f t="shared" si="14"/>
        <v>1</v>
      </c>
      <c r="K908" s="248">
        <v>0.12</v>
      </c>
      <c r="L908" s="249">
        <v>158333333.33333334</v>
      </c>
    </row>
    <row r="909" spans="1:12">
      <c r="A909">
        <v>4534</v>
      </c>
      <c r="C909">
        <v>1</v>
      </c>
      <c r="D909">
        <v>1</v>
      </c>
      <c r="E909">
        <v>1</v>
      </c>
      <c r="F909">
        <v>1</v>
      </c>
      <c r="G909">
        <v>0</v>
      </c>
      <c r="H909">
        <f t="shared" si="14"/>
        <v>4</v>
      </c>
      <c r="K909" s="248">
        <v>0.43</v>
      </c>
      <c r="L909" s="249">
        <v>76744186.046511635</v>
      </c>
    </row>
    <row r="910" spans="1:12">
      <c r="A910">
        <v>4535</v>
      </c>
      <c r="C910">
        <v>1</v>
      </c>
      <c r="D910">
        <v>1</v>
      </c>
      <c r="E910">
        <v>1</v>
      </c>
      <c r="F910">
        <v>1</v>
      </c>
      <c r="G910">
        <v>0</v>
      </c>
      <c r="H910">
        <f t="shared" si="14"/>
        <v>4</v>
      </c>
      <c r="K910" s="248">
        <v>1.06</v>
      </c>
      <c r="L910" s="249">
        <v>75471698.113207549</v>
      </c>
    </row>
    <row r="911" spans="1:12">
      <c r="A911">
        <v>4536</v>
      </c>
      <c r="C911">
        <v>1</v>
      </c>
      <c r="D911">
        <v>1</v>
      </c>
      <c r="E911">
        <v>2</v>
      </c>
      <c r="F911">
        <v>1</v>
      </c>
      <c r="G911">
        <v>0</v>
      </c>
      <c r="H911">
        <f t="shared" si="14"/>
        <v>5</v>
      </c>
      <c r="K911" s="248">
        <v>2.67</v>
      </c>
      <c r="L911" s="249">
        <v>90636704.119850188</v>
      </c>
    </row>
    <row r="912" spans="1:12">
      <c r="A912">
        <v>4541</v>
      </c>
      <c r="C912">
        <v>0</v>
      </c>
      <c r="D912">
        <v>1</v>
      </c>
      <c r="E912">
        <v>0</v>
      </c>
      <c r="F912">
        <v>1</v>
      </c>
      <c r="G912">
        <v>0</v>
      </c>
      <c r="H912">
        <f t="shared" si="14"/>
        <v>2</v>
      </c>
      <c r="K912" s="248">
        <v>0.37</v>
      </c>
      <c r="L912" s="249">
        <v>54054054.054054052</v>
      </c>
    </row>
    <row r="913" spans="1:12">
      <c r="A913">
        <v>4542</v>
      </c>
      <c r="C913">
        <v>0</v>
      </c>
      <c r="D913">
        <v>1</v>
      </c>
      <c r="E913">
        <v>2</v>
      </c>
      <c r="F913">
        <v>1</v>
      </c>
      <c r="G913">
        <v>0</v>
      </c>
      <c r="H913">
        <f t="shared" si="14"/>
        <v>4</v>
      </c>
      <c r="K913" s="248">
        <v>0.36</v>
      </c>
      <c r="L913" s="249">
        <v>27777777.77777778</v>
      </c>
    </row>
    <row r="914" spans="1:12">
      <c r="A914">
        <v>4549</v>
      </c>
      <c r="C914">
        <v>0</v>
      </c>
      <c r="D914">
        <v>1</v>
      </c>
      <c r="E914">
        <v>2</v>
      </c>
      <c r="F914">
        <v>1</v>
      </c>
      <c r="G914">
        <v>0</v>
      </c>
      <c r="H914">
        <f t="shared" si="14"/>
        <v>4</v>
      </c>
      <c r="K914" s="248">
        <v>0.98</v>
      </c>
      <c r="L914" s="249">
        <v>37755102.040816329</v>
      </c>
    </row>
    <row r="915" spans="1:12">
      <c r="A915">
        <v>4550</v>
      </c>
      <c r="C915">
        <v>0</v>
      </c>
      <c r="D915">
        <v>0</v>
      </c>
      <c r="E915">
        <v>0</v>
      </c>
      <c r="F915">
        <v>1</v>
      </c>
      <c r="G915">
        <v>0</v>
      </c>
      <c r="H915">
        <f t="shared" si="14"/>
        <v>1</v>
      </c>
      <c r="K915" s="248">
        <v>0.22</v>
      </c>
      <c r="L915" s="249">
        <v>31818181.818181816</v>
      </c>
    </row>
    <row r="916" spans="1:12">
      <c r="A916">
        <v>4551</v>
      </c>
      <c r="C916">
        <v>1</v>
      </c>
      <c r="D916">
        <v>1</v>
      </c>
      <c r="E916">
        <v>0</v>
      </c>
      <c r="F916">
        <v>0</v>
      </c>
      <c r="G916">
        <v>0</v>
      </c>
      <c r="H916">
        <f t="shared" si="14"/>
        <v>2</v>
      </c>
      <c r="K916" s="248">
        <v>1.08</v>
      </c>
      <c r="L916" s="249">
        <v>79629629.629629627</v>
      </c>
    </row>
    <row r="917" spans="1:12">
      <c r="A917">
        <v>4555</v>
      </c>
      <c r="C917">
        <v>0</v>
      </c>
      <c r="D917">
        <v>1</v>
      </c>
      <c r="E917">
        <v>0</v>
      </c>
      <c r="F917">
        <v>1</v>
      </c>
      <c r="G917">
        <v>0</v>
      </c>
      <c r="H917">
        <f t="shared" si="14"/>
        <v>2</v>
      </c>
      <c r="K917" s="248">
        <v>1.6</v>
      </c>
      <c r="L917" s="249">
        <v>61250000</v>
      </c>
    </row>
    <row r="918" spans="1:12">
      <c r="A918">
        <v>4557</v>
      </c>
      <c r="C918">
        <v>0</v>
      </c>
      <c r="D918">
        <v>0</v>
      </c>
      <c r="E918">
        <v>0</v>
      </c>
      <c r="F918">
        <v>0</v>
      </c>
      <c r="G918">
        <v>0</v>
      </c>
      <c r="H918">
        <f t="shared" si="14"/>
        <v>0</v>
      </c>
      <c r="K918" s="248">
        <v>2.4</v>
      </c>
      <c r="L918" s="249">
        <v>30833333.333333336</v>
      </c>
    </row>
    <row r="919" spans="1:12">
      <c r="A919">
        <v>4609</v>
      </c>
      <c r="C919">
        <v>1</v>
      </c>
      <c r="D919">
        <v>1</v>
      </c>
      <c r="E919">
        <v>2</v>
      </c>
      <c r="F919">
        <v>0</v>
      </c>
      <c r="G919">
        <v>0</v>
      </c>
      <c r="H919">
        <f t="shared" si="14"/>
        <v>4</v>
      </c>
      <c r="K919" s="248">
        <v>0.84</v>
      </c>
      <c r="L919" s="249">
        <v>47619047.619047619</v>
      </c>
    </row>
    <row r="920" spans="1:12">
      <c r="A920">
        <v>4702</v>
      </c>
      <c r="C920">
        <v>0</v>
      </c>
      <c r="D920">
        <v>0</v>
      </c>
      <c r="E920">
        <v>0</v>
      </c>
      <c r="F920">
        <v>1</v>
      </c>
      <c r="G920">
        <v>0</v>
      </c>
      <c r="H920">
        <f t="shared" si="14"/>
        <v>1</v>
      </c>
      <c r="K920" s="248">
        <v>0.05</v>
      </c>
      <c r="L920" s="249">
        <v>220000000</v>
      </c>
    </row>
    <row r="921" spans="1:12">
      <c r="A921">
        <v>4706</v>
      </c>
      <c r="C921">
        <v>1</v>
      </c>
      <c r="D921">
        <v>1</v>
      </c>
      <c r="E921">
        <v>1</v>
      </c>
      <c r="F921">
        <v>1</v>
      </c>
      <c r="G921">
        <v>0</v>
      </c>
      <c r="H921">
        <f t="shared" si="14"/>
        <v>4</v>
      </c>
      <c r="K921" s="248">
        <v>0.44</v>
      </c>
      <c r="L921" s="249">
        <v>77272727.272727266</v>
      </c>
    </row>
    <row r="922" spans="1:12">
      <c r="A922">
        <v>4711</v>
      </c>
      <c r="C922">
        <v>1</v>
      </c>
      <c r="D922">
        <v>1</v>
      </c>
      <c r="E922">
        <v>0</v>
      </c>
      <c r="F922">
        <v>1</v>
      </c>
      <c r="G922">
        <v>0</v>
      </c>
      <c r="H922">
        <f t="shared" si="14"/>
        <v>3</v>
      </c>
      <c r="K922" s="248">
        <v>0.28000000000000003</v>
      </c>
      <c r="L922" s="249">
        <v>60714285.714285709</v>
      </c>
    </row>
    <row r="923" spans="1:12">
      <c r="A923">
        <v>4712</v>
      </c>
      <c r="C923">
        <v>0</v>
      </c>
      <c r="D923">
        <v>1</v>
      </c>
      <c r="E923">
        <v>0</v>
      </c>
      <c r="F923">
        <v>1</v>
      </c>
      <c r="G923">
        <v>0</v>
      </c>
      <c r="H923">
        <f t="shared" si="14"/>
        <v>2</v>
      </c>
      <c r="K923" s="248">
        <v>-7.0000000000000007E-2</v>
      </c>
      <c r="L923" s="249">
        <v>99999999.999999985</v>
      </c>
    </row>
    <row r="924" spans="1:12">
      <c r="A924">
        <v>4714</v>
      </c>
      <c r="C924">
        <v>0</v>
      </c>
      <c r="D924">
        <v>1</v>
      </c>
      <c r="E924">
        <v>0</v>
      </c>
      <c r="F924">
        <v>0</v>
      </c>
      <c r="G924">
        <v>1</v>
      </c>
      <c r="H924">
        <f t="shared" si="14"/>
        <v>2</v>
      </c>
      <c r="K924" s="248">
        <v>7.0000000000000007E-2</v>
      </c>
      <c r="L924" s="249">
        <v>71428571.428571418</v>
      </c>
    </row>
    <row r="925" spans="1:12">
      <c r="A925">
        <v>4716</v>
      </c>
      <c r="C925">
        <v>0</v>
      </c>
      <c r="D925">
        <v>1</v>
      </c>
      <c r="E925">
        <v>1</v>
      </c>
      <c r="F925">
        <v>0</v>
      </c>
      <c r="G925">
        <v>0</v>
      </c>
      <c r="H925">
        <f t="shared" si="14"/>
        <v>2</v>
      </c>
      <c r="K925" s="248">
        <v>0.14000000000000001</v>
      </c>
      <c r="L925" s="249">
        <v>71428571.428571418</v>
      </c>
    </row>
    <row r="926" spans="1:12">
      <c r="A926">
        <v>4720</v>
      </c>
      <c r="C926">
        <v>1</v>
      </c>
      <c r="D926">
        <v>1</v>
      </c>
      <c r="E926">
        <v>1</v>
      </c>
      <c r="F926">
        <v>0</v>
      </c>
      <c r="G926">
        <v>0</v>
      </c>
      <c r="H926">
        <f t="shared" si="14"/>
        <v>3</v>
      </c>
      <c r="K926" s="248">
        <v>0.5</v>
      </c>
      <c r="L926" s="249">
        <v>80000000</v>
      </c>
    </row>
    <row r="927" spans="1:12">
      <c r="A927">
        <v>4721</v>
      </c>
      <c r="C927">
        <v>1</v>
      </c>
      <c r="D927">
        <v>1</v>
      </c>
      <c r="E927">
        <v>0</v>
      </c>
      <c r="F927">
        <v>1</v>
      </c>
      <c r="G927">
        <v>0</v>
      </c>
      <c r="H927">
        <f t="shared" si="14"/>
        <v>3</v>
      </c>
      <c r="K927" s="248">
        <v>0.85</v>
      </c>
      <c r="L927" s="249">
        <v>75294117.64705883</v>
      </c>
    </row>
    <row r="928" spans="1:12">
      <c r="A928">
        <v>4722</v>
      </c>
      <c r="C928">
        <v>1</v>
      </c>
      <c r="D928">
        <v>1</v>
      </c>
      <c r="E928">
        <v>0</v>
      </c>
      <c r="F928">
        <v>1</v>
      </c>
      <c r="G928">
        <v>0</v>
      </c>
      <c r="H928">
        <f t="shared" si="14"/>
        <v>3</v>
      </c>
      <c r="K928" s="248">
        <v>1.31</v>
      </c>
      <c r="L928" s="249">
        <v>88549618.320610687</v>
      </c>
    </row>
    <row r="929" spans="1:12">
      <c r="A929">
        <v>4725</v>
      </c>
      <c r="C929">
        <v>0</v>
      </c>
      <c r="D929">
        <v>0</v>
      </c>
      <c r="E929">
        <v>0</v>
      </c>
      <c r="F929">
        <v>0</v>
      </c>
      <c r="G929">
        <v>0</v>
      </c>
      <c r="H929">
        <f t="shared" si="14"/>
        <v>0</v>
      </c>
      <c r="K929" s="248">
        <v>-1.35</v>
      </c>
      <c r="L929" s="249">
        <v>291851851.85185182</v>
      </c>
    </row>
    <row r="930" spans="1:12">
      <c r="A930">
        <v>4726</v>
      </c>
      <c r="C930">
        <v>0</v>
      </c>
      <c r="D930">
        <v>1</v>
      </c>
      <c r="E930">
        <v>2</v>
      </c>
      <c r="F930">
        <v>0</v>
      </c>
      <c r="G930">
        <v>0</v>
      </c>
      <c r="H930">
        <f t="shared" si="14"/>
        <v>3</v>
      </c>
      <c r="K930" s="248">
        <v>-0.04</v>
      </c>
      <c r="L930" s="249">
        <v>100000000</v>
      </c>
    </row>
    <row r="931" spans="1:12">
      <c r="A931">
        <v>4728</v>
      </c>
      <c r="C931">
        <v>0</v>
      </c>
      <c r="D931">
        <v>1</v>
      </c>
      <c r="E931">
        <v>2</v>
      </c>
      <c r="F931">
        <v>1</v>
      </c>
      <c r="G931">
        <v>0</v>
      </c>
      <c r="H931">
        <f t="shared" si="14"/>
        <v>4</v>
      </c>
      <c r="K931" s="248">
        <v>-0.17</v>
      </c>
      <c r="L931" s="249">
        <v>52941176.47058823</v>
      </c>
    </row>
    <row r="932" spans="1:12">
      <c r="A932">
        <v>4729</v>
      </c>
      <c r="C932">
        <v>1</v>
      </c>
      <c r="D932">
        <v>1</v>
      </c>
      <c r="E932">
        <v>0</v>
      </c>
      <c r="F932">
        <v>0</v>
      </c>
      <c r="G932">
        <v>0</v>
      </c>
      <c r="H932">
        <f t="shared" si="14"/>
        <v>2</v>
      </c>
      <c r="K932" s="248">
        <v>0.04</v>
      </c>
      <c r="L932" s="249">
        <v>125000000</v>
      </c>
    </row>
    <row r="933" spans="1:12">
      <c r="A933">
        <v>4733</v>
      </c>
      <c r="C933">
        <v>1</v>
      </c>
      <c r="D933">
        <v>1</v>
      </c>
      <c r="E933">
        <v>0</v>
      </c>
      <c r="F933">
        <v>0</v>
      </c>
      <c r="G933">
        <v>0</v>
      </c>
      <c r="H933">
        <f t="shared" si="14"/>
        <v>2</v>
      </c>
      <c r="K933" s="248">
        <v>4.6500000000000004</v>
      </c>
      <c r="L933" s="249">
        <v>86236559.139784947</v>
      </c>
    </row>
    <row r="934" spans="1:12">
      <c r="A934">
        <v>4735</v>
      </c>
      <c r="C934">
        <v>1</v>
      </c>
      <c r="D934">
        <v>1</v>
      </c>
      <c r="E934">
        <v>0</v>
      </c>
      <c r="F934">
        <v>1</v>
      </c>
      <c r="G934">
        <v>0</v>
      </c>
      <c r="H934">
        <f t="shared" si="14"/>
        <v>3</v>
      </c>
      <c r="K934" s="248">
        <v>0.76</v>
      </c>
      <c r="L934" s="249">
        <v>31578947.368421052</v>
      </c>
    </row>
    <row r="935" spans="1:12">
      <c r="A935">
        <v>4736</v>
      </c>
      <c r="C935">
        <v>1</v>
      </c>
      <c r="D935">
        <v>1</v>
      </c>
      <c r="E935">
        <v>1</v>
      </c>
      <c r="F935">
        <v>1</v>
      </c>
      <c r="G935">
        <v>1</v>
      </c>
      <c r="H935">
        <f t="shared" si="14"/>
        <v>5</v>
      </c>
      <c r="K935" s="248">
        <v>3.25</v>
      </c>
      <c r="L935" s="249">
        <v>68923076.923076928</v>
      </c>
    </row>
    <row r="936" spans="1:12">
      <c r="A936">
        <v>4737</v>
      </c>
      <c r="C936">
        <v>0</v>
      </c>
      <c r="D936">
        <v>1</v>
      </c>
      <c r="E936">
        <v>1</v>
      </c>
      <c r="F936">
        <v>1</v>
      </c>
      <c r="G936">
        <v>0</v>
      </c>
      <c r="H936">
        <f t="shared" si="14"/>
        <v>3</v>
      </c>
      <c r="K936" s="248">
        <v>0.59</v>
      </c>
      <c r="L936" s="249">
        <v>50847457.627118647</v>
      </c>
    </row>
    <row r="937" spans="1:12">
      <c r="A937">
        <v>4739</v>
      </c>
      <c r="C937">
        <v>0</v>
      </c>
      <c r="D937">
        <v>0</v>
      </c>
      <c r="E937">
        <v>0</v>
      </c>
      <c r="F937">
        <v>1</v>
      </c>
      <c r="G937">
        <v>0</v>
      </c>
      <c r="H937">
        <f t="shared" si="14"/>
        <v>1</v>
      </c>
      <c r="K937" s="248">
        <v>0.15</v>
      </c>
      <c r="L937" s="249">
        <v>66666666.666666672</v>
      </c>
    </row>
    <row r="938" spans="1:12">
      <c r="A938">
        <v>4743</v>
      </c>
      <c r="C938">
        <v>0</v>
      </c>
      <c r="D938">
        <v>0</v>
      </c>
      <c r="E938">
        <v>0</v>
      </c>
      <c r="F938">
        <v>0</v>
      </c>
      <c r="G938">
        <v>1</v>
      </c>
      <c r="H938">
        <f t="shared" si="14"/>
        <v>1</v>
      </c>
      <c r="K938" s="248">
        <v>-0.1</v>
      </c>
      <c r="L938" s="249">
        <v>190000000</v>
      </c>
    </row>
    <row r="939" spans="1:12">
      <c r="A939">
        <v>4745</v>
      </c>
      <c r="C939">
        <v>0</v>
      </c>
      <c r="D939">
        <v>0</v>
      </c>
      <c r="E939">
        <v>0</v>
      </c>
      <c r="F939">
        <v>0</v>
      </c>
      <c r="G939">
        <v>0</v>
      </c>
      <c r="H939">
        <f t="shared" si="14"/>
        <v>0</v>
      </c>
      <c r="K939" s="248">
        <v>0.48</v>
      </c>
      <c r="L939" s="249">
        <v>58333333.333333336</v>
      </c>
    </row>
    <row r="940" spans="1:12">
      <c r="A940">
        <v>4746</v>
      </c>
      <c r="C940">
        <v>1</v>
      </c>
      <c r="D940">
        <v>1</v>
      </c>
      <c r="E940">
        <v>2</v>
      </c>
      <c r="F940">
        <v>1</v>
      </c>
      <c r="G940">
        <v>0</v>
      </c>
      <c r="H940">
        <f t="shared" si="14"/>
        <v>5</v>
      </c>
      <c r="K940" s="248">
        <v>1.34</v>
      </c>
      <c r="L940" s="249">
        <v>85074626.865671635</v>
      </c>
    </row>
    <row r="941" spans="1:12">
      <c r="A941">
        <v>4747</v>
      </c>
      <c r="C941">
        <v>0</v>
      </c>
      <c r="D941">
        <v>1</v>
      </c>
      <c r="E941">
        <v>0</v>
      </c>
      <c r="F941">
        <v>1</v>
      </c>
      <c r="G941">
        <v>0</v>
      </c>
      <c r="H941">
        <f t="shared" si="14"/>
        <v>2</v>
      </c>
      <c r="K941" s="248">
        <v>0.48</v>
      </c>
      <c r="L941" s="249">
        <v>29166666.666666668</v>
      </c>
    </row>
    <row r="942" spans="1:12">
      <c r="A942">
        <v>4755</v>
      </c>
      <c r="C942">
        <v>1</v>
      </c>
      <c r="D942">
        <v>1</v>
      </c>
      <c r="E942">
        <v>0</v>
      </c>
      <c r="F942">
        <v>1</v>
      </c>
      <c r="G942">
        <v>0</v>
      </c>
      <c r="H942">
        <f t="shared" si="14"/>
        <v>3</v>
      </c>
      <c r="K942" s="248">
        <v>0.68</v>
      </c>
      <c r="L942" s="249">
        <v>89705882.35294117</v>
      </c>
    </row>
    <row r="943" spans="1:12">
      <c r="A943">
        <v>4903</v>
      </c>
      <c r="C943">
        <v>0</v>
      </c>
      <c r="D943">
        <v>1</v>
      </c>
      <c r="E943">
        <v>1</v>
      </c>
      <c r="F943">
        <v>0</v>
      </c>
      <c r="G943">
        <v>0</v>
      </c>
      <c r="H943">
        <f t="shared" si="14"/>
        <v>2</v>
      </c>
      <c r="K943" s="248">
        <v>0.32</v>
      </c>
      <c r="L943" s="249">
        <v>87500000</v>
      </c>
    </row>
    <row r="944" spans="1:12">
      <c r="A944">
        <v>4904</v>
      </c>
      <c r="C944">
        <v>1</v>
      </c>
      <c r="D944">
        <v>1</v>
      </c>
      <c r="E944">
        <v>0</v>
      </c>
      <c r="F944">
        <v>1</v>
      </c>
      <c r="G944">
        <v>0</v>
      </c>
      <c r="H944">
        <f t="shared" si="14"/>
        <v>3</v>
      </c>
      <c r="K944" s="248">
        <v>0.99</v>
      </c>
      <c r="L944" s="249">
        <v>3247474747.4747477</v>
      </c>
    </row>
    <row r="945" spans="1:12">
      <c r="A945">
        <v>4905</v>
      </c>
      <c r="C945">
        <v>1</v>
      </c>
      <c r="D945">
        <v>1</v>
      </c>
      <c r="E945">
        <v>1</v>
      </c>
      <c r="F945">
        <v>1</v>
      </c>
      <c r="G945">
        <v>0</v>
      </c>
      <c r="H945">
        <f t="shared" si="14"/>
        <v>4</v>
      </c>
      <c r="K945" s="248">
        <v>1.01</v>
      </c>
      <c r="L945" s="249">
        <v>51485148.514851488</v>
      </c>
    </row>
    <row r="946" spans="1:12">
      <c r="A946">
        <v>4906</v>
      </c>
      <c r="C946">
        <v>1</v>
      </c>
      <c r="D946">
        <v>1</v>
      </c>
      <c r="E946">
        <v>1</v>
      </c>
      <c r="F946">
        <v>1</v>
      </c>
      <c r="G946">
        <v>0</v>
      </c>
      <c r="H946">
        <f t="shared" si="14"/>
        <v>4</v>
      </c>
      <c r="K946" s="248">
        <v>0.5</v>
      </c>
      <c r="L946" s="249">
        <v>298000000</v>
      </c>
    </row>
    <row r="947" spans="1:12">
      <c r="A947">
        <v>4908</v>
      </c>
      <c r="C947">
        <v>0</v>
      </c>
      <c r="D947">
        <v>1</v>
      </c>
      <c r="E947">
        <v>1</v>
      </c>
      <c r="F947">
        <v>1</v>
      </c>
      <c r="G947">
        <v>0</v>
      </c>
      <c r="H947">
        <f t="shared" si="14"/>
        <v>3</v>
      </c>
      <c r="K947" s="248">
        <v>0.3</v>
      </c>
      <c r="L947" s="249">
        <v>76666666.666666672</v>
      </c>
    </row>
    <row r="948" spans="1:12">
      <c r="A948">
        <v>4909</v>
      </c>
      <c r="C948">
        <v>1</v>
      </c>
      <c r="D948">
        <v>1</v>
      </c>
      <c r="E948">
        <v>0</v>
      </c>
      <c r="F948">
        <v>1</v>
      </c>
      <c r="G948">
        <v>0</v>
      </c>
      <c r="H948">
        <f t="shared" si="14"/>
        <v>3</v>
      </c>
      <c r="K948" s="248">
        <v>1.1299999999999999</v>
      </c>
      <c r="L948" s="249">
        <v>92920353.982300892</v>
      </c>
    </row>
    <row r="949" spans="1:12">
      <c r="A949">
        <v>4911</v>
      </c>
      <c r="C949">
        <v>0</v>
      </c>
      <c r="D949">
        <v>1</v>
      </c>
      <c r="E949">
        <v>0</v>
      </c>
      <c r="F949">
        <v>0</v>
      </c>
      <c r="G949">
        <v>0</v>
      </c>
      <c r="H949">
        <f t="shared" si="14"/>
        <v>1</v>
      </c>
      <c r="K949" s="248">
        <v>-0.04</v>
      </c>
      <c r="L949" s="249">
        <v>50000000</v>
      </c>
    </row>
    <row r="950" spans="1:12">
      <c r="A950">
        <v>4912</v>
      </c>
      <c r="C950">
        <v>0</v>
      </c>
      <c r="D950">
        <v>1</v>
      </c>
      <c r="E950">
        <v>0</v>
      </c>
      <c r="F950">
        <v>1</v>
      </c>
      <c r="G950">
        <v>0</v>
      </c>
      <c r="H950">
        <f t="shared" si="14"/>
        <v>2</v>
      </c>
      <c r="K950" s="248">
        <v>2.06</v>
      </c>
      <c r="L950" s="249">
        <v>39805825.242718443</v>
      </c>
    </row>
    <row r="951" spans="1:12">
      <c r="A951">
        <v>4915</v>
      </c>
      <c r="C951">
        <v>1</v>
      </c>
      <c r="D951">
        <v>1</v>
      </c>
      <c r="E951">
        <v>1</v>
      </c>
      <c r="F951">
        <v>1</v>
      </c>
      <c r="G951">
        <v>1</v>
      </c>
      <c r="H951">
        <f t="shared" si="14"/>
        <v>5</v>
      </c>
      <c r="K951" s="248">
        <v>1.1499999999999999</v>
      </c>
      <c r="L951" s="249">
        <v>435652173.9130435</v>
      </c>
    </row>
    <row r="952" spans="1:12">
      <c r="A952">
        <v>4916</v>
      </c>
      <c r="C952">
        <v>1</v>
      </c>
      <c r="D952">
        <v>1</v>
      </c>
      <c r="E952">
        <v>2</v>
      </c>
      <c r="F952">
        <v>0</v>
      </c>
      <c r="G952">
        <v>0</v>
      </c>
      <c r="H952">
        <f t="shared" si="14"/>
        <v>4</v>
      </c>
      <c r="K952" s="248">
        <v>0.28000000000000003</v>
      </c>
      <c r="L952" s="249">
        <v>0</v>
      </c>
    </row>
    <row r="953" spans="1:12">
      <c r="A953">
        <v>4919</v>
      </c>
      <c r="C953">
        <v>0</v>
      </c>
      <c r="D953">
        <v>1</v>
      </c>
      <c r="E953">
        <v>0</v>
      </c>
      <c r="F953">
        <v>0</v>
      </c>
      <c r="G953">
        <v>0</v>
      </c>
      <c r="H953">
        <f t="shared" si="14"/>
        <v>1</v>
      </c>
      <c r="K953" s="248">
        <v>0.71</v>
      </c>
      <c r="L953" s="249">
        <v>208450704.22535211</v>
      </c>
    </row>
    <row r="954" spans="1:12">
      <c r="A954">
        <v>4924</v>
      </c>
      <c r="C954">
        <v>0</v>
      </c>
      <c r="D954">
        <v>0</v>
      </c>
      <c r="E954">
        <v>0</v>
      </c>
      <c r="F954">
        <v>0</v>
      </c>
      <c r="G954">
        <v>0</v>
      </c>
      <c r="H954">
        <f t="shared" si="14"/>
        <v>0</v>
      </c>
      <c r="K954" s="248">
        <v>-0.6</v>
      </c>
      <c r="L954" s="249">
        <v>36666666.666666672</v>
      </c>
    </row>
    <row r="955" spans="1:12">
      <c r="A955">
        <v>4927</v>
      </c>
      <c r="C955">
        <v>1</v>
      </c>
      <c r="D955">
        <v>1</v>
      </c>
      <c r="E955">
        <v>0</v>
      </c>
      <c r="F955">
        <v>0</v>
      </c>
      <c r="G955">
        <v>1</v>
      </c>
      <c r="H955">
        <f t="shared" si="14"/>
        <v>3</v>
      </c>
      <c r="K955" s="248">
        <v>2.02</v>
      </c>
      <c r="L955" s="249">
        <v>122772277.22772276</v>
      </c>
    </row>
    <row r="956" spans="1:12">
      <c r="A956">
        <v>4930</v>
      </c>
      <c r="C956">
        <v>0</v>
      </c>
      <c r="D956">
        <v>1</v>
      </c>
      <c r="E956">
        <v>1</v>
      </c>
      <c r="F956">
        <v>0</v>
      </c>
      <c r="G956">
        <v>1</v>
      </c>
      <c r="H956">
        <f t="shared" si="14"/>
        <v>3</v>
      </c>
      <c r="K956" s="248">
        <v>0</v>
      </c>
      <c r="L956" s="249">
        <v>0</v>
      </c>
    </row>
    <row r="957" spans="1:12">
      <c r="A957">
        <v>4933</v>
      </c>
      <c r="C957">
        <v>1</v>
      </c>
      <c r="D957">
        <v>1</v>
      </c>
      <c r="E957">
        <v>0</v>
      </c>
      <c r="F957">
        <v>1</v>
      </c>
      <c r="G957">
        <v>0</v>
      </c>
      <c r="H957">
        <f t="shared" si="14"/>
        <v>3</v>
      </c>
      <c r="K957" s="248">
        <v>0.87</v>
      </c>
      <c r="L957" s="249">
        <v>77011494.25287357</v>
      </c>
    </row>
    <row r="958" spans="1:12">
      <c r="A958">
        <v>4934</v>
      </c>
      <c r="C958">
        <v>0</v>
      </c>
      <c r="D958">
        <v>1</v>
      </c>
      <c r="E958">
        <v>2</v>
      </c>
      <c r="F958">
        <v>1</v>
      </c>
      <c r="G958">
        <v>0</v>
      </c>
      <c r="H958">
        <f t="shared" si="14"/>
        <v>4</v>
      </c>
      <c r="K958" s="248">
        <v>0.41</v>
      </c>
      <c r="L958" s="249">
        <v>317073170.73170733</v>
      </c>
    </row>
    <row r="959" spans="1:12">
      <c r="A959">
        <v>4935</v>
      </c>
      <c r="C959">
        <v>1</v>
      </c>
      <c r="D959">
        <v>1</v>
      </c>
      <c r="E959">
        <v>2</v>
      </c>
      <c r="F959">
        <v>1</v>
      </c>
      <c r="G959">
        <v>1</v>
      </c>
      <c r="H959">
        <f t="shared" si="14"/>
        <v>6</v>
      </c>
      <c r="K959" s="248">
        <v>2.48</v>
      </c>
      <c r="L959" s="249">
        <v>129435483.87096775</v>
      </c>
    </row>
    <row r="960" spans="1:12">
      <c r="A960">
        <v>4938</v>
      </c>
      <c r="C960">
        <v>0</v>
      </c>
      <c r="D960">
        <v>0</v>
      </c>
      <c r="E960">
        <v>1</v>
      </c>
      <c r="F960">
        <v>0</v>
      </c>
      <c r="G960">
        <v>0</v>
      </c>
      <c r="H960">
        <f t="shared" si="14"/>
        <v>1</v>
      </c>
      <c r="K960" s="248">
        <v>2.31</v>
      </c>
      <c r="L960" s="249">
        <v>2603463203.4632034</v>
      </c>
    </row>
    <row r="961" spans="1:12">
      <c r="A961">
        <v>4939</v>
      </c>
      <c r="C961">
        <v>0</v>
      </c>
      <c r="D961">
        <v>1</v>
      </c>
      <c r="E961">
        <v>0</v>
      </c>
      <c r="F961">
        <v>1</v>
      </c>
      <c r="G961">
        <v>0</v>
      </c>
      <c r="H961">
        <f t="shared" si="14"/>
        <v>2</v>
      </c>
      <c r="K961" s="248">
        <v>-0.31</v>
      </c>
      <c r="L961" s="249">
        <v>100000000</v>
      </c>
    </row>
    <row r="962" spans="1:12">
      <c r="A962">
        <v>4942</v>
      </c>
      <c r="C962">
        <v>0</v>
      </c>
      <c r="D962">
        <v>0</v>
      </c>
      <c r="E962">
        <v>0</v>
      </c>
      <c r="F962">
        <v>1</v>
      </c>
      <c r="G962">
        <v>0</v>
      </c>
      <c r="H962">
        <f t="shared" ref="H962:H1025" si="15">SUM(C962:G962)</f>
        <v>1</v>
      </c>
      <c r="K962" s="248">
        <v>-2.27</v>
      </c>
      <c r="L962" s="249">
        <v>152422907.48898679</v>
      </c>
    </row>
    <row r="963" spans="1:12">
      <c r="A963">
        <v>4944</v>
      </c>
      <c r="C963">
        <v>0</v>
      </c>
      <c r="D963">
        <v>0</v>
      </c>
      <c r="E963">
        <v>1</v>
      </c>
      <c r="F963">
        <v>1</v>
      </c>
      <c r="G963">
        <v>0</v>
      </c>
      <c r="H963">
        <f t="shared" si="15"/>
        <v>2</v>
      </c>
      <c r="K963" s="248">
        <v>-0.96</v>
      </c>
      <c r="L963" s="249">
        <v>210416666.66666669</v>
      </c>
    </row>
    <row r="964" spans="1:12">
      <c r="A964">
        <v>4946</v>
      </c>
      <c r="C964">
        <v>0</v>
      </c>
      <c r="D964">
        <v>0</v>
      </c>
      <c r="E964">
        <v>2</v>
      </c>
      <c r="F964">
        <v>0</v>
      </c>
      <c r="G964">
        <v>0</v>
      </c>
      <c r="H964">
        <f t="shared" si="15"/>
        <v>2</v>
      </c>
      <c r="K964" s="248">
        <v>-4.76</v>
      </c>
      <c r="L964" s="249">
        <v>27310924.369747899</v>
      </c>
    </row>
    <row r="965" spans="1:12">
      <c r="A965">
        <v>4947</v>
      </c>
      <c r="C965">
        <v>1</v>
      </c>
      <c r="D965">
        <v>1</v>
      </c>
      <c r="E965">
        <v>1</v>
      </c>
      <c r="F965">
        <v>0</v>
      </c>
      <c r="G965">
        <v>1</v>
      </c>
      <c r="H965">
        <f t="shared" si="15"/>
        <v>4</v>
      </c>
      <c r="K965" s="248">
        <v>4.32</v>
      </c>
      <c r="L965" s="249">
        <v>44444444.44444444</v>
      </c>
    </row>
    <row r="966" spans="1:12">
      <c r="A966">
        <v>4950</v>
      </c>
      <c r="C966">
        <v>1</v>
      </c>
      <c r="D966">
        <v>1</v>
      </c>
      <c r="E966">
        <v>2</v>
      </c>
      <c r="F966">
        <v>1</v>
      </c>
      <c r="G966">
        <v>0</v>
      </c>
      <c r="H966">
        <f t="shared" si="15"/>
        <v>5</v>
      </c>
      <c r="K966" s="248">
        <v>1.65</v>
      </c>
      <c r="L966" s="249">
        <v>52121212.121212125</v>
      </c>
    </row>
    <row r="967" spans="1:12">
      <c r="A967">
        <v>4952</v>
      </c>
      <c r="C967">
        <v>1</v>
      </c>
      <c r="D967">
        <v>1</v>
      </c>
      <c r="E967">
        <v>0</v>
      </c>
      <c r="F967">
        <v>1</v>
      </c>
      <c r="G967">
        <v>0</v>
      </c>
      <c r="H967">
        <f t="shared" si="15"/>
        <v>3</v>
      </c>
      <c r="K967" s="248">
        <v>1.24</v>
      </c>
      <c r="L967" s="249">
        <v>108870967.74193549</v>
      </c>
    </row>
    <row r="968" spans="1:12">
      <c r="A968">
        <v>4953</v>
      </c>
      <c r="C968">
        <v>0</v>
      </c>
      <c r="D968">
        <v>0</v>
      </c>
      <c r="E968">
        <v>1</v>
      </c>
      <c r="F968">
        <v>0</v>
      </c>
      <c r="G968">
        <v>0</v>
      </c>
      <c r="H968">
        <f t="shared" si="15"/>
        <v>1</v>
      </c>
      <c r="K968" s="248">
        <v>0.32</v>
      </c>
      <c r="L968" s="249">
        <v>43750000</v>
      </c>
    </row>
    <row r="969" spans="1:12">
      <c r="A969">
        <v>4956</v>
      </c>
      <c r="C969">
        <v>0</v>
      </c>
      <c r="D969">
        <v>1</v>
      </c>
      <c r="E969">
        <v>0</v>
      </c>
      <c r="F969">
        <v>1</v>
      </c>
      <c r="G969">
        <v>0</v>
      </c>
      <c r="H969">
        <f t="shared" si="15"/>
        <v>2</v>
      </c>
      <c r="K969" s="248">
        <v>0.25</v>
      </c>
      <c r="L969" s="249">
        <v>100000000</v>
      </c>
    </row>
    <row r="970" spans="1:12">
      <c r="A970">
        <v>4958</v>
      </c>
      <c r="C970">
        <v>0</v>
      </c>
      <c r="D970">
        <v>1</v>
      </c>
      <c r="E970">
        <v>0</v>
      </c>
      <c r="F970">
        <v>1</v>
      </c>
      <c r="G970">
        <v>0</v>
      </c>
      <c r="H970">
        <f t="shared" si="15"/>
        <v>2</v>
      </c>
      <c r="K970" s="248">
        <v>2.67</v>
      </c>
      <c r="L970" s="249">
        <v>805617977.52808988</v>
      </c>
    </row>
    <row r="971" spans="1:12">
      <c r="A971">
        <v>4960</v>
      </c>
      <c r="C971">
        <v>0</v>
      </c>
      <c r="D971">
        <v>1</v>
      </c>
      <c r="E971">
        <v>0</v>
      </c>
      <c r="F971">
        <v>1</v>
      </c>
      <c r="G971">
        <v>0</v>
      </c>
      <c r="H971">
        <f t="shared" si="15"/>
        <v>2</v>
      </c>
      <c r="K971" s="248">
        <v>0.61</v>
      </c>
      <c r="L971" s="249">
        <v>519672131.14754099</v>
      </c>
    </row>
    <row r="972" spans="1:12">
      <c r="A972">
        <v>4965</v>
      </c>
      <c r="C972">
        <v>0</v>
      </c>
      <c r="D972">
        <v>0</v>
      </c>
      <c r="E972">
        <v>1</v>
      </c>
      <c r="F972">
        <v>1</v>
      </c>
      <c r="G972">
        <v>1</v>
      </c>
      <c r="H972">
        <f t="shared" si="15"/>
        <v>3</v>
      </c>
      <c r="K972" s="248">
        <v>0.47</v>
      </c>
      <c r="L972" s="249">
        <v>21276595.744680852</v>
      </c>
    </row>
    <row r="973" spans="1:12">
      <c r="A973">
        <v>4966</v>
      </c>
      <c r="C973">
        <v>0</v>
      </c>
      <c r="D973">
        <v>0</v>
      </c>
      <c r="E973">
        <v>2</v>
      </c>
      <c r="F973">
        <v>0</v>
      </c>
      <c r="G973">
        <v>0</v>
      </c>
      <c r="H973">
        <f t="shared" si="15"/>
        <v>2</v>
      </c>
      <c r="K973" s="248">
        <v>4.28</v>
      </c>
      <c r="L973" s="249">
        <v>75000000</v>
      </c>
    </row>
    <row r="974" spans="1:12">
      <c r="A974">
        <v>4971</v>
      </c>
      <c r="C974">
        <v>0</v>
      </c>
      <c r="D974">
        <v>0</v>
      </c>
      <c r="E974">
        <v>0</v>
      </c>
      <c r="F974">
        <v>1</v>
      </c>
      <c r="G974">
        <v>0</v>
      </c>
      <c r="H974">
        <f t="shared" si="15"/>
        <v>1</v>
      </c>
      <c r="K974" s="248">
        <v>0.48</v>
      </c>
      <c r="L974" s="249">
        <v>33333333.333333336</v>
      </c>
    </row>
    <row r="975" spans="1:12">
      <c r="A975">
        <v>4972</v>
      </c>
      <c r="C975">
        <v>1</v>
      </c>
      <c r="D975">
        <v>1</v>
      </c>
      <c r="E975">
        <v>0</v>
      </c>
      <c r="F975">
        <v>1</v>
      </c>
      <c r="G975">
        <v>0</v>
      </c>
      <c r="H975">
        <f t="shared" si="15"/>
        <v>3</v>
      </c>
      <c r="K975" s="248">
        <v>1.37</v>
      </c>
      <c r="L975" s="249">
        <v>37956204.379562043</v>
      </c>
    </row>
    <row r="976" spans="1:12">
      <c r="A976">
        <v>4973</v>
      </c>
      <c r="C976">
        <v>0</v>
      </c>
      <c r="D976">
        <v>1</v>
      </c>
      <c r="E976">
        <v>2</v>
      </c>
      <c r="F976">
        <v>1</v>
      </c>
      <c r="G976">
        <v>0</v>
      </c>
      <c r="H976">
        <f t="shared" si="15"/>
        <v>4</v>
      </c>
      <c r="K976" s="248">
        <v>0.31</v>
      </c>
      <c r="L976" s="249">
        <v>64516129.032258064</v>
      </c>
    </row>
    <row r="977" spans="1:12">
      <c r="A977">
        <v>4974</v>
      </c>
      <c r="C977">
        <v>1</v>
      </c>
      <c r="D977">
        <v>1</v>
      </c>
      <c r="E977">
        <v>0</v>
      </c>
      <c r="F977">
        <v>0</v>
      </c>
      <c r="G977">
        <v>0</v>
      </c>
      <c r="H977">
        <f t="shared" si="15"/>
        <v>2</v>
      </c>
      <c r="K977" s="248">
        <v>1.4</v>
      </c>
      <c r="L977" s="249">
        <v>62142857.142857149</v>
      </c>
    </row>
    <row r="978" spans="1:12">
      <c r="A978">
        <v>4976</v>
      </c>
      <c r="C978">
        <v>0</v>
      </c>
      <c r="D978">
        <v>1</v>
      </c>
      <c r="E978">
        <v>0</v>
      </c>
      <c r="F978">
        <v>1</v>
      </c>
      <c r="G978">
        <v>0</v>
      </c>
      <c r="H978">
        <f t="shared" si="15"/>
        <v>2</v>
      </c>
      <c r="K978" s="248">
        <v>-0.06</v>
      </c>
      <c r="L978" s="249">
        <v>100000000</v>
      </c>
    </row>
    <row r="979" spans="1:12">
      <c r="A979">
        <v>4977</v>
      </c>
      <c r="C979">
        <v>0</v>
      </c>
      <c r="D979">
        <v>1</v>
      </c>
      <c r="E979">
        <v>2</v>
      </c>
      <c r="F979">
        <v>1</v>
      </c>
      <c r="G979">
        <v>0</v>
      </c>
      <c r="H979">
        <f t="shared" si="15"/>
        <v>4</v>
      </c>
      <c r="K979" s="248">
        <v>1.26</v>
      </c>
      <c r="L979" s="249">
        <v>52380952.380952381</v>
      </c>
    </row>
    <row r="980" spans="1:12">
      <c r="A980">
        <v>4979</v>
      </c>
      <c r="C980">
        <v>1</v>
      </c>
      <c r="D980">
        <v>1</v>
      </c>
      <c r="E980">
        <v>0</v>
      </c>
      <c r="F980">
        <v>1</v>
      </c>
      <c r="G980">
        <v>0</v>
      </c>
      <c r="H980">
        <f t="shared" si="15"/>
        <v>3</v>
      </c>
      <c r="K980" s="248">
        <v>2.46</v>
      </c>
      <c r="L980" s="249">
        <v>73577235.772357732</v>
      </c>
    </row>
    <row r="981" spans="1:12">
      <c r="A981">
        <v>4984</v>
      </c>
      <c r="C981">
        <v>1</v>
      </c>
      <c r="D981">
        <v>1</v>
      </c>
      <c r="E981">
        <v>1</v>
      </c>
      <c r="F981">
        <v>1</v>
      </c>
      <c r="G981">
        <v>0</v>
      </c>
      <c r="H981">
        <f t="shared" si="15"/>
        <v>4</v>
      </c>
      <c r="K981" s="248">
        <v>1.49</v>
      </c>
      <c r="L981" s="249">
        <v>45637583.892617449</v>
      </c>
    </row>
    <row r="982" spans="1:12">
      <c r="A982">
        <v>4987</v>
      </c>
      <c r="C982">
        <v>1</v>
      </c>
      <c r="D982">
        <v>1</v>
      </c>
      <c r="E982">
        <v>0</v>
      </c>
      <c r="F982">
        <v>0</v>
      </c>
      <c r="G982">
        <v>0</v>
      </c>
      <c r="H982">
        <f t="shared" si="15"/>
        <v>2</v>
      </c>
      <c r="K982" s="248">
        <v>2.94</v>
      </c>
      <c r="L982" s="249">
        <v>25170068.027210884</v>
      </c>
    </row>
    <row r="983" spans="1:12">
      <c r="A983">
        <v>4991</v>
      </c>
      <c r="C983">
        <v>1</v>
      </c>
      <c r="D983">
        <v>1</v>
      </c>
      <c r="E983">
        <v>0</v>
      </c>
      <c r="F983">
        <v>1</v>
      </c>
      <c r="G983">
        <v>1</v>
      </c>
      <c r="H983">
        <f t="shared" si="15"/>
        <v>4</v>
      </c>
      <c r="K983" s="248">
        <v>1.94</v>
      </c>
      <c r="L983" s="249">
        <v>56185567.010309279</v>
      </c>
    </row>
    <row r="984" spans="1:12">
      <c r="A984">
        <v>4994</v>
      </c>
      <c r="C984">
        <v>0</v>
      </c>
      <c r="D984">
        <v>1</v>
      </c>
      <c r="E984">
        <v>2</v>
      </c>
      <c r="F984">
        <v>1</v>
      </c>
      <c r="G984">
        <v>0</v>
      </c>
      <c r="H984">
        <f t="shared" si="15"/>
        <v>4</v>
      </c>
      <c r="K984" s="248">
        <v>0.43</v>
      </c>
      <c r="L984" s="249">
        <v>111627906.97674419</v>
      </c>
    </row>
    <row r="985" spans="1:12">
      <c r="A985">
        <v>4995</v>
      </c>
      <c r="C985">
        <v>0</v>
      </c>
      <c r="D985">
        <v>1</v>
      </c>
      <c r="E985">
        <v>0</v>
      </c>
      <c r="F985">
        <v>1</v>
      </c>
      <c r="G985">
        <v>0</v>
      </c>
      <c r="H985">
        <f t="shared" si="15"/>
        <v>2</v>
      </c>
      <c r="K985" s="248">
        <v>0.75</v>
      </c>
      <c r="L985" s="249">
        <v>34666666.666666664</v>
      </c>
    </row>
    <row r="986" spans="1:12">
      <c r="A986">
        <v>4999</v>
      </c>
      <c r="C986">
        <v>0</v>
      </c>
      <c r="D986">
        <v>1</v>
      </c>
      <c r="E986">
        <v>2</v>
      </c>
      <c r="F986">
        <v>1</v>
      </c>
      <c r="G986">
        <v>0</v>
      </c>
      <c r="H986">
        <f t="shared" si="15"/>
        <v>4</v>
      </c>
      <c r="K986" s="248">
        <v>2.06</v>
      </c>
      <c r="L986" s="249">
        <v>74271844.660194173</v>
      </c>
    </row>
    <row r="987" spans="1:12">
      <c r="A987">
        <v>5007</v>
      </c>
      <c r="C987">
        <v>0</v>
      </c>
      <c r="D987">
        <v>1</v>
      </c>
      <c r="E987">
        <v>0</v>
      </c>
      <c r="F987">
        <v>1</v>
      </c>
      <c r="G987">
        <v>0</v>
      </c>
      <c r="H987">
        <f t="shared" si="15"/>
        <v>2</v>
      </c>
      <c r="K987" s="248">
        <v>0.78</v>
      </c>
      <c r="L987" s="249">
        <v>296153846.15384614</v>
      </c>
    </row>
    <row r="988" spans="1:12">
      <c r="A988">
        <v>5009</v>
      </c>
      <c r="C988">
        <v>1</v>
      </c>
      <c r="D988">
        <v>1</v>
      </c>
      <c r="E988">
        <v>0</v>
      </c>
      <c r="F988">
        <v>1</v>
      </c>
      <c r="G988">
        <v>0</v>
      </c>
      <c r="H988">
        <f t="shared" si="15"/>
        <v>3</v>
      </c>
      <c r="K988" s="248">
        <v>0.61</v>
      </c>
      <c r="L988" s="249">
        <v>442622950.81967217</v>
      </c>
    </row>
    <row r="989" spans="1:12">
      <c r="A989">
        <v>5011</v>
      </c>
      <c r="C989">
        <v>0</v>
      </c>
      <c r="D989">
        <v>1</v>
      </c>
      <c r="E989">
        <v>2</v>
      </c>
      <c r="F989">
        <v>0</v>
      </c>
      <c r="G989">
        <v>0</v>
      </c>
      <c r="H989">
        <f t="shared" si="15"/>
        <v>3</v>
      </c>
      <c r="K989" s="248">
        <v>0.28000000000000003</v>
      </c>
      <c r="L989" s="249">
        <v>35714285.714285709</v>
      </c>
    </row>
    <row r="990" spans="1:12">
      <c r="A990">
        <v>5013</v>
      </c>
      <c r="C990">
        <v>0</v>
      </c>
      <c r="D990">
        <v>1</v>
      </c>
      <c r="E990">
        <v>0</v>
      </c>
      <c r="F990">
        <v>1</v>
      </c>
      <c r="G990">
        <v>0</v>
      </c>
      <c r="H990">
        <f t="shared" si="15"/>
        <v>2</v>
      </c>
      <c r="K990" s="248">
        <v>0.47</v>
      </c>
      <c r="L990" s="249">
        <v>110638297.87234043</v>
      </c>
    </row>
    <row r="991" spans="1:12">
      <c r="A991">
        <v>5014</v>
      </c>
      <c r="C991">
        <v>0</v>
      </c>
      <c r="D991">
        <v>0</v>
      </c>
      <c r="E991">
        <v>2</v>
      </c>
      <c r="F991">
        <v>1</v>
      </c>
      <c r="G991">
        <v>0</v>
      </c>
      <c r="H991">
        <f t="shared" si="15"/>
        <v>3</v>
      </c>
      <c r="K991" s="248">
        <v>-0.64</v>
      </c>
      <c r="L991" s="249">
        <v>165625000</v>
      </c>
    </row>
    <row r="992" spans="1:12">
      <c r="A992">
        <v>5015</v>
      </c>
      <c r="C992">
        <v>0</v>
      </c>
      <c r="D992">
        <v>1</v>
      </c>
      <c r="E992">
        <v>2</v>
      </c>
      <c r="F992">
        <v>0</v>
      </c>
      <c r="G992">
        <v>0</v>
      </c>
      <c r="H992">
        <f t="shared" si="15"/>
        <v>3</v>
      </c>
      <c r="K992" s="248">
        <v>1.04</v>
      </c>
      <c r="L992" s="249">
        <v>60576923.076923072</v>
      </c>
    </row>
    <row r="993" spans="1:12">
      <c r="A993">
        <v>5016</v>
      </c>
      <c r="C993">
        <v>0</v>
      </c>
      <c r="D993">
        <v>1</v>
      </c>
      <c r="E993">
        <v>0</v>
      </c>
      <c r="F993">
        <v>1</v>
      </c>
      <c r="G993">
        <v>0</v>
      </c>
      <c r="H993">
        <f t="shared" si="15"/>
        <v>2</v>
      </c>
      <c r="K993" s="248">
        <v>0.48</v>
      </c>
      <c r="L993" s="249">
        <v>50000000</v>
      </c>
    </row>
    <row r="994" spans="1:12">
      <c r="A994">
        <v>5102</v>
      </c>
      <c r="C994">
        <v>0</v>
      </c>
      <c r="D994">
        <v>1</v>
      </c>
      <c r="E994">
        <v>0</v>
      </c>
      <c r="F994">
        <v>0</v>
      </c>
      <c r="G994">
        <v>0</v>
      </c>
      <c r="H994">
        <f t="shared" si="15"/>
        <v>1</v>
      </c>
      <c r="K994" s="248">
        <v>0.24</v>
      </c>
      <c r="L994" s="249">
        <v>66666666.666666672</v>
      </c>
    </row>
    <row r="995" spans="1:12">
      <c r="A995">
        <v>5201</v>
      </c>
      <c r="C995">
        <v>1</v>
      </c>
      <c r="D995">
        <v>1</v>
      </c>
      <c r="E995">
        <v>2</v>
      </c>
      <c r="F995">
        <v>0</v>
      </c>
      <c r="G995">
        <v>0</v>
      </c>
      <c r="H995">
        <f t="shared" si="15"/>
        <v>4</v>
      </c>
      <c r="K995" s="248">
        <v>0.62</v>
      </c>
      <c r="L995" s="249">
        <v>29032258.064516131</v>
      </c>
    </row>
    <row r="996" spans="1:12">
      <c r="A996">
        <v>5202</v>
      </c>
      <c r="C996">
        <v>0</v>
      </c>
      <c r="D996">
        <v>1</v>
      </c>
      <c r="E996">
        <v>1</v>
      </c>
      <c r="F996">
        <v>0</v>
      </c>
      <c r="G996">
        <v>0</v>
      </c>
      <c r="H996">
        <f t="shared" si="15"/>
        <v>2</v>
      </c>
      <c r="K996" s="248">
        <v>0.09</v>
      </c>
      <c r="L996" s="249">
        <v>55555555.55555556</v>
      </c>
    </row>
    <row r="997" spans="1:12">
      <c r="A997">
        <v>5203</v>
      </c>
      <c r="C997">
        <v>0</v>
      </c>
      <c r="D997">
        <v>1</v>
      </c>
      <c r="E997">
        <v>2</v>
      </c>
      <c r="F997">
        <v>0</v>
      </c>
      <c r="G997">
        <v>0</v>
      </c>
      <c r="H997">
        <f t="shared" si="15"/>
        <v>3</v>
      </c>
      <c r="K997" s="248">
        <v>1.66</v>
      </c>
      <c r="L997" s="249">
        <v>100000000</v>
      </c>
    </row>
    <row r="998" spans="1:12">
      <c r="A998">
        <v>5205</v>
      </c>
      <c r="C998">
        <v>0</v>
      </c>
      <c r="D998">
        <v>0</v>
      </c>
      <c r="E998">
        <v>0</v>
      </c>
      <c r="F998">
        <v>0</v>
      </c>
      <c r="G998">
        <v>0</v>
      </c>
      <c r="H998">
        <f t="shared" si="15"/>
        <v>0</v>
      </c>
      <c r="K998" s="248">
        <v>-0.2</v>
      </c>
      <c r="L998" s="249">
        <v>15000000</v>
      </c>
    </row>
    <row r="999" spans="1:12">
      <c r="A999">
        <v>5206</v>
      </c>
      <c r="C999">
        <v>1</v>
      </c>
      <c r="D999">
        <v>1</v>
      </c>
      <c r="E999">
        <v>1</v>
      </c>
      <c r="F999">
        <v>1</v>
      </c>
      <c r="G999">
        <v>1</v>
      </c>
      <c r="H999">
        <f t="shared" si="15"/>
        <v>5</v>
      </c>
      <c r="K999" s="248">
        <v>1.05</v>
      </c>
      <c r="L999" s="249">
        <v>150476190.47619048</v>
      </c>
    </row>
    <row r="1000" spans="1:12">
      <c r="A1000">
        <v>5209</v>
      </c>
      <c r="C1000">
        <v>1</v>
      </c>
      <c r="D1000">
        <v>1</v>
      </c>
      <c r="E1000">
        <v>1</v>
      </c>
      <c r="F1000">
        <v>0</v>
      </c>
      <c r="G1000">
        <v>0</v>
      </c>
      <c r="H1000">
        <f t="shared" si="15"/>
        <v>3</v>
      </c>
      <c r="K1000" s="248">
        <v>0.88</v>
      </c>
      <c r="L1000" s="249">
        <v>23863636.363636363</v>
      </c>
    </row>
    <row r="1001" spans="1:12">
      <c r="A1001">
        <v>5210</v>
      </c>
      <c r="C1001">
        <v>0</v>
      </c>
      <c r="D1001">
        <v>0</v>
      </c>
      <c r="E1001">
        <v>1</v>
      </c>
      <c r="F1001">
        <v>1</v>
      </c>
      <c r="G1001">
        <v>0</v>
      </c>
      <c r="H1001">
        <f t="shared" si="15"/>
        <v>2</v>
      </c>
      <c r="K1001" s="248">
        <v>-0.3</v>
      </c>
      <c r="L1001" s="249">
        <v>66666666.666666672</v>
      </c>
    </row>
    <row r="1002" spans="1:12">
      <c r="A1002">
        <v>5211</v>
      </c>
      <c r="C1002">
        <v>0</v>
      </c>
      <c r="D1002">
        <v>1</v>
      </c>
      <c r="E1002">
        <v>2</v>
      </c>
      <c r="F1002">
        <v>0</v>
      </c>
      <c r="G1002">
        <v>0</v>
      </c>
      <c r="H1002">
        <f t="shared" si="15"/>
        <v>3</v>
      </c>
      <c r="K1002" s="248">
        <v>0.19</v>
      </c>
      <c r="L1002" s="249">
        <v>31578947.368421052</v>
      </c>
    </row>
    <row r="1003" spans="1:12">
      <c r="A1003">
        <v>5212</v>
      </c>
      <c r="C1003">
        <v>0</v>
      </c>
      <c r="D1003">
        <v>1</v>
      </c>
      <c r="E1003">
        <v>1</v>
      </c>
      <c r="F1003">
        <v>0</v>
      </c>
      <c r="G1003">
        <v>0</v>
      </c>
      <c r="H1003">
        <f t="shared" si="15"/>
        <v>2</v>
      </c>
      <c r="K1003" s="248">
        <v>0.45</v>
      </c>
      <c r="L1003" s="249">
        <v>35555555.555555552</v>
      </c>
    </row>
    <row r="1004" spans="1:12">
      <c r="A1004">
        <v>5213</v>
      </c>
      <c r="C1004">
        <v>0</v>
      </c>
      <c r="D1004">
        <v>1</v>
      </c>
      <c r="E1004">
        <v>0</v>
      </c>
      <c r="F1004">
        <v>0</v>
      </c>
      <c r="G1004">
        <v>0</v>
      </c>
      <c r="H1004">
        <f t="shared" si="15"/>
        <v>1</v>
      </c>
      <c r="K1004" s="248">
        <v>-0.22</v>
      </c>
      <c r="L1004" s="249">
        <v>377272727.27272725</v>
      </c>
    </row>
    <row r="1005" spans="1:12">
      <c r="A1005">
        <v>5215</v>
      </c>
      <c r="C1005">
        <v>0</v>
      </c>
      <c r="D1005">
        <v>1</v>
      </c>
      <c r="E1005">
        <v>2</v>
      </c>
      <c r="F1005">
        <v>1</v>
      </c>
      <c r="G1005">
        <v>0</v>
      </c>
      <c r="H1005">
        <f t="shared" si="15"/>
        <v>4</v>
      </c>
      <c r="K1005" s="248">
        <v>1.26</v>
      </c>
      <c r="L1005" s="249">
        <v>53968253.96825397</v>
      </c>
    </row>
    <row r="1006" spans="1:12">
      <c r="A1006">
        <v>5225</v>
      </c>
      <c r="C1006">
        <v>1</v>
      </c>
      <c r="D1006">
        <v>1</v>
      </c>
      <c r="E1006">
        <v>0</v>
      </c>
      <c r="F1006">
        <v>1</v>
      </c>
      <c r="G1006">
        <v>1</v>
      </c>
      <c r="H1006">
        <f t="shared" si="15"/>
        <v>4</v>
      </c>
      <c r="K1006" s="248">
        <v>2.2000000000000002</v>
      </c>
      <c r="L1006" s="249">
        <v>60454545.454545453</v>
      </c>
    </row>
    <row r="1007" spans="1:12">
      <c r="A1007">
        <v>5227</v>
      </c>
      <c r="C1007">
        <v>1</v>
      </c>
      <c r="D1007">
        <v>1</v>
      </c>
      <c r="E1007">
        <v>2</v>
      </c>
      <c r="F1007">
        <v>0</v>
      </c>
      <c r="G1007">
        <v>0</v>
      </c>
      <c r="H1007">
        <f t="shared" si="15"/>
        <v>4</v>
      </c>
      <c r="K1007" s="248">
        <v>-0.45</v>
      </c>
      <c r="L1007" s="249">
        <v>164444444.44444445</v>
      </c>
    </row>
    <row r="1008" spans="1:12">
      <c r="A1008">
        <v>5230</v>
      </c>
      <c r="C1008">
        <v>0</v>
      </c>
      <c r="D1008">
        <v>1</v>
      </c>
      <c r="E1008">
        <v>1</v>
      </c>
      <c r="F1008">
        <v>1</v>
      </c>
      <c r="G1008">
        <v>0</v>
      </c>
      <c r="H1008">
        <f t="shared" si="15"/>
        <v>3</v>
      </c>
      <c r="K1008" s="248">
        <v>0.72</v>
      </c>
      <c r="L1008" s="249">
        <v>47222222.222222224</v>
      </c>
    </row>
    <row r="1009" spans="1:12">
      <c r="A1009">
        <v>5234</v>
      </c>
      <c r="C1009">
        <v>0</v>
      </c>
      <c r="D1009">
        <v>1</v>
      </c>
      <c r="E1009">
        <v>1</v>
      </c>
      <c r="F1009">
        <v>1</v>
      </c>
      <c r="G1009">
        <v>0</v>
      </c>
      <c r="H1009">
        <f t="shared" si="15"/>
        <v>3</v>
      </c>
      <c r="K1009" s="248">
        <v>0.71</v>
      </c>
      <c r="L1009" s="249">
        <v>92957746.478873238</v>
      </c>
    </row>
    <row r="1010" spans="1:12">
      <c r="A1010">
        <v>5243</v>
      </c>
      <c r="C1010">
        <v>0</v>
      </c>
      <c r="D1010">
        <v>0</v>
      </c>
      <c r="E1010">
        <v>0</v>
      </c>
      <c r="F1010">
        <v>1</v>
      </c>
      <c r="G1010">
        <v>0</v>
      </c>
      <c r="H1010">
        <f t="shared" si="15"/>
        <v>1</v>
      </c>
      <c r="K1010" s="248">
        <v>0.46</v>
      </c>
      <c r="L1010" s="249">
        <v>176086956.52173913</v>
      </c>
    </row>
    <row r="1011" spans="1:12">
      <c r="A1011">
        <v>5245</v>
      </c>
      <c r="C1011">
        <v>1</v>
      </c>
      <c r="D1011">
        <v>1</v>
      </c>
      <c r="E1011">
        <v>2</v>
      </c>
      <c r="F1011">
        <v>1</v>
      </c>
      <c r="G1011">
        <v>1</v>
      </c>
      <c r="H1011">
        <f t="shared" si="15"/>
        <v>6</v>
      </c>
      <c r="K1011" s="248">
        <v>1.43</v>
      </c>
      <c r="L1011" s="249">
        <v>38461538.461538464</v>
      </c>
    </row>
    <row r="1012" spans="1:12">
      <c r="A1012">
        <v>5251</v>
      </c>
      <c r="C1012">
        <v>0</v>
      </c>
      <c r="D1012">
        <v>1</v>
      </c>
      <c r="E1012">
        <v>0</v>
      </c>
      <c r="F1012">
        <v>1</v>
      </c>
      <c r="G1012">
        <v>0</v>
      </c>
      <c r="H1012">
        <f t="shared" si="15"/>
        <v>2</v>
      </c>
      <c r="K1012" s="248">
        <v>0.56000000000000005</v>
      </c>
      <c r="L1012" s="249">
        <v>30357142.857142854</v>
      </c>
    </row>
    <row r="1013" spans="1:12">
      <c r="A1013">
        <v>5255</v>
      </c>
      <c r="C1013">
        <v>0</v>
      </c>
      <c r="D1013">
        <v>0</v>
      </c>
      <c r="E1013">
        <v>2</v>
      </c>
      <c r="F1013">
        <v>0</v>
      </c>
      <c r="G1013">
        <v>0</v>
      </c>
      <c r="H1013">
        <f t="shared" si="15"/>
        <v>2</v>
      </c>
      <c r="K1013" s="248">
        <v>0.06</v>
      </c>
      <c r="L1013" s="249">
        <v>33333333.333333336</v>
      </c>
    </row>
    <row r="1014" spans="1:12">
      <c r="A1014">
        <v>5259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f t="shared" si="15"/>
        <v>0</v>
      </c>
      <c r="K1014" s="248" t="e">
        <v>#N/A</v>
      </c>
      <c r="L1014" s="249" t="e">
        <v>#N/A</v>
      </c>
    </row>
    <row r="1015" spans="1:12">
      <c r="A1015">
        <v>5263</v>
      </c>
      <c r="C1015">
        <v>1</v>
      </c>
      <c r="D1015">
        <v>1</v>
      </c>
      <c r="E1015">
        <v>1</v>
      </c>
      <c r="F1015">
        <v>0</v>
      </c>
      <c r="G1015">
        <v>0</v>
      </c>
      <c r="H1015">
        <f t="shared" si="15"/>
        <v>3</v>
      </c>
      <c r="K1015" s="248">
        <v>1.51</v>
      </c>
      <c r="L1015" s="249">
        <v>43708609.271523178</v>
      </c>
    </row>
    <row r="1016" spans="1:12">
      <c r="A1016">
        <v>5264</v>
      </c>
      <c r="C1016">
        <v>1</v>
      </c>
      <c r="D1016">
        <v>1</v>
      </c>
      <c r="E1016">
        <v>0</v>
      </c>
      <c r="F1016">
        <v>1</v>
      </c>
      <c r="G1016">
        <v>0</v>
      </c>
      <c r="H1016">
        <f t="shared" si="15"/>
        <v>3</v>
      </c>
      <c r="K1016" s="248">
        <v>4.75</v>
      </c>
      <c r="L1016" s="249">
        <v>339789473.68421054</v>
      </c>
    </row>
    <row r="1017" spans="1:12">
      <c r="A1017">
        <v>5266</v>
      </c>
      <c r="C1017">
        <v>0</v>
      </c>
      <c r="D1017">
        <v>1</v>
      </c>
      <c r="E1017">
        <v>1</v>
      </c>
      <c r="F1017">
        <v>1</v>
      </c>
      <c r="G1017">
        <v>0</v>
      </c>
      <c r="H1017">
        <f t="shared" si="15"/>
        <v>3</v>
      </c>
      <c r="K1017" s="248">
        <v>2.06</v>
      </c>
      <c r="L1017" s="249">
        <v>32038834.951456308</v>
      </c>
    </row>
    <row r="1018" spans="1:12">
      <c r="A1018">
        <v>5269</v>
      </c>
      <c r="C1018">
        <v>1</v>
      </c>
      <c r="D1018">
        <v>1</v>
      </c>
      <c r="E1018">
        <v>2</v>
      </c>
      <c r="F1018">
        <v>1</v>
      </c>
      <c r="G1018">
        <v>1</v>
      </c>
      <c r="H1018">
        <f t="shared" si="15"/>
        <v>6</v>
      </c>
      <c r="K1018" s="248">
        <v>1.62</v>
      </c>
      <c r="L1018" s="249">
        <v>56790123.456790119</v>
      </c>
    </row>
    <row r="1019" spans="1:12">
      <c r="A1019">
        <v>5272</v>
      </c>
      <c r="C1019">
        <v>0</v>
      </c>
      <c r="D1019">
        <v>0</v>
      </c>
      <c r="E1019">
        <v>0</v>
      </c>
      <c r="F1019">
        <v>1</v>
      </c>
      <c r="G1019">
        <v>0</v>
      </c>
      <c r="H1019">
        <f t="shared" si="15"/>
        <v>1</v>
      </c>
      <c r="K1019" s="248">
        <v>0.14000000000000001</v>
      </c>
      <c r="L1019" s="249">
        <v>49999999.999999993</v>
      </c>
    </row>
    <row r="1020" spans="1:12">
      <c r="A1020">
        <v>5274</v>
      </c>
      <c r="C1020">
        <v>1</v>
      </c>
      <c r="D1020">
        <v>1</v>
      </c>
      <c r="E1020">
        <v>2</v>
      </c>
      <c r="F1020">
        <v>1</v>
      </c>
      <c r="G1020">
        <v>1</v>
      </c>
      <c r="H1020">
        <f t="shared" si="15"/>
        <v>6</v>
      </c>
      <c r="K1020" s="248">
        <v>3.71</v>
      </c>
      <c r="L1020" s="249">
        <v>31536388.140161727</v>
      </c>
    </row>
    <row r="1021" spans="1:12">
      <c r="A1021">
        <v>5276</v>
      </c>
      <c r="C1021">
        <v>0</v>
      </c>
      <c r="D1021">
        <v>1</v>
      </c>
      <c r="E1021">
        <v>0</v>
      </c>
      <c r="F1021">
        <v>1</v>
      </c>
      <c r="G1021">
        <v>0</v>
      </c>
      <c r="H1021">
        <f t="shared" si="15"/>
        <v>2</v>
      </c>
      <c r="K1021" s="248">
        <v>0.64</v>
      </c>
      <c r="L1021" s="249">
        <v>39062500</v>
      </c>
    </row>
    <row r="1022" spans="1:12">
      <c r="A1022">
        <v>5278</v>
      </c>
      <c r="C1022">
        <v>0</v>
      </c>
      <c r="D1022">
        <v>0</v>
      </c>
      <c r="E1022">
        <v>2</v>
      </c>
      <c r="F1022">
        <v>0</v>
      </c>
      <c r="G1022">
        <v>0</v>
      </c>
      <c r="H1022">
        <f t="shared" si="15"/>
        <v>2</v>
      </c>
      <c r="K1022" s="248">
        <v>-1.64</v>
      </c>
      <c r="L1022" s="249">
        <v>12195121.951219512</v>
      </c>
    </row>
    <row r="1023" spans="1:12">
      <c r="A1023">
        <v>5284</v>
      </c>
      <c r="C1023">
        <v>1</v>
      </c>
      <c r="D1023">
        <v>1</v>
      </c>
      <c r="E1023">
        <v>1</v>
      </c>
      <c r="F1023">
        <v>1</v>
      </c>
      <c r="G1023">
        <v>0</v>
      </c>
      <c r="H1023">
        <f t="shared" si="15"/>
        <v>4</v>
      </c>
      <c r="K1023" s="248">
        <v>1.89</v>
      </c>
      <c r="L1023" s="249">
        <v>33862433.862433866</v>
      </c>
    </row>
    <row r="1024" spans="1:12">
      <c r="A1024">
        <v>5285</v>
      </c>
      <c r="C1024">
        <v>1</v>
      </c>
      <c r="D1024">
        <v>1</v>
      </c>
      <c r="E1024">
        <v>1</v>
      </c>
      <c r="F1024">
        <v>1</v>
      </c>
      <c r="G1024">
        <v>0</v>
      </c>
      <c r="H1024">
        <f t="shared" si="15"/>
        <v>4</v>
      </c>
      <c r="K1024" s="248">
        <v>0.94</v>
      </c>
      <c r="L1024" s="249">
        <v>74468085.106382981</v>
      </c>
    </row>
    <row r="1025" spans="1:12">
      <c r="A1025">
        <v>5287</v>
      </c>
      <c r="C1025">
        <v>0</v>
      </c>
      <c r="D1025">
        <v>0</v>
      </c>
      <c r="E1025">
        <v>0</v>
      </c>
      <c r="F1025">
        <v>1</v>
      </c>
      <c r="G1025">
        <v>1</v>
      </c>
      <c r="H1025">
        <f t="shared" si="15"/>
        <v>2</v>
      </c>
      <c r="K1025" s="248">
        <v>3.29</v>
      </c>
      <c r="L1025" s="249">
        <v>41033434.650455929</v>
      </c>
    </row>
    <row r="1026" spans="1:12">
      <c r="A1026">
        <v>5288</v>
      </c>
      <c r="C1026">
        <v>1</v>
      </c>
      <c r="D1026">
        <v>1</v>
      </c>
      <c r="E1026">
        <v>1</v>
      </c>
      <c r="F1026">
        <v>1</v>
      </c>
      <c r="G1026">
        <v>0</v>
      </c>
      <c r="H1026">
        <f t="shared" ref="H1026:H1089" si="16">SUM(C1026:G1026)</f>
        <v>4</v>
      </c>
      <c r="K1026" s="248">
        <v>2.42</v>
      </c>
      <c r="L1026" s="249">
        <v>64462809.917355374</v>
      </c>
    </row>
    <row r="1027" spans="1:12">
      <c r="A1027">
        <v>5289</v>
      </c>
      <c r="C1027">
        <v>0</v>
      </c>
      <c r="D1027">
        <v>1</v>
      </c>
      <c r="E1027">
        <v>2</v>
      </c>
      <c r="F1027">
        <v>1</v>
      </c>
      <c r="G1027">
        <v>0</v>
      </c>
      <c r="H1027">
        <f t="shared" si="16"/>
        <v>4</v>
      </c>
      <c r="K1027" s="248">
        <v>2.84</v>
      </c>
      <c r="L1027" s="249">
        <v>61971830.985915497</v>
      </c>
    </row>
    <row r="1028" spans="1:12">
      <c r="A1028">
        <v>5291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f t="shared" si="16"/>
        <v>1</v>
      </c>
      <c r="K1028" s="248">
        <v>0.51</v>
      </c>
      <c r="L1028" s="249">
        <v>33333333.333333332</v>
      </c>
    </row>
    <row r="1029" spans="1:12">
      <c r="A1029">
        <v>5301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f t="shared" si="16"/>
        <v>0</v>
      </c>
      <c r="K1029" s="248">
        <v>-0.23</v>
      </c>
      <c r="L1029" s="249">
        <v>100000000</v>
      </c>
    </row>
    <row r="1030" spans="1:12">
      <c r="A1030">
        <v>5302</v>
      </c>
      <c r="C1030">
        <v>1</v>
      </c>
      <c r="D1030">
        <v>1</v>
      </c>
      <c r="E1030">
        <v>0</v>
      </c>
      <c r="F1030">
        <v>0</v>
      </c>
      <c r="G1030">
        <v>0</v>
      </c>
      <c r="H1030">
        <f t="shared" si="16"/>
        <v>2</v>
      </c>
      <c r="K1030" s="248">
        <v>-0.02</v>
      </c>
      <c r="L1030" s="249">
        <v>150000000</v>
      </c>
    </row>
    <row r="1031" spans="1:12">
      <c r="A1031">
        <v>5304</v>
      </c>
      <c r="C1031">
        <v>1</v>
      </c>
      <c r="D1031">
        <v>1</v>
      </c>
      <c r="E1031">
        <v>0</v>
      </c>
      <c r="F1031">
        <v>1</v>
      </c>
      <c r="G1031">
        <v>1</v>
      </c>
      <c r="H1031">
        <f t="shared" si="16"/>
        <v>4</v>
      </c>
      <c r="K1031" s="248">
        <v>0.27</v>
      </c>
      <c r="L1031" s="249">
        <v>181481481.48148146</v>
      </c>
    </row>
    <row r="1032" spans="1:12">
      <c r="A1032">
        <v>5305</v>
      </c>
      <c r="C1032">
        <v>0</v>
      </c>
      <c r="D1032">
        <v>0</v>
      </c>
      <c r="E1032">
        <v>0</v>
      </c>
      <c r="F1032">
        <v>1</v>
      </c>
      <c r="G1032">
        <v>0</v>
      </c>
      <c r="H1032">
        <f t="shared" si="16"/>
        <v>1</v>
      </c>
      <c r="K1032" s="248">
        <v>0.03</v>
      </c>
      <c r="L1032" s="249">
        <v>366666666.66666669</v>
      </c>
    </row>
    <row r="1033" spans="1:12">
      <c r="A1033">
        <v>5306</v>
      </c>
      <c r="C1033">
        <v>1</v>
      </c>
      <c r="D1033">
        <v>1</v>
      </c>
      <c r="E1033">
        <v>1</v>
      </c>
      <c r="F1033">
        <v>1</v>
      </c>
      <c r="G1033">
        <v>0</v>
      </c>
      <c r="H1033">
        <f t="shared" si="16"/>
        <v>4</v>
      </c>
      <c r="K1033" s="248">
        <v>2</v>
      </c>
      <c r="L1033" s="249">
        <v>112000000</v>
      </c>
    </row>
    <row r="1034" spans="1:12">
      <c r="A1034">
        <v>5309</v>
      </c>
      <c r="C1034">
        <v>0</v>
      </c>
      <c r="D1034">
        <v>1</v>
      </c>
      <c r="E1034">
        <v>0</v>
      </c>
      <c r="F1034">
        <v>1</v>
      </c>
      <c r="G1034">
        <v>0</v>
      </c>
      <c r="H1034">
        <f t="shared" si="16"/>
        <v>2</v>
      </c>
      <c r="K1034" s="248">
        <v>0.15</v>
      </c>
      <c r="L1034" s="249">
        <v>186666666.66666669</v>
      </c>
    </row>
    <row r="1035" spans="1:12">
      <c r="A1035">
        <v>5310</v>
      </c>
      <c r="C1035">
        <v>0</v>
      </c>
      <c r="D1035">
        <v>1</v>
      </c>
      <c r="E1035">
        <v>1</v>
      </c>
      <c r="F1035">
        <v>0</v>
      </c>
      <c r="G1035">
        <v>0</v>
      </c>
      <c r="H1035">
        <f t="shared" si="16"/>
        <v>2</v>
      </c>
      <c r="K1035" s="248">
        <v>-0.04</v>
      </c>
      <c r="L1035" s="249">
        <v>50000000</v>
      </c>
    </row>
    <row r="1036" spans="1:12">
      <c r="A1036">
        <v>5312</v>
      </c>
      <c r="C1036">
        <v>1</v>
      </c>
      <c r="D1036">
        <v>1</v>
      </c>
      <c r="E1036">
        <v>0</v>
      </c>
      <c r="F1036">
        <v>1</v>
      </c>
      <c r="G1036">
        <v>1</v>
      </c>
      <c r="H1036">
        <f t="shared" si="16"/>
        <v>4</v>
      </c>
      <c r="K1036" s="248">
        <v>1.89</v>
      </c>
      <c r="L1036" s="249">
        <v>59788359.788359791</v>
      </c>
    </row>
    <row r="1037" spans="1:12">
      <c r="A1037">
        <v>5314</v>
      </c>
      <c r="C1037">
        <v>1</v>
      </c>
      <c r="D1037">
        <v>0</v>
      </c>
      <c r="E1037">
        <v>0</v>
      </c>
      <c r="F1037">
        <v>0</v>
      </c>
      <c r="G1037">
        <v>0</v>
      </c>
      <c r="H1037">
        <f t="shared" si="16"/>
        <v>1</v>
      </c>
      <c r="K1037" s="248">
        <v>-0.22</v>
      </c>
      <c r="L1037" s="249">
        <v>59090909.090909094</v>
      </c>
    </row>
    <row r="1038" spans="1:12">
      <c r="A1038">
        <v>5315</v>
      </c>
      <c r="C1038">
        <v>1</v>
      </c>
      <c r="D1038">
        <v>1</v>
      </c>
      <c r="E1038">
        <v>0</v>
      </c>
      <c r="F1038">
        <v>1</v>
      </c>
      <c r="G1038">
        <v>0</v>
      </c>
      <c r="H1038">
        <f t="shared" si="16"/>
        <v>3</v>
      </c>
      <c r="K1038" s="248">
        <v>1.1499999999999999</v>
      </c>
      <c r="L1038" s="249">
        <v>106086956.52173914</v>
      </c>
    </row>
    <row r="1039" spans="1:12">
      <c r="A1039">
        <v>5317</v>
      </c>
      <c r="C1039">
        <v>0</v>
      </c>
      <c r="D1039">
        <v>1</v>
      </c>
      <c r="E1039">
        <v>0</v>
      </c>
      <c r="F1039">
        <v>1</v>
      </c>
      <c r="G1039">
        <v>0</v>
      </c>
      <c r="H1039">
        <f t="shared" si="16"/>
        <v>2</v>
      </c>
      <c r="K1039" s="248">
        <v>0.18</v>
      </c>
      <c r="L1039" s="249">
        <v>133333333.33333334</v>
      </c>
    </row>
    <row r="1040" spans="1:12">
      <c r="A1040">
        <v>5321</v>
      </c>
      <c r="C1040">
        <v>0</v>
      </c>
      <c r="D1040">
        <v>1</v>
      </c>
      <c r="E1040">
        <v>0</v>
      </c>
      <c r="F1040">
        <v>1</v>
      </c>
      <c r="G1040">
        <v>0</v>
      </c>
      <c r="H1040">
        <f t="shared" si="16"/>
        <v>2</v>
      </c>
      <c r="K1040" s="248">
        <v>0.67</v>
      </c>
      <c r="L1040" s="249">
        <v>28358208.955223881</v>
      </c>
    </row>
    <row r="1041" spans="1:12">
      <c r="A1041">
        <v>5324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f t="shared" si="16"/>
        <v>1</v>
      </c>
      <c r="K1041" s="248">
        <v>-0.59</v>
      </c>
      <c r="L1041" s="249">
        <v>76271186.440677971</v>
      </c>
    </row>
    <row r="1042" spans="1:12">
      <c r="A1042">
        <v>5328</v>
      </c>
      <c r="C1042">
        <v>1</v>
      </c>
      <c r="D1042">
        <v>1</v>
      </c>
      <c r="E1042">
        <v>0</v>
      </c>
      <c r="F1042">
        <v>1</v>
      </c>
      <c r="G1042">
        <v>0</v>
      </c>
      <c r="H1042">
        <f t="shared" si="16"/>
        <v>3</v>
      </c>
      <c r="K1042" s="248">
        <v>0.27</v>
      </c>
      <c r="L1042" s="249">
        <v>181481481.48148146</v>
      </c>
    </row>
    <row r="1043" spans="1:12">
      <c r="A1043">
        <v>5340</v>
      </c>
      <c r="C1043">
        <v>0</v>
      </c>
      <c r="D1043">
        <v>1</v>
      </c>
      <c r="E1043">
        <v>0</v>
      </c>
      <c r="F1043">
        <v>0</v>
      </c>
      <c r="G1043">
        <v>0</v>
      </c>
      <c r="H1043">
        <f t="shared" si="16"/>
        <v>1</v>
      </c>
      <c r="K1043" s="248">
        <v>-0.1</v>
      </c>
      <c r="L1043" s="249">
        <v>190000000</v>
      </c>
    </row>
    <row r="1044" spans="1:12">
      <c r="A1044">
        <v>5344</v>
      </c>
      <c r="C1044">
        <v>0</v>
      </c>
      <c r="D1044">
        <v>1</v>
      </c>
      <c r="E1044">
        <v>2</v>
      </c>
      <c r="F1044">
        <v>1</v>
      </c>
      <c r="G1044">
        <v>0</v>
      </c>
      <c r="H1044">
        <f t="shared" si="16"/>
        <v>4</v>
      </c>
      <c r="K1044" s="248">
        <v>-0.25</v>
      </c>
      <c r="L1044" s="249">
        <v>80000000</v>
      </c>
    </row>
    <row r="1045" spans="1:12">
      <c r="A1045">
        <v>5345</v>
      </c>
      <c r="C1045">
        <v>0</v>
      </c>
      <c r="D1045">
        <v>1</v>
      </c>
      <c r="E1045">
        <v>1</v>
      </c>
      <c r="F1045">
        <v>1</v>
      </c>
      <c r="G1045">
        <v>0</v>
      </c>
      <c r="H1045">
        <f t="shared" si="16"/>
        <v>3</v>
      </c>
      <c r="K1045" s="248">
        <v>0.47</v>
      </c>
      <c r="L1045" s="249">
        <v>48936170.212765962</v>
      </c>
    </row>
    <row r="1046" spans="1:12">
      <c r="A1046">
        <v>5347</v>
      </c>
      <c r="C1046">
        <v>0</v>
      </c>
      <c r="D1046">
        <v>0</v>
      </c>
      <c r="E1046">
        <v>0</v>
      </c>
      <c r="F1046">
        <v>1</v>
      </c>
      <c r="G1046">
        <v>0</v>
      </c>
      <c r="H1046">
        <f t="shared" si="16"/>
        <v>1</v>
      </c>
      <c r="K1046" s="248">
        <v>0.52</v>
      </c>
      <c r="L1046" s="249">
        <v>1636538461.5384614</v>
      </c>
    </row>
    <row r="1047" spans="1:12">
      <c r="A1047">
        <v>5348</v>
      </c>
      <c r="C1047">
        <v>1</v>
      </c>
      <c r="D1047">
        <v>1</v>
      </c>
      <c r="E1047">
        <v>2</v>
      </c>
      <c r="F1047">
        <v>1</v>
      </c>
      <c r="G1047">
        <v>0</v>
      </c>
      <c r="H1047">
        <f t="shared" si="16"/>
        <v>5</v>
      </c>
      <c r="K1047" s="248">
        <v>0.11</v>
      </c>
      <c r="L1047" s="249">
        <v>27272727.272727273</v>
      </c>
    </row>
    <row r="1048" spans="1:12">
      <c r="A1048">
        <v>5349</v>
      </c>
      <c r="C1048">
        <v>0</v>
      </c>
      <c r="D1048">
        <v>0</v>
      </c>
      <c r="E1048">
        <v>0</v>
      </c>
      <c r="F1048">
        <v>1</v>
      </c>
      <c r="G1048">
        <v>0</v>
      </c>
      <c r="H1048">
        <f t="shared" si="16"/>
        <v>1</v>
      </c>
      <c r="K1048" s="248">
        <v>0.45</v>
      </c>
      <c r="L1048" s="249">
        <v>215555555.55555555</v>
      </c>
    </row>
    <row r="1049" spans="1:12">
      <c r="A1049">
        <v>5351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f t="shared" si="16"/>
        <v>0</v>
      </c>
      <c r="K1049" s="248">
        <v>-0.16</v>
      </c>
      <c r="L1049" s="249">
        <v>431250000</v>
      </c>
    </row>
    <row r="1050" spans="1:12">
      <c r="A1050">
        <v>5353</v>
      </c>
      <c r="C1050">
        <v>1</v>
      </c>
      <c r="D1050">
        <v>1</v>
      </c>
      <c r="E1050">
        <v>1</v>
      </c>
      <c r="F1050">
        <v>1</v>
      </c>
      <c r="G1050">
        <v>0</v>
      </c>
      <c r="H1050">
        <f t="shared" si="16"/>
        <v>4</v>
      </c>
      <c r="K1050" s="248">
        <v>0.25</v>
      </c>
      <c r="L1050" s="249">
        <v>88000000</v>
      </c>
    </row>
    <row r="1051" spans="1:12">
      <c r="A1051">
        <v>5355</v>
      </c>
      <c r="C1051">
        <v>0</v>
      </c>
      <c r="D1051">
        <v>1</v>
      </c>
      <c r="E1051">
        <v>0</v>
      </c>
      <c r="F1051">
        <v>1</v>
      </c>
      <c r="G1051">
        <v>0</v>
      </c>
      <c r="H1051">
        <f t="shared" si="16"/>
        <v>2</v>
      </c>
      <c r="K1051" s="248">
        <v>0.12</v>
      </c>
      <c r="L1051" s="249">
        <v>175000000</v>
      </c>
    </row>
    <row r="1052" spans="1:12">
      <c r="A1052">
        <v>5356</v>
      </c>
      <c r="C1052">
        <v>0</v>
      </c>
      <c r="D1052">
        <v>1</v>
      </c>
      <c r="E1052">
        <v>0</v>
      </c>
      <c r="F1052">
        <v>0</v>
      </c>
      <c r="G1052">
        <v>0</v>
      </c>
      <c r="H1052">
        <f t="shared" si="16"/>
        <v>1</v>
      </c>
      <c r="K1052" s="248">
        <v>1.46</v>
      </c>
      <c r="L1052" s="249">
        <v>129452054.79452056</v>
      </c>
    </row>
    <row r="1053" spans="1:12">
      <c r="A1053">
        <v>5364</v>
      </c>
      <c r="C1053">
        <v>0</v>
      </c>
      <c r="D1053">
        <v>1</v>
      </c>
      <c r="E1053">
        <v>2</v>
      </c>
      <c r="F1053">
        <v>0</v>
      </c>
      <c r="G1053">
        <v>0</v>
      </c>
      <c r="H1053">
        <f t="shared" si="16"/>
        <v>3</v>
      </c>
      <c r="K1053" s="248">
        <v>0.21</v>
      </c>
      <c r="L1053" s="249">
        <v>9523809.5238095243</v>
      </c>
    </row>
    <row r="1054" spans="1:12">
      <c r="A1054">
        <v>5371</v>
      </c>
      <c r="C1054">
        <v>0</v>
      </c>
      <c r="D1054">
        <v>1</v>
      </c>
      <c r="E1054">
        <v>0</v>
      </c>
      <c r="F1054">
        <v>0</v>
      </c>
      <c r="G1054">
        <v>0</v>
      </c>
      <c r="H1054">
        <f t="shared" si="16"/>
        <v>1</v>
      </c>
      <c r="K1054" s="248">
        <v>1.27</v>
      </c>
      <c r="L1054" s="249">
        <v>542519685.03937006</v>
      </c>
    </row>
    <row r="1055" spans="1:12">
      <c r="A1055">
        <v>5381</v>
      </c>
      <c r="C1055">
        <v>0</v>
      </c>
      <c r="D1055">
        <v>1</v>
      </c>
      <c r="E1055">
        <v>0</v>
      </c>
      <c r="F1055">
        <v>0</v>
      </c>
      <c r="G1055">
        <v>0</v>
      </c>
      <c r="H1055">
        <f t="shared" si="16"/>
        <v>1</v>
      </c>
      <c r="K1055" s="248">
        <v>-1.28</v>
      </c>
      <c r="L1055" s="249">
        <v>187500000</v>
      </c>
    </row>
    <row r="1056" spans="1:12">
      <c r="A1056">
        <v>5383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f t="shared" si="16"/>
        <v>0</v>
      </c>
      <c r="K1056" s="248">
        <v>-0.35</v>
      </c>
      <c r="L1056" s="249">
        <v>71428571.428571433</v>
      </c>
    </row>
    <row r="1057" spans="1:12">
      <c r="A1057">
        <v>5384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f t="shared" si="16"/>
        <v>0</v>
      </c>
      <c r="K1057" s="248">
        <v>0.04</v>
      </c>
      <c r="L1057" s="249">
        <v>75000000</v>
      </c>
    </row>
    <row r="1058" spans="1:12">
      <c r="A1058">
        <v>5386</v>
      </c>
      <c r="C1058">
        <v>0</v>
      </c>
      <c r="D1058">
        <v>1</v>
      </c>
      <c r="E1058">
        <v>0</v>
      </c>
      <c r="F1058">
        <v>1</v>
      </c>
      <c r="G1058">
        <v>0</v>
      </c>
      <c r="H1058">
        <f t="shared" si="16"/>
        <v>2</v>
      </c>
      <c r="K1058" s="248">
        <v>1.02</v>
      </c>
      <c r="L1058" s="249">
        <v>12745098.039215686</v>
      </c>
    </row>
    <row r="1059" spans="1:12">
      <c r="A1059">
        <v>5388</v>
      </c>
      <c r="C1059">
        <v>1</v>
      </c>
      <c r="D1059">
        <v>1</v>
      </c>
      <c r="E1059">
        <v>1</v>
      </c>
      <c r="F1059">
        <v>1</v>
      </c>
      <c r="G1059">
        <v>1</v>
      </c>
      <c r="H1059">
        <f t="shared" si="16"/>
        <v>5</v>
      </c>
      <c r="K1059" s="248">
        <v>1.89</v>
      </c>
      <c r="L1059" s="249">
        <v>233862433.86243388</v>
      </c>
    </row>
    <row r="1060" spans="1:12">
      <c r="A1060">
        <v>5392</v>
      </c>
      <c r="C1060">
        <v>0</v>
      </c>
      <c r="D1060">
        <v>0</v>
      </c>
      <c r="E1060">
        <v>0</v>
      </c>
      <c r="F1060">
        <v>1</v>
      </c>
      <c r="G1060">
        <v>1</v>
      </c>
      <c r="H1060">
        <f t="shared" si="16"/>
        <v>2</v>
      </c>
      <c r="K1060" s="248">
        <v>-0.35</v>
      </c>
      <c r="L1060" s="249">
        <v>97142857.142857149</v>
      </c>
    </row>
    <row r="1061" spans="1:12">
      <c r="A1061">
        <v>5395</v>
      </c>
      <c r="C1061">
        <v>0</v>
      </c>
      <c r="D1061">
        <v>1</v>
      </c>
      <c r="E1061">
        <v>0</v>
      </c>
      <c r="F1061">
        <v>1</v>
      </c>
      <c r="G1061">
        <v>0</v>
      </c>
      <c r="H1061">
        <f t="shared" si="16"/>
        <v>2</v>
      </c>
      <c r="K1061" s="248">
        <v>0.05</v>
      </c>
      <c r="L1061" s="249">
        <v>60000000</v>
      </c>
    </row>
    <row r="1062" spans="1:12">
      <c r="A1062">
        <v>5398</v>
      </c>
      <c r="C1062">
        <v>0</v>
      </c>
      <c r="D1062">
        <v>1</v>
      </c>
      <c r="E1062">
        <v>0</v>
      </c>
      <c r="F1062">
        <v>1</v>
      </c>
      <c r="G1062">
        <v>0</v>
      </c>
      <c r="H1062">
        <f t="shared" si="16"/>
        <v>2</v>
      </c>
      <c r="K1062" s="248">
        <v>-0.41</v>
      </c>
      <c r="L1062" s="249">
        <v>41463414.634146348</v>
      </c>
    </row>
    <row r="1063" spans="1:12">
      <c r="A1063">
        <v>5403</v>
      </c>
      <c r="C1063">
        <v>0</v>
      </c>
      <c r="D1063">
        <v>0</v>
      </c>
      <c r="E1063">
        <v>0</v>
      </c>
      <c r="F1063">
        <v>1</v>
      </c>
      <c r="G1063">
        <v>0</v>
      </c>
      <c r="H1063">
        <f t="shared" si="16"/>
        <v>1</v>
      </c>
      <c r="K1063" s="248">
        <v>0.39</v>
      </c>
      <c r="L1063" s="249">
        <v>66666666.666666664</v>
      </c>
    </row>
    <row r="1064" spans="1:12">
      <c r="A1064">
        <v>5410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f t="shared" si="16"/>
        <v>1</v>
      </c>
      <c r="K1064" s="248">
        <v>0.36</v>
      </c>
      <c r="L1064" s="249">
        <v>88888888.888888896</v>
      </c>
    </row>
    <row r="1065" spans="1:12">
      <c r="A1065">
        <v>5425</v>
      </c>
      <c r="C1065">
        <v>1</v>
      </c>
      <c r="D1065">
        <v>1</v>
      </c>
      <c r="E1065">
        <v>0</v>
      </c>
      <c r="F1065">
        <v>1</v>
      </c>
      <c r="G1065">
        <v>0</v>
      </c>
      <c r="H1065">
        <f t="shared" si="16"/>
        <v>3</v>
      </c>
      <c r="K1065" s="248">
        <v>1.01</v>
      </c>
      <c r="L1065" s="249">
        <v>230693069.30693069</v>
      </c>
    </row>
    <row r="1066" spans="1:12">
      <c r="A1066">
        <v>5426</v>
      </c>
      <c r="C1066">
        <v>0</v>
      </c>
      <c r="D1066">
        <v>1</v>
      </c>
      <c r="E1066">
        <v>0</v>
      </c>
      <c r="F1066">
        <v>1</v>
      </c>
      <c r="G1066">
        <v>0</v>
      </c>
      <c r="H1066">
        <f t="shared" si="16"/>
        <v>2</v>
      </c>
      <c r="K1066" s="248">
        <v>0.27</v>
      </c>
      <c r="L1066" s="249">
        <v>0</v>
      </c>
    </row>
    <row r="1067" spans="1:12">
      <c r="A1067">
        <v>5432</v>
      </c>
      <c r="C1067">
        <v>1</v>
      </c>
      <c r="D1067">
        <v>1</v>
      </c>
      <c r="E1067">
        <v>0</v>
      </c>
      <c r="F1067">
        <v>1</v>
      </c>
      <c r="G1067">
        <v>0</v>
      </c>
      <c r="H1067">
        <f t="shared" si="16"/>
        <v>3</v>
      </c>
      <c r="K1067" s="248">
        <v>0.43</v>
      </c>
      <c r="L1067" s="249">
        <v>20930232.558139537</v>
      </c>
    </row>
    <row r="1068" spans="1:12">
      <c r="A1068">
        <v>5434</v>
      </c>
      <c r="C1068">
        <v>1</v>
      </c>
      <c r="D1068">
        <v>1</v>
      </c>
      <c r="E1068">
        <v>0</v>
      </c>
      <c r="F1068">
        <v>1</v>
      </c>
      <c r="G1068">
        <v>0</v>
      </c>
      <c r="H1068">
        <f t="shared" si="16"/>
        <v>3</v>
      </c>
      <c r="K1068" s="248">
        <v>1.61</v>
      </c>
      <c r="L1068" s="249">
        <v>162732919.25465837</v>
      </c>
    </row>
    <row r="1069" spans="1:12">
      <c r="A1069">
        <v>5438</v>
      </c>
      <c r="C1069">
        <v>1</v>
      </c>
      <c r="D1069">
        <v>1</v>
      </c>
      <c r="E1069">
        <v>1</v>
      </c>
      <c r="F1069">
        <v>1</v>
      </c>
      <c r="G1069">
        <v>0</v>
      </c>
      <c r="H1069">
        <f t="shared" si="16"/>
        <v>4</v>
      </c>
      <c r="K1069" s="248">
        <v>1.1100000000000001</v>
      </c>
      <c r="L1069" s="249">
        <v>112612612.61261261</v>
      </c>
    </row>
    <row r="1070" spans="1:12">
      <c r="A1070">
        <v>5439</v>
      </c>
      <c r="C1070">
        <v>1</v>
      </c>
      <c r="D1070">
        <v>1</v>
      </c>
      <c r="E1070">
        <v>0</v>
      </c>
      <c r="F1070">
        <v>1</v>
      </c>
      <c r="G1070">
        <v>0</v>
      </c>
      <c r="H1070">
        <f t="shared" si="16"/>
        <v>3</v>
      </c>
      <c r="K1070" s="248">
        <v>0.6</v>
      </c>
      <c r="L1070" s="249">
        <v>78333333.333333343</v>
      </c>
    </row>
    <row r="1071" spans="1:12">
      <c r="A1071">
        <v>5443</v>
      </c>
      <c r="C1071">
        <v>1</v>
      </c>
      <c r="D1071">
        <v>1</v>
      </c>
      <c r="E1071">
        <v>0</v>
      </c>
      <c r="F1071">
        <v>1</v>
      </c>
      <c r="G1071">
        <v>1</v>
      </c>
      <c r="H1071">
        <f t="shared" si="16"/>
        <v>4</v>
      </c>
      <c r="K1071" s="248">
        <v>0.73</v>
      </c>
      <c r="L1071" s="249">
        <v>164383561.64383563</v>
      </c>
    </row>
    <row r="1072" spans="1:12">
      <c r="A1072">
        <v>5450</v>
      </c>
      <c r="C1072">
        <v>1</v>
      </c>
      <c r="D1072">
        <v>1</v>
      </c>
      <c r="E1072">
        <v>1</v>
      </c>
      <c r="F1072">
        <v>0</v>
      </c>
      <c r="G1072">
        <v>0</v>
      </c>
      <c r="H1072">
        <f t="shared" si="16"/>
        <v>3</v>
      </c>
      <c r="K1072" s="248">
        <v>-0.05</v>
      </c>
      <c r="L1072" s="249">
        <v>40000000</v>
      </c>
    </row>
    <row r="1073" spans="1:12">
      <c r="A1073">
        <v>5452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f t="shared" si="16"/>
        <v>1</v>
      </c>
      <c r="K1073" s="248">
        <v>0.28999999999999998</v>
      </c>
      <c r="L1073" s="249">
        <v>148275862.06896552</v>
      </c>
    </row>
    <row r="1074" spans="1:12">
      <c r="A1074">
        <v>5455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f t="shared" si="16"/>
        <v>0</v>
      </c>
      <c r="K1074" s="248">
        <v>-0.32</v>
      </c>
      <c r="L1074" s="249">
        <v>34375000</v>
      </c>
    </row>
    <row r="1075" spans="1:12">
      <c r="A1075">
        <v>5457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f t="shared" si="16"/>
        <v>0</v>
      </c>
      <c r="K1075" s="248">
        <v>0.62</v>
      </c>
      <c r="L1075" s="249">
        <v>167741935.48387098</v>
      </c>
    </row>
    <row r="1076" spans="1:12">
      <c r="A1076">
        <v>5460</v>
      </c>
      <c r="C1076">
        <v>0</v>
      </c>
      <c r="D1076">
        <v>0</v>
      </c>
      <c r="E1076">
        <v>0</v>
      </c>
      <c r="F1076">
        <v>1</v>
      </c>
      <c r="G1076">
        <v>0</v>
      </c>
      <c r="H1076">
        <f t="shared" si="16"/>
        <v>1</v>
      </c>
      <c r="K1076" s="248">
        <v>0.18</v>
      </c>
      <c r="L1076" s="249">
        <v>72222222.222222224</v>
      </c>
    </row>
    <row r="1077" spans="1:12">
      <c r="A1077">
        <v>5464</v>
      </c>
      <c r="C1077">
        <v>0</v>
      </c>
      <c r="D1077">
        <v>1</v>
      </c>
      <c r="E1077">
        <v>0</v>
      </c>
      <c r="F1077">
        <v>1</v>
      </c>
      <c r="G1077">
        <v>0</v>
      </c>
      <c r="H1077">
        <f t="shared" si="16"/>
        <v>2</v>
      </c>
      <c r="K1077" s="248">
        <v>2.14</v>
      </c>
      <c r="L1077" s="249">
        <v>71028037.383177564</v>
      </c>
    </row>
    <row r="1078" spans="1:12">
      <c r="A1078">
        <v>5465</v>
      </c>
      <c r="C1078">
        <v>0</v>
      </c>
      <c r="D1078">
        <v>0</v>
      </c>
      <c r="E1078">
        <v>1</v>
      </c>
      <c r="F1078">
        <v>1</v>
      </c>
      <c r="G1078">
        <v>0</v>
      </c>
      <c r="H1078">
        <f t="shared" si="16"/>
        <v>2</v>
      </c>
      <c r="K1078" s="248">
        <v>0.01</v>
      </c>
      <c r="L1078" s="249">
        <v>200000000</v>
      </c>
    </row>
    <row r="1079" spans="1:12">
      <c r="A1079">
        <v>5468</v>
      </c>
      <c r="C1079">
        <v>0</v>
      </c>
      <c r="D1079">
        <v>1</v>
      </c>
      <c r="E1079">
        <v>0</v>
      </c>
      <c r="F1079">
        <v>0</v>
      </c>
      <c r="G1079">
        <v>1</v>
      </c>
      <c r="H1079">
        <f t="shared" si="16"/>
        <v>2</v>
      </c>
      <c r="K1079" s="248">
        <v>-0.04</v>
      </c>
      <c r="L1079" s="249">
        <v>50000000</v>
      </c>
    </row>
    <row r="1080" spans="1:12">
      <c r="A1080">
        <v>5469</v>
      </c>
      <c r="C1080">
        <v>0</v>
      </c>
      <c r="D1080">
        <v>1</v>
      </c>
      <c r="E1080">
        <v>0</v>
      </c>
      <c r="F1080">
        <v>0</v>
      </c>
      <c r="G1080">
        <v>0</v>
      </c>
      <c r="H1080">
        <f t="shared" si="16"/>
        <v>1</v>
      </c>
      <c r="K1080" s="248">
        <v>0.61</v>
      </c>
      <c r="L1080" s="249">
        <v>454098360.6557377</v>
      </c>
    </row>
    <row r="1081" spans="1:12">
      <c r="A1081">
        <v>5471</v>
      </c>
      <c r="C1081">
        <v>0</v>
      </c>
      <c r="D1081">
        <v>0</v>
      </c>
      <c r="E1081">
        <v>0</v>
      </c>
      <c r="F1081">
        <v>1</v>
      </c>
      <c r="G1081">
        <v>0</v>
      </c>
      <c r="H1081">
        <f t="shared" si="16"/>
        <v>1</v>
      </c>
      <c r="K1081" s="248">
        <v>0.67</v>
      </c>
      <c r="L1081" s="249">
        <v>167164179.10447761</v>
      </c>
    </row>
    <row r="1082" spans="1:12">
      <c r="A1082">
        <v>5474</v>
      </c>
      <c r="C1082">
        <v>1</v>
      </c>
      <c r="D1082">
        <v>1</v>
      </c>
      <c r="E1082">
        <v>1</v>
      </c>
      <c r="F1082">
        <v>1</v>
      </c>
      <c r="G1082">
        <v>0</v>
      </c>
      <c r="H1082">
        <f t="shared" si="16"/>
        <v>4</v>
      </c>
      <c r="K1082" s="248">
        <v>2.2400000000000002</v>
      </c>
      <c r="L1082" s="249">
        <v>33928571.428571425</v>
      </c>
    </row>
    <row r="1083" spans="1:12">
      <c r="A1083">
        <v>5475</v>
      </c>
      <c r="C1083">
        <v>0</v>
      </c>
      <c r="D1083">
        <v>1</v>
      </c>
      <c r="E1083">
        <v>0</v>
      </c>
      <c r="F1083">
        <v>0</v>
      </c>
      <c r="G1083">
        <v>0</v>
      </c>
      <c r="H1083">
        <f t="shared" si="16"/>
        <v>1</v>
      </c>
      <c r="K1083" s="248">
        <v>-0.38</v>
      </c>
      <c r="L1083" s="249">
        <v>223684210.52631578</v>
      </c>
    </row>
    <row r="1084" spans="1:12">
      <c r="A1084">
        <v>5478</v>
      </c>
      <c r="C1084">
        <v>0</v>
      </c>
      <c r="D1084">
        <v>1</v>
      </c>
      <c r="E1084">
        <v>2</v>
      </c>
      <c r="F1084">
        <v>0</v>
      </c>
      <c r="G1084">
        <v>0</v>
      </c>
      <c r="H1084">
        <f t="shared" si="16"/>
        <v>3</v>
      </c>
      <c r="K1084" s="248">
        <v>0.43</v>
      </c>
      <c r="L1084" s="249">
        <v>127906976.74418604</v>
      </c>
    </row>
    <row r="1085" spans="1:12">
      <c r="A1085">
        <v>5480</v>
      </c>
      <c r="C1085">
        <v>0</v>
      </c>
      <c r="D1085">
        <v>0</v>
      </c>
      <c r="E1085">
        <v>2</v>
      </c>
      <c r="F1085">
        <v>1</v>
      </c>
      <c r="G1085">
        <v>0</v>
      </c>
      <c r="H1085">
        <f t="shared" si="16"/>
        <v>3</v>
      </c>
      <c r="K1085" s="248">
        <v>0.28999999999999998</v>
      </c>
      <c r="L1085" s="249">
        <v>200000000</v>
      </c>
    </row>
    <row r="1086" spans="1:12">
      <c r="A1086">
        <v>5481</v>
      </c>
      <c r="C1086">
        <v>0</v>
      </c>
      <c r="D1086">
        <v>0</v>
      </c>
      <c r="E1086">
        <v>0</v>
      </c>
      <c r="F1086">
        <v>1</v>
      </c>
      <c r="G1086">
        <v>0</v>
      </c>
      <c r="H1086">
        <f t="shared" si="16"/>
        <v>1</v>
      </c>
      <c r="K1086" s="248">
        <v>-0.26</v>
      </c>
      <c r="L1086" s="249">
        <v>100000000</v>
      </c>
    </row>
    <row r="1087" spans="1:12">
      <c r="A1087">
        <v>5483</v>
      </c>
      <c r="C1087">
        <v>0</v>
      </c>
      <c r="D1087">
        <v>1</v>
      </c>
      <c r="E1087">
        <v>0</v>
      </c>
      <c r="F1087">
        <v>1</v>
      </c>
      <c r="G1087">
        <v>1</v>
      </c>
      <c r="H1087">
        <f t="shared" si="16"/>
        <v>3</v>
      </c>
      <c r="K1087" s="248">
        <v>0.5</v>
      </c>
      <c r="L1087" s="249">
        <v>584000000</v>
      </c>
    </row>
    <row r="1088" spans="1:12">
      <c r="A1088">
        <v>5484</v>
      </c>
      <c r="C1088">
        <v>0</v>
      </c>
      <c r="D1088">
        <v>1</v>
      </c>
      <c r="E1088">
        <v>2</v>
      </c>
      <c r="F1088">
        <v>1</v>
      </c>
      <c r="G1088">
        <v>0</v>
      </c>
      <c r="H1088">
        <f t="shared" si="16"/>
        <v>4</v>
      </c>
      <c r="K1088" s="248">
        <v>-0.25</v>
      </c>
      <c r="L1088" s="249">
        <v>116000000</v>
      </c>
    </row>
    <row r="1089" spans="1:12">
      <c r="A1089">
        <v>5487</v>
      </c>
      <c r="C1089">
        <v>0</v>
      </c>
      <c r="D1089">
        <v>1</v>
      </c>
      <c r="E1089">
        <v>0</v>
      </c>
      <c r="F1089">
        <v>1</v>
      </c>
      <c r="G1089">
        <v>0</v>
      </c>
      <c r="H1089">
        <f t="shared" si="16"/>
        <v>2</v>
      </c>
      <c r="K1089" s="248">
        <v>0.47</v>
      </c>
      <c r="L1089" s="249">
        <v>21276595.744680852</v>
      </c>
    </row>
    <row r="1090" spans="1:12">
      <c r="A1090">
        <v>5488</v>
      </c>
      <c r="C1090">
        <v>0</v>
      </c>
      <c r="D1090">
        <v>0</v>
      </c>
      <c r="E1090">
        <v>1</v>
      </c>
      <c r="F1090">
        <v>1</v>
      </c>
      <c r="G1090">
        <v>0</v>
      </c>
      <c r="H1090">
        <f t="shared" ref="H1090:H1153" si="17">SUM(C1090:G1090)</f>
        <v>2</v>
      </c>
      <c r="K1090" s="248">
        <v>-0.42</v>
      </c>
      <c r="L1090" s="249">
        <v>90476190.476190478</v>
      </c>
    </row>
    <row r="1091" spans="1:12">
      <c r="A1091">
        <v>5489</v>
      </c>
      <c r="C1091">
        <v>0</v>
      </c>
      <c r="D1091">
        <v>1</v>
      </c>
      <c r="E1091">
        <v>0</v>
      </c>
      <c r="F1091">
        <v>1</v>
      </c>
      <c r="G1091">
        <v>0</v>
      </c>
      <c r="H1091">
        <f t="shared" si="17"/>
        <v>2</v>
      </c>
      <c r="K1091" s="248">
        <v>1.7</v>
      </c>
      <c r="L1091" s="249">
        <v>100000000</v>
      </c>
    </row>
    <row r="1092" spans="1:12">
      <c r="A1092">
        <v>5490</v>
      </c>
      <c r="C1092">
        <v>0</v>
      </c>
      <c r="D1092">
        <v>1</v>
      </c>
      <c r="E1092">
        <v>0</v>
      </c>
      <c r="F1092">
        <v>1</v>
      </c>
      <c r="G1092">
        <v>1</v>
      </c>
      <c r="H1092">
        <f t="shared" si="17"/>
        <v>3</v>
      </c>
      <c r="K1092" s="248">
        <v>0.82</v>
      </c>
      <c r="L1092" s="249">
        <v>95121951.219512194</v>
      </c>
    </row>
    <row r="1093" spans="1:12">
      <c r="A1093">
        <v>5491</v>
      </c>
      <c r="C1093">
        <v>0</v>
      </c>
      <c r="D1093">
        <v>1</v>
      </c>
      <c r="E1093">
        <v>0</v>
      </c>
      <c r="F1093">
        <v>1</v>
      </c>
      <c r="G1093">
        <v>0</v>
      </c>
      <c r="H1093">
        <f t="shared" si="17"/>
        <v>2</v>
      </c>
      <c r="K1093" s="248">
        <v>-0.17</v>
      </c>
      <c r="L1093" s="249">
        <v>211764705.88235292</v>
      </c>
    </row>
    <row r="1094" spans="1:12">
      <c r="A1094">
        <v>5493</v>
      </c>
      <c r="C1094">
        <v>0</v>
      </c>
      <c r="D1094">
        <v>1</v>
      </c>
      <c r="E1094">
        <v>1</v>
      </c>
      <c r="F1094">
        <v>0</v>
      </c>
      <c r="G1094">
        <v>0</v>
      </c>
      <c r="H1094">
        <f t="shared" si="17"/>
        <v>2</v>
      </c>
      <c r="K1094" s="248">
        <v>0.84</v>
      </c>
      <c r="L1094" s="249">
        <v>44047619.047619052</v>
      </c>
    </row>
    <row r="1095" spans="1:12">
      <c r="A1095">
        <v>5498</v>
      </c>
      <c r="C1095">
        <v>0</v>
      </c>
      <c r="D1095">
        <v>0</v>
      </c>
      <c r="E1095">
        <v>0</v>
      </c>
      <c r="F1095">
        <v>1</v>
      </c>
      <c r="G1095">
        <v>0</v>
      </c>
      <c r="H1095">
        <f t="shared" si="17"/>
        <v>1</v>
      </c>
      <c r="K1095" s="248">
        <v>-0.03</v>
      </c>
      <c r="L1095" s="249">
        <v>133333333.33333334</v>
      </c>
    </row>
    <row r="1096" spans="1:12">
      <c r="A1096">
        <v>5506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f t="shared" si="17"/>
        <v>0</v>
      </c>
      <c r="K1096" s="248">
        <v>-0.03</v>
      </c>
      <c r="L1096" s="249">
        <v>152439024.39024392</v>
      </c>
    </row>
    <row r="1097" spans="1:12">
      <c r="A1097">
        <v>5508</v>
      </c>
      <c r="C1097">
        <v>0</v>
      </c>
      <c r="D1097">
        <v>0</v>
      </c>
      <c r="E1097">
        <v>1</v>
      </c>
      <c r="F1097">
        <v>0</v>
      </c>
      <c r="G1097">
        <v>0</v>
      </c>
      <c r="H1097">
        <f t="shared" si="17"/>
        <v>1</v>
      </c>
      <c r="K1097" s="248">
        <v>0.56000000000000005</v>
      </c>
      <c r="L1097" s="249">
        <v>216071428.57142854</v>
      </c>
    </row>
    <row r="1098" spans="1:12">
      <c r="A1098">
        <v>5511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f t="shared" si="17"/>
        <v>0</v>
      </c>
      <c r="K1098" s="248">
        <v>0.33</v>
      </c>
      <c r="L1098" s="249">
        <v>154545454.54545453</v>
      </c>
    </row>
    <row r="1099" spans="1:12">
      <c r="A1099">
        <v>5512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f t="shared" si="17"/>
        <v>0</v>
      </c>
      <c r="K1099" s="248">
        <v>-0.06</v>
      </c>
      <c r="L1099" s="249">
        <v>750000000</v>
      </c>
    </row>
    <row r="1100" spans="1:12">
      <c r="A1100">
        <v>5514</v>
      </c>
      <c r="C1100">
        <v>0</v>
      </c>
      <c r="D1100">
        <v>0</v>
      </c>
      <c r="E1100">
        <v>1</v>
      </c>
      <c r="F1100">
        <v>0</v>
      </c>
      <c r="G1100">
        <v>0</v>
      </c>
      <c r="H1100">
        <f t="shared" si="17"/>
        <v>1</v>
      </c>
      <c r="K1100" s="248">
        <v>-0.21</v>
      </c>
      <c r="L1100" s="249">
        <v>166666666.66666669</v>
      </c>
    </row>
    <row r="1101" spans="1:12">
      <c r="A1101">
        <v>5515</v>
      </c>
      <c r="C1101">
        <v>0</v>
      </c>
      <c r="D1101">
        <v>0</v>
      </c>
      <c r="E1101">
        <v>0</v>
      </c>
      <c r="F1101">
        <v>1</v>
      </c>
      <c r="G1101">
        <v>0</v>
      </c>
      <c r="H1101">
        <f t="shared" si="17"/>
        <v>1</v>
      </c>
      <c r="K1101" s="248">
        <v>-0.18</v>
      </c>
      <c r="L1101" s="249">
        <v>344444444.44444448</v>
      </c>
    </row>
    <row r="1102" spans="1:12">
      <c r="A1102">
        <v>5516</v>
      </c>
      <c r="C1102">
        <v>0</v>
      </c>
      <c r="D1102">
        <v>0</v>
      </c>
      <c r="E1102">
        <v>0</v>
      </c>
      <c r="F1102">
        <v>1</v>
      </c>
      <c r="G1102">
        <v>0</v>
      </c>
      <c r="H1102">
        <f t="shared" si="17"/>
        <v>1</v>
      </c>
      <c r="K1102" s="248">
        <v>-0.11</v>
      </c>
      <c r="L1102" s="249">
        <v>36363636.363636367</v>
      </c>
    </row>
    <row r="1103" spans="1:12">
      <c r="A1103">
        <v>5519</v>
      </c>
      <c r="C1103">
        <v>0</v>
      </c>
      <c r="D1103">
        <v>1</v>
      </c>
      <c r="E1103">
        <v>0</v>
      </c>
      <c r="F1103">
        <v>1</v>
      </c>
      <c r="G1103">
        <v>0</v>
      </c>
      <c r="H1103">
        <f t="shared" si="17"/>
        <v>2</v>
      </c>
      <c r="K1103" s="248">
        <v>0.44</v>
      </c>
      <c r="L1103" s="249">
        <v>181818181.81818181</v>
      </c>
    </row>
    <row r="1104" spans="1:12">
      <c r="A1104">
        <v>5520</v>
      </c>
      <c r="C1104">
        <v>0</v>
      </c>
      <c r="D1104">
        <v>1</v>
      </c>
      <c r="E1104">
        <v>1</v>
      </c>
      <c r="F1104">
        <v>1</v>
      </c>
      <c r="G1104">
        <v>0</v>
      </c>
      <c r="H1104">
        <f t="shared" si="17"/>
        <v>3</v>
      </c>
      <c r="K1104" s="248">
        <v>0.49</v>
      </c>
      <c r="L1104" s="249">
        <v>71428571.428571433</v>
      </c>
    </row>
    <row r="1105" spans="1:12">
      <c r="A1105">
        <v>5521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f t="shared" si="17"/>
        <v>0</v>
      </c>
      <c r="K1105" s="248">
        <v>-0.1</v>
      </c>
      <c r="L1105" s="249">
        <v>340000000</v>
      </c>
    </row>
    <row r="1106" spans="1:12">
      <c r="A1106">
        <v>5522</v>
      </c>
      <c r="C1106">
        <v>0</v>
      </c>
      <c r="D1106">
        <v>0</v>
      </c>
      <c r="E1106">
        <v>0</v>
      </c>
      <c r="F1106">
        <v>1</v>
      </c>
      <c r="G1106">
        <v>0</v>
      </c>
      <c r="H1106">
        <f t="shared" si="17"/>
        <v>1</v>
      </c>
      <c r="K1106" s="248">
        <v>1.4</v>
      </c>
      <c r="L1106" s="249">
        <v>838571428.57142866</v>
      </c>
    </row>
    <row r="1107" spans="1:12">
      <c r="A1107">
        <v>5523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f t="shared" si="17"/>
        <v>0</v>
      </c>
      <c r="K1107" s="248">
        <v>-0.2</v>
      </c>
      <c r="L1107" s="249">
        <v>115000000</v>
      </c>
    </row>
    <row r="1108" spans="1:12">
      <c r="A1108">
        <v>5525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f t="shared" si="17"/>
        <v>1</v>
      </c>
      <c r="K1108" s="248">
        <v>0.52</v>
      </c>
      <c r="L1108" s="249">
        <v>242307692.30769229</v>
      </c>
    </row>
    <row r="1109" spans="1:12">
      <c r="A1109">
        <v>5529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f t="shared" si="17"/>
        <v>0</v>
      </c>
      <c r="K1109" s="248">
        <v>-0.24</v>
      </c>
      <c r="L1109" s="249">
        <v>104166666.66666667</v>
      </c>
    </row>
    <row r="1110" spans="1:12">
      <c r="A1110">
        <v>5530</v>
      </c>
      <c r="C1110">
        <v>0</v>
      </c>
      <c r="D1110">
        <v>1</v>
      </c>
      <c r="E1110">
        <v>0</v>
      </c>
      <c r="F1110">
        <v>1</v>
      </c>
      <c r="G1110">
        <v>0</v>
      </c>
      <c r="H1110">
        <f t="shared" si="17"/>
        <v>2</v>
      </c>
      <c r="K1110" s="248">
        <v>1.05</v>
      </c>
      <c r="L1110" s="249">
        <v>400000000</v>
      </c>
    </row>
    <row r="1111" spans="1:12">
      <c r="A1111">
        <v>5531</v>
      </c>
      <c r="C1111">
        <v>0</v>
      </c>
      <c r="D1111">
        <v>1</v>
      </c>
      <c r="E1111">
        <v>0</v>
      </c>
      <c r="F1111">
        <v>0</v>
      </c>
      <c r="G1111">
        <v>0</v>
      </c>
      <c r="H1111">
        <f t="shared" si="17"/>
        <v>1</v>
      </c>
      <c r="K1111" s="248">
        <v>0.08</v>
      </c>
      <c r="L1111" s="249">
        <v>912500000</v>
      </c>
    </row>
    <row r="1112" spans="1:12">
      <c r="A1112">
        <v>5533</v>
      </c>
      <c r="C1112">
        <v>0</v>
      </c>
      <c r="D1112">
        <v>1</v>
      </c>
      <c r="E1112">
        <v>0</v>
      </c>
      <c r="F1112">
        <v>0</v>
      </c>
      <c r="G1112">
        <v>0</v>
      </c>
      <c r="H1112">
        <f t="shared" si="17"/>
        <v>1</v>
      </c>
      <c r="K1112" s="248">
        <v>0.34</v>
      </c>
      <c r="L1112" s="249">
        <v>267647058.82352939</v>
      </c>
    </row>
    <row r="1113" spans="1:12">
      <c r="A1113">
        <v>5534</v>
      </c>
      <c r="C1113">
        <v>0</v>
      </c>
      <c r="D1113">
        <v>1</v>
      </c>
      <c r="E1113">
        <v>0</v>
      </c>
      <c r="F1113">
        <v>1</v>
      </c>
      <c r="G1113">
        <v>0</v>
      </c>
      <c r="H1113">
        <f t="shared" si="17"/>
        <v>2</v>
      </c>
      <c r="K1113" s="248">
        <v>1.28</v>
      </c>
      <c r="L1113" s="249">
        <v>273437500</v>
      </c>
    </row>
    <row r="1114" spans="1:12">
      <c r="A1114">
        <v>5536</v>
      </c>
      <c r="C1114">
        <v>0</v>
      </c>
      <c r="D1114">
        <v>1</v>
      </c>
      <c r="E1114">
        <v>0</v>
      </c>
      <c r="F1114">
        <v>1</v>
      </c>
      <c r="G1114">
        <v>0</v>
      </c>
      <c r="H1114">
        <f t="shared" si="17"/>
        <v>2</v>
      </c>
      <c r="K1114" s="248">
        <v>2.02</v>
      </c>
      <c r="L1114" s="249">
        <v>46039603.960396037</v>
      </c>
    </row>
    <row r="1115" spans="1:12">
      <c r="A1115">
        <v>5538</v>
      </c>
      <c r="C1115">
        <v>0</v>
      </c>
      <c r="D1115">
        <v>0</v>
      </c>
      <c r="E1115">
        <v>0</v>
      </c>
      <c r="F1115">
        <v>1</v>
      </c>
      <c r="G1115">
        <v>0</v>
      </c>
      <c r="H1115">
        <f t="shared" si="17"/>
        <v>1</v>
      </c>
      <c r="K1115" s="248">
        <v>0.31</v>
      </c>
      <c r="L1115" s="249">
        <v>164516129.03225806</v>
      </c>
    </row>
    <row r="1116" spans="1:12">
      <c r="A1116">
        <v>5601</v>
      </c>
      <c r="C1116">
        <v>0</v>
      </c>
      <c r="D1116">
        <v>1</v>
      </c>
      <c r="E1116">
        <v>2</v>
      </c>
      <c r="F1116">
        <v>1</v>
      </c>
      <c r="G1116">
        <v>0</v>
      </c>
      <c r="H1116">
        <f t="shared" si="17"/>
        <v>4</v>
      </c>
      <c r="K1116" s="248">
        <v>0.09</v>
      </c>
      <c r="L1116" s="249">
        <v>66666666.666666672</v>
      </c>
    </row>
    <row r="1117" spans="1:12">
      <c r="A1117">
        <v>5603</v>
      </c>
      <c r="C1117">
        <v>0</v>
      </c>
      <c r="D1117">
        <v>1</v>
      </c>
      <c r="E1117">
        <v>0</v>
      </c>
      <c r="F1117">
        <v>1</v>
      </c>
      <c r="G1117">
        <v>0</v>
      </c>
      <c r="H1117">
        <f t="shared" si="17"/>
        <v>2</v>
      </c>
      <c r="K1117" s="248">
        <v>0.48</v>
      </c>
      <c r="L1117" s="249">
        <v>77083333.333333343</v>
      </c>
    </row>
    <row r="1118" spans="1:12">
      <c r="A1118">
        <v>5604</v>
      </c>
      <c r="C1118">
        <v>0</v>
      </c>
      <c r="D1118">
        <v>0</v>
      </c>
      <c r="E1118">
        <v>0</v>
      </c>
      <c r="F1118">
        <v>1</v>
      </c>
      <c r="G1118">
        <v>0</v>
      </c>
      <c r="H1118">
        <f t="shared" si="17"/>
        <v>1</v>
      </c>
      <c r="K1118" s="248">
        <v>0.28000000000000003</v>
      </c>
      <c r="L1118" s="249">
        <v>110714285.7142857</v>
      </c>
    </row>
    <row r="1119" spans="1:12">
      <c r="A1119">
        <v>5607</v>
      </c>
      <c r="C1119">
        <v>1</v>
      </c>
      <c r="D1119">
        <v>1</v>
      </c>
      <c r="E1119">
        <v>1</v>
      </c>
      <c r="F1119">
        <v>1</v>
      </c>
      <c r="G1119">
        <v>0</v>
      </c>
      <c r="H1119">
        <f t="shared" si="17"/>
        <v>4</v>
      </c>
      <c r="K1119" s="248">
        <v>0.36</v>
      </c>
      <c r="L1119" s="249">
        <v>169444444.44444445</v>
      </c>
    </row>
    <row r="1120" spans="1:12">
      <c r="A1120">
        <v>5608</v>
      </c>
      <c r="C1120">
        <v>0</v>
      </c>
      <c r="D1120">
        <v>1</v>
      </c>
      <c r="E1120">
        <v>0</v>
      </c>
      <c r="F1120">
        <v>1</v>
      </c>
      <c r="G1120">
        <v>0</v>
      </c>
      <c r="H1120">
        <f t="shared" si="17"/>
        <v>2</v>
      </c>
      <c r="K1120" s="248">
        <v>0.01</v>
      </c>
      <c r="L1120" s="249">
        <v>300000000</v>
      </c>
    </row>
    <row r="1121" spans="1:12">
      <c r="A1121">
        <v>5609</v>
      </c>
      <c r="C1121">
        <v>0</v>
      </c>
      <c r="D1121">
        <v>0</v>
      </c>
      <c r="E1121">
        <v>1</v>
      </c>
      <c r="F1121">
        <v>0</v>
      </c>
      <c r="G1121">
        <v>0</v>
      </c>
      <c r="H1121">
        <f t="shared" si="17"/>
        <v>1</v>
      </c>
      <c r="K1121" s="248">
        <v>0.17</v>
      </c>
      <c r="L1121" s="249">
        <v>129411764.70588234</v>
      </c>
    </row>
    <row r="1122" spans="1:12">
      <c r="A1122">
        <v>5701</v>
      </c>
      <c r="C1122">
        <v>0</v>
      </c>
      <c r="D1122">
        <v>0</v>
      </c>
      <c r="E1122">
        <v>1</v>
      </c>
      <c r="F1122">
        <v>1</v>
      </c>
      <c r="G1122">
        <v>0</v>
      </c>
      <c r="H1122">
        <f t="shared" si="17"/>
        <v>2</v>
      </c>
      <c r="K1122" s="248">
        <v>-0.43</v>
      </c>
      <c r="L1122" s="249">
        <v>253488372.09302327</v>
      </c>
    </row>
    <row r="1123" spans="1:12">
      <c r="A1123">
        <v>5703</v>
      </c>
      <c r="C1123">
        <v>0</v>
      </c>
      <c r="D1123">
        <v>1</v>
      </c>
      <c r="E1123">
        <v>0</v>
      </c>
      <c r="F1123">
        <v>0</v>
      </c>
      <c r="G1123">
        <v>0</v>
      </c>
      <c r="H1123">
        <f t="shared" si="17"/>
        <v>1</v>
      </c>
      <c r="K1123" s="248">
        <v>0.08</v>
      </c>
      <c r="L1123" s="249">
        <v>62500000</v>
      </c>
    </row>
    <row r="1124" spans="1:12">
      <c r="A1124">
        <v>5704</v>
      </c>
      <c r="C1124">
        <v>0</v>
      </c>
      <c r="D1124">
        <v>1</v>
      </c>
      <c r="E1124">
        <v>0</v>
      </c>
      <c r="F1124">
        <v>0</v>
      </c>
      <c r="G1124">
        <v>0</v>
      </c>
      <c r="H1124">
        <f t="shared" si="17"/>
        <v>1</v>
      </c>
      <c r="K1124" s="248">
        <v>0.26</v>
      </c>
      <c r="L1124" s="249">
        <v>38461538.461538464</v>
      </c>
    </row>
    <row r="1125" spans="1:12">
      <c r="A1125">
        <v>5706</v>
      </c>
      <c r="C1125">
        <v>1</v>
      </c>
      <c r="D1125">
        <v>1</v>
      </c>
      <c r="E1125">
        <v>2</v>
      </c>
      <c r="F1125">
        <v>0</v>
      </c>
      <c r="G1125">
        <v>0</v>
      </c>
      <c r="H1125">
        <f t="shared" si="17"/>
        <v>4</v>
      </c>
      <c r="K1125" s="248">
        <v>1.33</v>
      </c>
      <c r="L1125" s="249">
        <v>62406015.037593983</v>
      </c>
    </row>
    <row r="1126" spans="1:12">
      <c r="A1126">
        <v>5871</v>
      </c>
      <c r="C1126">
        <v>1</v>
      </c>
      <c r="D1126">
        <v>1</v>
      </c>
      <c r="E1126">
        <v>2</v>
      </c>
      <c r="F1126">
        <v>0</v>
      </c>
      <c r="G1126">
        <v>0</v>
      </c>
      <c r="H1126">
        <f t="shared" si="17"/>
        <v>4</v>
      </c>
      <c r="K1126" s="248">
        <v>1.52</v>
      </c>
      <c r="L1126" s="249">
        <v>1139473684.2105262</v>
      </c>
    </row>
    <row r="1127" spans="1:12">
      <c r="A1127">
        <v>5878</v>
      </c>
      <c r="C1127">
        <v>0</v>
      </c>
      <c r="D1127">
        <v>1</v>
      </c>
      <c r="E1127">
        <v>0</v>
      </c>
      <c r="F1127">
        <v>0</v>
      </c>
      <c r="G1127">
        <v>0</v>
      </c>
      <c r="H1127">
        <f t="shared" si="17"/>
        <v>1</v>
      </c>
      <c r="K1127" s="248">
        <v>1.05</v>
      </c>
      <c r="L1127" s="249">
        <v>23809523.80952381</v>
      </c>
    </row>
    <row r="1128" spans="1:12">
      <c r="A1128">
        <v>5902</v>
      </c>
      <c r="C1128">
        <v>1</v>
      </c>
      <c r="D1128">
        <v>1</v>
      </c>
      <c r="E1128">
        <v>0</v>
      </c>
      <c r="F1128">
        <v>1</v>
      </c>
      <c r="G1128">
        <v>0</v>
      </c>
      <c r="H1128">
        <f t="shared" si="17"/>
        <v>3</v>
      </c>
      <c r="K1128" s="248">
        <v>0.14000000000000001</v>
      </c>
      <c r="L1128" s="249">
        <v>92857142.857142851</v>
      </c>
    </row>
    <row r="1129" spans="1:12">
      <c r="A1129">
        <v>5903</v>
      </c>
      <c r="C1129">
        <v>1</v>
      </c>
      <c r="D1129">
        <v>1</v>
      </c>
      <c r="E1129">
        <v>0</v>
      </c>
      <c r="F1129">
        <v>0</v>
      </c>
      <c r="G1129">
        <v>0</v>
      </c>
      <c r="H1129">
        <f t="shared" si="17"/>
        <v>2</v>
      </c>
      <c r="K1129" s="248">
        <v>2.09</v>
      </c>
      <c r="L1129" s="249">
        <v>222966507.17703351</v>
      </c>
    </row>
    <row r="1130" spans="1:12">
      <c r="A1130">
        <v>5904</v>
      </c>
      <c r="C1130">
        <v>1</v>
      </c>
      <c r="D1130">
        <v>1</v>
      </c>
      <c r="E1130">
        <v>0</v>
      </c>
      <c r="F1130">
        <v>1</v>
      </c>
      <c r="G1130">
        <v>1</v>
      </c>
      <c r="H1130">
        <f t="shared" si="17"/>
        <v>4</v>
      </c>
      <c r="K1130" s="248">
        <v>2.93</v>
      </c>
      <c r="L1130" s="249">
        <v>95221843.003412962</v>
      </c>
    </row>
    <row r="1131" spans="1:12">
      <c r="A1131">
        <v>5905</v>
      </c>
      <c r="C1131">
        <v>0</v>
      </c>
      <c r="D1131">
        <v>1</v>
      </c>
      <c r="E1131">
        <v>0</v>
      </c>
      <c r="F1131">
        <v>1</v>
      </c>
      <c r="G1131">
        <v>0</v>
      </c>
      <c r="H1131">
        <f t="shared" si="17"/>
        <v>2</v>
      </c>
      <c r="K1131" s="248">
        <v>0.22</v>
      </c>
      <c r="L1131" s="249">
        <v>204545454.54545453</v>
      </c>
    </row>
    <row r="1132" spans="1:12">
      <c r="A1132">
        <v>5906</v>
      </c>
      <c r="C1132">
        <v>0</v>
      </c>
      <c r="D1132">
        <v>1</v>
      </c>
      <c r="E1132">
        <v>2</v>
      </c>
      <c r="F1132">
        <v>0</v>
      </c>
      <c r="G1132">
        <v>0</v>
      </c>
      <c r="H1132">
        <f t="shared" si="17"/>
        <v>3</v>
      </c>
      <c r="K1132" s="248">
        <v>-1.31</v>
      </c>
      <c r="L1132" s="249">
        <v>96183206.106870219</v>
      </c>
    </row>
    <row r="1133" spans="1:12">
      <c r="A1133">
        <v>5907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f t="shared" si="17"/>
        <v>0</v>
      </c>
      <c r="K1133" s="248">
        <v>-2.48</v>
      </c>
      <c r="L1133" s="249">
        <v>197580645.16129032</v>
      </c>
    </row>
    <row r="1134" spans="1:12">
      <c r="A1134">
        <v>6101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f t="shared" si="17"/>
        <v>0</v>
      </c>
      <c r="K1134" s="248">
        <v>-0.79</v>
      </c>
      <c r="L1134" s="249">
        <v>59493670.886075944</v>
      </c>
    </row>
    <row r="1135" spans="1:12">
      <c r="A1135">
        <v>6103</v>
      </c>
      <c r="C1135">
        <v>0</v>
      </c>
      <c r="D1135">
        <v>1</v>
      </c>
      <c r="E1135">
        <v>2</v>
      </c>
      <c r="F1135">
        <v>0</v>
      </c>
      <c r="G1135">
        <v>1</v>
      </c>
      <c r="H1135">
        <f t="shared" si="17"/>
        <v>4</v>
      </c>
      <c r="K1135" s="248">
        <v>0.05</v>
      </c>
      <c r="L1135" s="249">
        <v>60000000</v>
      </c>
    </row>
    <row r="1136" spans="1:12">
      <c r="A1136">
        <v>6104</v>
      </c>
      <c r="C1136">
        <v>0</v>
      </c>
      <c r="D1136">
        <v>1</v>
      </c>
      <c r="E1136">
        <v>0</v>
      </c>
      <c r="F1136">
        <v>1</v>
      </c>
      <c r="G1136">
        <v>0</v>
      </c>
      <c r="H1136">
        <f t="shared" si="17"/>
        <v>2</v>
      </c>
      <c r="K1136" s="248">
        <v>0.72</v>
      </c>
      <c r="L1136" s="249">
        <v>88888888.888888896</v>
      </c>
    </row>
    <row r="1137" spans="1:12">
      <c r="A1137">
        <v>6105</v>
      </c>
      <c r="C1137">
        <v>0</v>
      </c>
      <c r="D1137">
        <v>1</v>
      </c>
      <c r="E1137">
        <v>0</v>
      </c>
      <c r="F1137">
        <v>1</v>
      </c>
      <c r="G1137">
        <v>0</v>
      </c>
      <c r="H1137">
        <f t="shared" si="17"/>
        <v>2</v>
      </c>
      <c r="K1137" s="248">
        <v>1.4</v>
      </c>
      <c r="L1137" s="249">
        <v>103571428.57142858</v>
      </c>
    </row>
    <row r="1138" spans="1:12">
      <c r="A1138">
        <v>6107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f t="shared" si="17"/>
        <v>1</v>
      </c>
      <c r="K1138" s="248">
        <v>1.32</v>
      </c>
      <c r="L1138" s="249">
        <v>74242424.242424235</v>
      </c>
    </row>
    <row r="1139" spans="1:12">
      <c r="A1139">
        <v>6108</v>
      </c>
      <c r="C1139">
        <v>0</v>
      </c>
      <c r="D1139">
        <v>0</v>
      </c>
      <c r="E1139">
        <v>1</v>
      </c>
      <c r="F1139">
        <v>0</v>
      </c>
      <c r="G1139">
        <v>0</v>
      </c>
      <c r="H1139">
        <f t="shared" si="17"/>
        <v>1</v>
      </c>
      <c r="K1139" s="248">
        <v>-0.82</v>
      </c>
      <c r="L1139" s="249">
        <v>160975609.75609758</v>
      </c>
    </row>
    <row r="1140" spans="1:12">
      <c r="A1140">
        <v>6109</v>
      </c>
      <c r="C1140">
        <v>1</v>
      </c>
      <c r="D1140">
        <v>1</v>
      </c>
      <c r="E1140">
        <v>0</v>
      </c>
      <c r="F1140">
        <v>0</v>
      </c>
      <c r="G1140">
        <v>0</v>
      </c>
      <c r="H1140">
        <f t="shared" si="17"/>
        <v>2</v>
      </c>
      <c r="K1140" s="248">
        <v>0.56000000000000005</v>
      </c>
      <c r="L1140" s="249">
        <v>73214285.714285702</v>
      </c>
    </row>
    <row r="1141" spans="1:12">
      <c r="A1141">
        <v>6111</v>
      </c>
      <c r="C1141">
        <v>1</v>
      </c>
      <c r="D1141">
        <v>1</v>
      </c>
      <c r="E1141">
        <v>1</v>
      </c>
      <c r="F1141">
        <v>0</v>
      </c>
      <c r="G1141">
        <v>1</v>
      </c>
      <c r="H1141">
        <f t="shared" si="17"/>
        <v>4</v>
      </c>
      <c r="K1141" s="248">
        <v>2.2599999999999998</v>
      </c>
      <c r="L1141" s="249">
        <v>45575221.238938056</v>
      </c>
    </row>
    <row r="1142" spans="1:12">
      <c r="A1142">
        <v>6112</v>
      </c>
      <c r="C1142">
        <v>0</v>
      </c>
      <c r="D1142">
        <v>0</v>
      </c>
      <c r="E1142">
        <v>1</v>
      </c>
      <c r="F1142">
        <v>1</v>
      </c>
      <c r="G1142">
        <v>0</v>
      </c>
      <c r="H1142">
        <f t="shared" si="17"/>
        <v>2</v>
      </c>
      <c r="K1142" s="248">
        <v>0.62</v>
      </c>
      <c r="L1142" s="249">
        <v>91935483.870967746</v>
      </c>
    </row>
    <row r="1143" spans="1:12">
      <c r="A1143">
        <v>6113</v>
      </c>
      <c r="C1143">
        <v>0</v>
      </c>
      <c r="D1143">
        <v>1</v>
      </c>
      <c r="E1143">
        <v>1</v>
      </c>
      <c r="F1143">
        <v>0</v>
      </c>
      <c r="G1143">
        <v>0</v>
      </c>
      <c r="H1143">
        <f t="shared" si="17"/>
        <v>2</v>
      </c>
      <c r="K1143" s="248">
        <v>-0.36</v>
      </c>
      <c r="L1143" s="249">
        <v>50000000</v>
      </c>
    </row>
    <row r="1144" spans="1:12">
      <c r="A1144">
        <v>6114</v>
      </c>
      <c r="C1144">
        <v>0</v>
      </c>
      <c r="D1144">
        <v>1</v>
      </c>
      <c r="E1144">
        <v>0</v>
      </c>
      <c r="F1144">
        <v>1</v>
      </c>
      <c r="G1144">
        <v>0</v>
      </c>
      <c r="H1144">
        <f t="shared" si="17"/>
        <v>2</v>
      </c>
      <c r="K1144" s="248">
        <v>2.29</v>
      </c>
      <c r="L1144" s="249">
        <v>36244541.484716155</v>
      </c>
    </row>
    <row r="1145" spans="1:12">
      <c r="A1145">
        <v>6115</v>
      </c>
      <c r="C1145">
        <v>1</v>
      </c>
      <c r="D1145">
        <v>1</v>
      </c>
      <c r="E1145">
        <v>2</v>
      </c>
      <c r="F1145">
        <v>1</v>
      </c>
      <c r="G1145">
        <v>0</v>
      </c>
      <c r="H1145">
        <f t="shared" si="17"/>
        <v>5</v>
      </c>
      <c r="K1145" s="248">
        <v>1.55</v>
      </c>
      <c r="L1145" s="249">
        <v>179354838.70967743</v>
      </c>
    </row>
    <row r="1146" spans="1:12">
      <c r="A1146">
        <v>6116</v>
      </c>
      <c r="C1146">
        <v>0</v>
      </c>
      <c r="D1146">
        <v>1</v>
      </c>
      <c r="E1146">
        <v>0</v>
      </c>
      <c r="F1146">
        <v>1</v>
      </c>
      <c r="G1146">
        <v>0</v>
      </c>
      <c r="H1146">
        <f t="shared" si="17"/>
        <v>2</v>
      </c>
      <c r="K1146" s="248">
        <v>-0.22</v>
      </c>
      <c r="L1146" s="249">
        <v>3213636363.6363635</v>
      </c>
    </row>
    <row r="1147" spans="1:12">
      <c r="A1147">
        <v>6117</v>
      </c>
      <c r="C1147">
        <v>0</v>
      </c>
      <c r="D1147">
        <v>1</v>
      </c>
      <c r="E1147">
        <v>1</v>
      </c>
      <c r="F1147">
        <v>1</v>
      </c>
      <c r="G1147">
        <v>0</v>
      </c>
      <c r="H1147">
        <f t="shared" si="17"/>
        <v>3</v>
      </c>
      <c r="K1147" s="248">
        <v>-0.49</v>
      </c>
      <c r="L1147" s="249">
        <v>87755102.040816322</v>
      </c>
    </row>
    <row r="1148" spans="1:12">
      <c r="A1148">
        <v>6118</v>
      </c>
      <c r="C1148">
        <v>0</v>
      </c>
      <c r="D1148">
        <v>1</v>
      </c>
      <c r="E1148">
        <v>0</v>
      </c>
      <c r="F1148">
        <v>1</v>
      </c>
      <c r="G1148">
        <v>0</v>
      </c>
      <c r="H1148">
        <f t="shared" si="17"/>
        <v>2</v>
      </c>
      <c r="K1148" s="248" t="e">
        <v>#N/A</v>
      </c>
      <c r="L1148" s="249" t="e">
        <v>#N/A</v>
      </c>
    </row>
    <row r="1149" spans="1:12">
      <c r="A1149">
        <v>6120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f t="shared" si="17"/>
        <v>0</v>
      </c>
      <c r="K1149" s="248">
        <v>-0.23</v>
      </c>
      <c r="L1149" s="249">
        <v>752173913.04347825</v>
      </c>
    </row>
    <row r="1150" spans="1:12">
      <c r="A1150">
        <v>6121</v>
      </c>
      <c r="C1150">
        <v>0</v>
      </c>
      <c r="D1150">
        <v>1</v>
      </c>
      <c r="E1150">
        <v>0</v>
      </c>
      <c r="F1150">
        <v>1</v>
      </c>
      <c r="G1150">
        <v>0</v>
      </c>
      <c r="H1150">
        <f t="shared" si="17"/>
        <v>2</v>
      </c>
      <c r="K1150" s="248">
        <v>2.5099999999999998</v>
      </c>
      <c r="L1150" s="249">
        <v>307968127.49003989</v>
      </c>
    </row>
    <row r="1151" spans="1:12">
      <c r="A1151">
        <v>6122</v>
      </c>
      <c r="C1151">
        <v>0</v>
      </c>
      <c r="D1151">
        <v>0</v>
      </c>
      <c r="E1151">
        <v>1</v>
      </c>
      <c r="F1151">
        <v>0</v>
      </c>
      <c r="G1151">
        <v>0</v>
      </c>
      <c r="H1151">
        <f t="shared" si="17"/>
        <v>1</v>
      </c>
      <c r="K1151" s="248">
        <v>-0.21</v>
      </c>
      <c r="L1151" s="249">
        <v>66666666.666666672</v>
      </c>
    </row>
    <row r="1152" spans="1:12">
      <c r="A1152">
        <v>6123</v>
      </c>
      <c r="C1152">
        <v>1</v>
      </c>
      <c r="D1152">
        <v>1</v>
      </c>
      <c r="E1152">
        <v>1</v>
      </c>
      <c r="F1152">
        <v>0</v>
      </c>
      <c r="G1152">
        <v>0</v>
      </c>
      <c r="H1152">
        <f t="shared" si="17"/>
        <v>3</v>
      </c>
      <c r="K1152" s="248">
        <v>0.92</v>
      </c>
      <c r="L1152" s="249">
        <v>53260869.565217391</v>
      </c>
    </row>
    <row r="1153" spans="1:12">
      <c r="A1153">
        <v>6124</v>
      </c>
      <c r="C1153">
        <v>0</v>
      </c>
      <c r="D1153">
        <v>1</v>
      </c>
      <c r="E1153">
        <v>2</v>
      </c>
      <c r="F1153">
        <v>0</v>
      </c>
      <c r="G1153">
        <v>0</v>
      </c>
      <c r="H1153">
        <f t="shared" si="17"/>
        <v>3</v>
      </c>
      <c r="K1153" s="248">
        <v>-0.09</v>
      </c>
      <c r="L1153" s="249">
        <v>177777777.77777779</v>
      </c>
    </row>
    <row r="1154" spans="1:12">
      <c r="A1154">
        <v>6125</v>
      </c>
      <c r="C1154">
        <v>0</v>
      </c>
      <c r="D1154">
        <v>0</v>
      </c>
      <c r="E1154">
        <v>2</v>
      </c>
      <c r="F1154">
        <v>0</v>
      </c>
      <c r="G1154">
        <v>0</v>
      </c>
      <c r="H1154">
        <f t="shared" ref="H1154:H1217" si="18">SUM(C1154:G1154)</f>
        <v>2</v>
      </c>
      <c r="K1154" s="248">
        <v>7.0000000000000007E-2</v>
      </c>
      <c r="L1154" s="249">
        <v>257142857.1428571</v>
      </c>
    </row>
    <row r="1155" spans="1:12">
      <c r="A1155">
        <v>6126</v>
      </c>
      <c r="C1155">
        <v>0</v>
      </c>
      <c r="D1155">
        <v>1</v>
      </c>
      <c r="E1155">
        <v>2</v>
      </c>
      <c r="F1155">
        <v>1</v>
      </c>
      <c r="G1155">
        <v>0</v>
      </c>
      <c r="H1155">
        <f t="shared" si="18"/>
        <v>4</v>
      </c>
      <c r="K1155" s="248">
        <v>-0.09</v>
      </c>
      <c r="L1155" s="249">
        <v>111111111.11111112</v>
      </c>
    </row>
    <row r="1156" spans="1:12">
      <c r="A1156">
        <v>6127</v>
      </c>
      <c r="C1156">
        <v>0</v>
      </c>
      <c r="D1156">
        <v>1</v>
      </c>
      <c r="E1156">
        <v>0</v>
      </c>
      <c r="F1156">
        <v>0</v>
      </c>
      <c r="G1156">
        <v>0</v>
      </c>
      <c r="H1156">
        <f t="shared" si="18"/>
        <v>1</v>
      </c>
      <c r="K1156" s="248">
        <v>0.03</v>
      </c>
      <c r="L1156" s="249">
        <v>100000000</v>
      </c>
    </row>
    <row r="1157" spans="1:12">
      <c r="A1157">
        <v>6128</v>
      </c>
      <c r="C1157">
        <v>1</v>
      </c>
      <c r="D1157">
        <v>1</v>
      </c>
      <c r="E1157">
        <v>0</v>
      </c>
      <c r="F1157">
        <v>1</v>
      </c>
      <c r="G1157">
        <v>0</v>
      </c>
      <c r="H1157">
        <f t="shared" si="18"/>
        <v>3</v>
      </c>
      <c r="K1157" s="248">
        <v>1</v>
      </c>
      <c r="L1157" s="249">
        <v>91000000</v>
      </c>
    </row>
    <row r="1158" spans="1:12">
      <c r="A1158">
        <v>6129</v>
      </c>
      <c r="C1158">
        <v>0</v>
      </c>
      <c r="D1158">
        <v>1</v>
      </c>
      <c r="E1158">
        <v>0</v>
      </c>
      <c r="F1158">
        <v>0</v>
      </c>
      <c r="G1158">
        <v>0</v>
      </c>
      <c r="H1158">
        <f t="shared" si="18"/>
        <v>1</v>
      </c>
      <c r="K1158" s="248">
        <v>-0.09</v>
      </c>
      <c r="L1158" s="249">
        <v>177777777.77777779</v>
      </c>
    </row>
    <row r="1159" spans="1:12">
      <c r="A1159">
        <v>6130</v>
      </c>
      <c r="C1159">
        <v>0</v>
      </c>
      <c r="D1159">
        <v>0</v>
      </c>
      <c r="E1159">
        <v>2</v>
      </c>
      <c r="F1159">
        <v>0</v>
      </c>
      <c r="G1159">
        <v>0</v>
      </c>
      <c r="H1159">
        <f t="shared" si="18"/>
        <v>2</v>
      </c>
      <c r="K1159" s="248">
        <v>-0.28999999999999998</v>
      </c>
      <c r="L1159" s="249">
        <v>0</v>
      </c>
    </row>
    <row r="1160" spans="1:12">
      <c r="A1160">
        <v>6131</v>
      </c>
      <c r="C1160">
        <v>0</v>
      </c>
      <c r="D1160">
        <v>1</v>
      </c>
      <c r="E1160">
        <v>2</v>
      </c>
      <c r="F1160">
        <v>0</v>
      </c>
      <c r="G1160">
        <v>0</v>
      </c>
      <c r="H1160">
        <f t="shared" si="18"/>
        <v>3</v>
      </c>
      <c r="K1160" s="248">
        <v>-0.27</v>
      </c>
      <c r="L1160" s="249">
        <v>103703703.7037037</v>
      </c>
    </row>
    <row r="1161" spans="1:12">
      <c r="A1161">
        <v>6133</v>
      </c>
      <c r="C1161">
        <v>1</v>
      </c>
      <c r="D1161">
        <v>1</v>
      </c>
      <c r="E1161">
        <v>0</v>
      </c>
      <c r="F1161">
        <v>1</v>
      </c>
      <c r="G1161">
        <v>0</v>
      </c>
      <c r="H1161">
        <f t="shared" si="18"/>
        <v>3</v>
      </c>
      <c r="K1161" s="248">
        <v>0.31</v>
      </c>
      <c r="L1161" s="249">
        <v>116129032.25806452</v>
      </c>
    </row>
    <row r="1162" spans="1:12">
      <c r="A1162">
        <v>6134</v>
      </c>
      <c r="C1162">
        <v>1</v>
      </c>
      <c r="D1162">
        <v>1</v>
      </c>
      <c r="E1162">
        <v>0</v>
      </c>
      <c r="F1162">
        <v>0</v>
      </c>
      <c r="G1162">
        <v>0</v>
      </c>
      <c r="H1162">
        <f t="shared" si="18"/>
        <v>2</v>
      </c>
      <c r="K1162" s="248">
        <v>0.02</v>
      </c>
      <c r="L1162" s="249">
        <v>50000000</v>
      </c>
    </row>
    <row r="1163" spans="1:12">
      <c r="A1163">
        <v>6136</v>
      </c>
      <c r="C1163">
        <v>0</v>
      </c>
      <c r="D1163">
        <v>1</v>
      </c>
      <c r="E1163">
        <v>1</v>
      </c>
      <c r="F1163">
        <v>1</v>
      </c>
      <c r="G1163">
        <v>1</v>
      </c>
      <c r="H1163">
        <f t="shared" si="18"/>
        <v>4</v>
      </c>
      <c r="K1163" s="248">
        <v>1.1200000000000001</v>
      </c>
      <c r="L1163" s="249">
        <v>116071428.57142857</v>
      </c>
    </row>
    <row r="1164" spans="1:12">
      <c r="A1164">
        <v>6138</v>
      </c>
      <c r="C1164">
        <v>0</v>
      </c>
      <c r="D1164">
        <v>1</v>
      </c>
      <c r="E1164">
        <v>1</v>
      </c>
      <c r="F1164">
        <v>1</v>
      </c>
      <c r="G1164">
        <v>0</v>
      </c>
      <c r="H1164">
        <f t="shared" si="18"/>
        <v>3</v>
      </c>
      <c r="K1164" s="248">
        <v>0.38</v>
      </c>
      <c r="L1164" s="249">
        <v>102631578.94736841</v>
      </c>
    </row>
    <row r="1165" spans="1:12">
      <c r="A1165">
        <v>6139</v>
      </c>
      <c r="C1165">
        <v>0</v>
      </c>
      <c r="D1165">
        <v>1</v>
      </c>
      <c r="E1165">
        <v>1</v>
      </c>
      <c r="F1165">
        <v>0</v>
      </c>
      <c r="G1165">
        <v>0</v>
      </c>
      <c r="H1165">
        <f t="shared" si="18"/>
        <v>2</v>
      </c>
      <c r="K1165" s="248">
        <v>0.79</v>
      </c>
      <c r="L1165" s="249">
        <v>187341772.15189871</v>
      </c>
    </row>
    <row r="1166" spans="1:12">
      <c r="A1166">
        <v>6140</v>
      </c>
      <c r="C1166">
        <v>0</v>
      </c>
      <c r="D1166">
        <v>1</v>
      </c>
      <c r="E1166">
        <v>1</v>
      </c>
      <c r="F1166">
        <v>0</v>
      </c>
      <c r="G1166">
        <v>0</v>
      </c>
      <c r="H1166">
        <f t="shared" si="18"/>
        <v>2</v>
      </c>
      <c r="K1166" s="248">
        <v>0.12</v>
      </c>
      <c r="L1166" s="249">
        <v>41666666.666666672</v>
      </c>
    </row>
    <row r="1167" spans="1:12">
      <c r="A1167">
        <v>6141</v>
      </c>
      <c r="C1167">
        <v>0</v>
      </c>
      <c r="D1167">
        <v>0</v>
      </c>
      <c r="E1167">
        <v>1</v>
      </c>
      <c r="F1167">
        <v>0</v>
      </c>
      <c r="G1167">
        <v>0</v>
      </c>
      <c r="H1167">
        <f t="shared" si="18"/>
        <v>1</v>
      </c>
      <c r="K1167" s="248">
        <v>-0.84</v>
      </c>
      <c r="L1167" s="249">
        <v>130952380.95238096</v>
      </c>
    </row>
    <row r="1168" spans="1:12">
      <c r="A1168">
        <v>6142</v>
      </c>
      <c r="C1168">
        <v>1</v>
      </c>
      <c r="D1168">
        <v>1</v>
      </c>
      <c r="E1168">
        <v>0</v>
      </c>
      <c r="F1168">
        <v>0</v>
      </c>
      <c r="G1168">
        <v>0</v>
      </c>
      <c r="H1168">
        <f t="shared" si="18"/>
        <v>2</v>
      </c>
      <c r="K1168" s="248">
        <v>0.03</v>
      </c>
      <c r="L1168" s="249">
        <v>266666666.66666669</v>
      </c>
    </row>
    <row r="1169" spans="1:12">
      <c r="A1169">
        <v>6143</v>
      </c>
      <c r="C1169">
        <v>1</v>
      </c>
      <c r="D1169">
        <v>1</v>
      </c>
      <c r="E1169">
        <v>2</v>
      </c>
      <c r="F1169">
        <v>1</v>
      </c>
      <c r="G1169">
        <v>0</v>
      </c>
      <c r="H1169">
        <f t="shared" si="18"/>
        <v>5</v>
      </c>
      <c r="K1169" s="248">
        <v>4.09</v>
      </c>
      <c r="L1169" s="249">
        <v>83374083.129584357</v>
      </c>
    </row>
    <row r="1170" spans="1:12">
      <c r="A1170">
        <v>6144</v>
      </c>
      <c r="C1170">
        <v>0</v>
      </c>
      <c r="D1170">
        <v>1</v>
      </c>
      <c r="E1170">
        <v>0</v>
      </c>
      <c r="F1170">
        <v>1</v>
      </c>
      <c r="G1170">
        <v>0</v>
      </c>
      <c r="H1170">
        <f t="shared" si="18"/>
        <v>2</v>
      </c>
      <c r="K1170" s="248">
        <v>-0.06</v>
      </c>
      <c r="L1170" s="249">
        <v>66666666.666666672</v>
      </c>
    </row>
    <row r="1171" spans="1:12">
      <c r="A1171">
        <v>6145</v>
      </c>
      <c r="C1171">
        <v>0</v>
      </c>
      <c r="D1171">
        <v>1</v>
      </c>
      <c r="E1171">
        <v>0</v>
      </c>
      <c r="F1171">
        <v>1</v>
      </c>
      <c r="G1171">
        <v>0</v>
      </c>
      <c r="H1171">
        <f t="shared" si="18"/>
        <v>2</v>
      </c>
      <c r="K1171" s="248">
        <v>0.1</v>
      </c>
      <c r="L1171" s="249">
        <v>340000000</v>
      </c>
    </row>
    <row r="1172" spans="1:12">
      <c r="A1172">
        <v>6146</v>
      </c>
      <c r="C1172">
        <v>0</v>
      </c>
      <c r="D1172">
        <v>1</v>
      </c>
      <c r="E1172">
        <v>0</v>
      </c>
      <c r="F1172">
        <v>1</v>
      </c>
      <c r="G1172">
        <v>0</v>
      </c>
      <c r="H1172">
        <f t="shared" si="18"/>
        <v>2</v>
      </c>
      <c r="K1172" s="248">
        <v>2.4</v>
      </c>
      <c r="L1172" s="249">
        <v>86666666.666666672</v>
      </c>
    </row>
    <row r="1173" spans="1:12">
      <c r="A1173">
        <v>6147</v>
      </c>
      <c r="C1173">
        <v>0</v>
      </c>
      <c r="D1173">
        <v>1</v>
      </c>
      <c r="E1173">
        <v>2</v>
      </c>
      <c r="F1173">
        <v>1</v>
      </c>
      <c r="G1173">
        <v>0</v>
      </c>
      <c r="H1173">
        <f t="shared" si="18"/>
        <v>4</v>
      </c>
      <c r="K1173" s="248">
        <v>1.07</v>
      </c>
      <c r="L1173" s="249">
        <v>649532710.28037381</v>
      </c>
    </row>
    <row r="1174" spans="1:12">
      <c r="A1174">
        <v>6148</v>
      </c>
      <c r="C1174">
        <v>0</v>
      </c>
      <c r="D1174">
        <v>1</v>
      </c>
      <c r="E1174">
        <v>2</v>
      </c>
      <c r="F1174">
        <v>0</v>
      </c>
      <c r="G1174">
        <v>0</v>
      </c>
      <c r="H1174">
        <f t="shared" si="18"/>
        <v>3</v>
      </c>
      <c r="K1174" s="248">
        <v>0.13</v>
      </c>
      <c r="L1174" s="249">
        <v>92307692.307692304</v>
      </c>
    </row>
    <row r="1175" spans="1:12">
      <c r="A1175">
        <v>6150</v>
      </c>
      <c r="C1175">
        <v>0</v>
      </c>
      <c r="D1175">
        <v>1</v>
      </c>
      <c r="E1175">
        <v>0</v>
      </c>
      <c r="F1175">
        <v>1</v>
      </c>
      <c r="G1175">
        <v>0</v>
      </c>
      <c r="H1175">
        <f t="shared" si="18"/>
        <v>2</v>
      </c>
      <c r="K1175" s="248">
        <v>-0.48</v>
      </c>
      <c r="L1175" s="249">
        <v>50000000</v>
      </c>
    </row>
    <row r="1176" spans="1:12">
      <c r="A1176">
        <v>6151</v>
      </c>
      <c r="C1176">
        <v>1</v>
      </c>
      <c r="D1176">
        <v>1</v>
      </c>
      <c r="E1176">
        <v>0</v>
      </c>
      <c r="F1176">
        <v>0</v>
      </c>
      <c r="G1176">
        <v>0</v>
      </c>
      <c r="H1176">
        <f t="shared" si="18"/>
        <v>2</v>
      </c>
      <c r="K1176" s="248">
        <v>0.64</v>
      </c>
      <c r="L1176" s="249">
        <v>54687500</v>
      </c>
    </row>
    <row r="1177" spans="1:12">
      <c r="A1177">
        <v>6152</v>
      </c>
      <c r="C1177">
        <v>0</v>
      </c>
      <c r="D1177">
        <v>1</v>
      </c>
      <c r="E1177">
        <v>1</v>
      </c>
      <c r="F1177">
        <v>1</v>
      </c>
      <c r="G1177">
        <v>0</v>
      </c>
      <c r="H1177">
        <f t="shared" si="18"/>
        <v>3</v>
      </c>
      <c r="K1177" s="248">
        <v>-0.41</v>
      </c>
      <c r="L1177" s="249">
        <v>168292682.92682928</v>
      </c>
    </row>
    <row r="1178" spans="1:12">
      <c r="A1178">
        <v>6153</v>
      </c>
      <c r="C1178">
        <v>1</v>
      </c>
      <c r="D1178">
        <v>1</v>
      </c>
      <c r="E1178">
        <v>0</v>
      </c>
      <c r="F1178">
        <v>1</v>
      </c>
      <c r="G1178">
        <v>0</v>
      </c>
      <c r="H1178">
        <f t="shared" si="18"/>
        <v>3</v>
      </c>
      <c r="K1178" s="248">
        <v>1.43</v>
      </c>
      <c r="L1178" s="249">
        <v>323076923.07692307</v>
      </c>
    </row>
    <row r="1179" spans="1:12">
      <c r="A1179">
        <v>6154</v>
      </c>
      <c r="C1179">
        <v>0</v>
      </c>
      <c r="D1179">
        <v>1</v>
      </c>
      <c r="E1179">
        <v>0</v>
      </c>
      <c r="F1179">
        <v>1</v>
      </c>
      <c r="G1179">
        <v>0</v>
      </c>
      <c r="H1179">
        <f t="shared" si="18"/>
        <v>2</v>
      </c>
      <c r="K1179" s="248">
        <v>0.33</v>
      </c>
      <c r="L1179" s="249">
        <v>78787878.787878782</v>
      </c>
    </row>
    <row r="1180" spans="1:12">
      <c r="A1180">
        <v>6155</v>
      </c>
      <c r="C1180">
        <v>1</v>
      </c>
      <c r="D1180">
        <v>1</v>
      </c>
      <c r="E1180">
        <v>1</v>
      </c>
      <c r="F1180">
        <v>1</v>
      </c>
      <c r="G1180">
        <v>0</v>
      </c>
      <c r="H1180">
        <f t="shared" si="18"/>
        <v>4</v>
      </c>
      <c r="K1180" s="248">
        <v>0.76</v>
      </c>
      <c r="L1180" s="249">
        <v>85526315.789473683</v>
      </c>
    </row>
    <row r="1181" spans="1:12">
      <c r="A1181">
        <v>6156</v>
      </c>
      <c r="C1181">
        <v>1</v>
      </c>
      <c r="D1181">
        <v>1</v>
      </c>
      <c r="E1181">
        <v>0</v>
      </c>
      <c r="F1181">
        <v>0</v>
      </c>
      <c r="G1181">
        <v>0</v>
      </c>
      <c r="H1181">
        <f t="shared" si="18"/>
        <v>2</v>
      </c>
      <c r="K1181" s="248">
        <v>0.51</v>
      </c>
      <c r="L1181" s="249">
        <v>78431372.549019605</v>
      </c>
    </row>
    <row r="1182" spans="1:12">
      <c r="A1182">
        <v>6158</v>
      </c>
      <c r="C1182">
        <v>1</v>
      </c>
      <c r="D1182">
        <v>1</v>
      </c>
      <c r="E1182">
        <v>2</v>
      </c>
      <c r="F1182">
        <v>0</v>
      </c>
      <c r="G1182">
        <v>0</v>
      </c>
      <c r="H1182">
        <f t="shared" si="18"/>
        <v>4</v>
      </c>
      <c r="K1182" s="248">
        <v>0.41</v>
      </c>
      <c r="L1182" s="249">
        <v>109756097.56097561</v>
      </c>
    </row>
    <row r="1183" spans="1:12">
      <c r="A1183">
        <v>6160</v>
      </c>
      <c r="C1183">
        <v>0</v>
      </c>
      <c r="D1183">
        <v>1</v>
      </c>
      <c r="E1183">
        <v>1</v>
      </c>
      <c r="F1183">
        <v>1</v>
      </c>
      <c r="G1183">
        <v>0</v>
      </c>
      <c r="H1183">
        <f t="shared" si="18"/>
        <v>3</v>
      </c>
      <c r="K1183" s="248">
        <v>0.02</v>
      </c>
      <c r="L1183" s="249">
        <v>50000000</v>
      </c>
    </row>
    <row r="1184" spans="1:12">
      <c r="A1184">
        <v>6161</v>
      </c>
      <c r="C1184">
        <v>0</v>
      </c>
      <c r="D1184">
        <v>1</v>
      </c>
      <c r="E1184">
        <v>1</v>
      </c>
      <c r="F1184">
        <v>0</v>
      </c>
      <c r="G1184">
        <v>0</v>
      </c>
      <c r="H1184">
        <f t="shared" si="18"/>
        <v>2</v>
      </c>
      <c r="K1184" s="248">
        <v>0.35</v>
      </c>
      <c r="L1184" s="249">
        <v>120000000.00000001</v>
      </c>
    </row>
    <row r="1185" spans="1:12">
      <c r="A1185">
        <v>6163</v>
      </c>
      <c r="C1185">
        <v>0</v>
      </c>
      <c r="D1185">
        <v>0</v>
      </c>
      <c r="E1185">
        <v>0</v>
      </c>
      <c r="F1185">
        <v>1</v>
      </c>
      <c r="G1185">
        <v>0</v>
      </c>
      <c r="H1185">
        <f t="shared" si="18"/>
        <v>1</v>
      </c>
      <c r="K1185" s="248">
        <v>-0.7</v>
      </c>
      <c r="L1185" s="249">
        <v>102857142.85714287</v>
      </c>
    </row>
    <row r="1186" spans="1:12">
      <c r="A1186">
        <v>6164</v>
      </c>
      <c r="C1186">
        <v>0</v>
      </c>
      <c r="D1186">
        <v>0</v>
      </c>
      <c r="E1186">
        <v>1</v>
      </c>
      <c r="F1186">
        <v>1</v>
      </c>
      <c r="G1186">
        <v>0</v>
      </c>
      <c r="H1186">
        <f t="shared" si="18"/>
        <v>2</v>
      </c>
      <c r="K1186" s="248">
        <v>0.08</v>
      </c>
      <c r="L1186" s="249">
        <v>112500000</v>
      </c>
    </row>
    <row r="1187" spans="1:12">
      <c r="A1187">
        <v>6165</v>
      </c>
      <c r="C1187">
        <v>0</v>
      </c>
      <c r="D1187">
        <v>0</v>
      </c>
      <c r="E1187">
        <v>1</v>
      </c>
      <c r="F1187">
        <v>1</v>
      </c>
      <c r="G1187">
        <v>0</v>
      </c>
      <c r="H1187">
        <f t="shared" si="18"/>
        <v>2</v>
      </c>
      <c r="K1187" s="248">
        <v>0.44</v>
      </c>
      <c r="L1187" s="249">
        <v>50000000</v>
      </c>
    </row>
    <row r="1188" spans="1:12">
      <c r="A1188">
        <v>6166</v>
      </c>
      <c r="C1188">
        <v>0</v>
      </c>
      <c r="D1188">
        <v>0</v>
      </c>
      <c r="E1188">
        <v>0</v>
      </c>
      <c r="F1188">
        <v>1</v>
      </c>
      <c r="G1188">
        <v>1</v>
      </c>
      <c r="H1188">
        <f t="shared" si="18"/>
        <v>2</v>
      </c>
      <c r="K1188" s="248">
        <v>0.78</v>
      </c>
      <c r="L1188" s="249">
        <v>201282051.28205127</v>
      </c>
    </row>
    <row r="1189" spans="1:12">
      <c r="A1189">
        <v>6167</v>
      </c>
      <c r="C1189">
        <v>0</v>
      </c>
      <c r="D1189">
        <v>1</v>
      </c>
      <c r="E1189">
        <v>0</v>
      </c>
      <c r="F1189">
        <v>0</v>
      </c>
      <c r="G1189">
        <v>0</v>
      </c>
      <c r="H1189">
        <f t="shared" si="18"/>
        <v>1</v>
      </c>
      <c r="K1189" s="248">
        <v>0.13</v>
      </c>
      <c r="L1189" s="249">
        <v>161538461.53846154</v>
      </c>
    </row>
    <row r="1190" spans="1:12">
      <c r="A1190">
        <v>6168</v>
      </c>
      <c r="C1190">
        <v>1</v>
      </c>
      <c r="D1190">
        <v>1</v>
      </c>
      <c r="E1190">
        <v>2</v>
      </c>
      <c r="F1190">
        <v>1</v>
      </c>
      <c r="G1190">
        <v>0</v>
      </c>
      <c r="H1190">
        <f t="shared" si="18"/>
        <v>5</v>
      </c>
      <c r="K1190" s="248">
        <v>0.88</v>
      </c>
      <c r="L1190" s="249">
        <v>203409090.90909091</v>
      </c>
    </row>
    <row r="1191" spans="1:12">
      <c r="A1191">
        <v>6169</v>
      </c>
      <c r="C1191">
        <v>0</v>
      </c>
      <c r="D1191">
        <v>1</v>
      </c>
      <c r="E1191">
        <v>2</v>
      </c>
      <c r="F1191">
        <v>1</v>
      </c>
      <c r="G1191">
        <v>0</v>
      </c>
      <c r="H1191">
        <f t="shared" si="18"/>
        <v>4</v>
      </c>
      <c r="K1191" s="248">
        <v>-1.08</v>
      </c>
      <c r="L1191" s="249">
        <v>27777777.777777776</v>
      </c>
    </row>
    <row r="1192" spans="1:12">
      <c r="A1192">
        <v>6170</v>
      </c>
      <c r="C1192">
        <v>0</v>
      </c>
      <c r="D1192">
        <v>1</v>
      </c>
      <c r="E1192">
        <v>2</v>
      </c>
      <c r="F1192">
        <v>1</v>
      </c>
      <c r="G1192">
        <v>0</v>
      </c>
      <c r="H1192">
        <f t="shared" si="18"/>
        <v>4</v>
      </c>
      <c r="K1192" s="248">
        <v>0.1</v>
      </c>
      <c r="L1192" s="249">
        <v>100000000</v>
      </c>
    </row>
    <row r="1193" spans="1:12">
      <c r="A1193">
        <v>6171</v>
      </c>
      <c r="C1193">
        <v>0</v>
      </c>
      <c r="D1193">
        <v>1</v>
      </c>
      <c r="E1193">
        <v>2</v>
      </c>
      <c r="F1193">
        <v>1</v>
      </c>
      <c r="G1193">
        <v>0</v>
      </c>
      <c r="H1193">
        <f t="shared" si="18"/>
        <v>4</v>
      </c>
      <c r="K1193" s="248">
        <v>-7.0000000000000007E-2</v>
      </c>
      <c r="L1193" s="249">
        <v>85714285.714285702</v>
      </c>
    </row>
    <row r="1194" spans="1:12">
      <c r="A1194">
        <v>6172</v>
      </c>
      <c r="C1194">
        <v>0</v>
      </c>
      <c r="D1194">
        <v>1</v>
      </c>
      <c r="E1194">
        <v>1</v>
      </c>
      <c r="F1194">
        <v>1</v>
      </c>
      <c r="G1194">
        <v>0</v>
      </c>
      <c r="H1194">
        <f t="shared" si="18"/>
        <v>3</v>
      </c>
      <c r="K1194" s="248">
        <v>0.12</v>
      </c>
      <c r="L1194" s="249">
        <v>50000000</v>
      </c>
    </row>
    <row r="1195" spans="1:12">
      <c r="A1195">
        <v>6173</v>
      </c>
      <c r="C1195">
        <v>0</v>
      </c>
      <c r="D1195">
        <v>1</v>
      </c>
      <c r="E1195">
        <v>0</v>
      </c>
      <c r="F1195">
        <v>0</v>
      </c>
      <c r="G1195">
        <v>0</v>
      </c>
      <c r="H1195">
        <f t="shared" si="18"/>
        <v>1</v>
      </c>
      <c r="K1195" s="248">
        <v>0.26</v>
      </c>
      <c r="L1195" s="249">
        <v>184615384.61538461</v>
      </c>
    </row>
    <row r="1196" spans="1:12">
      <c r="A1196">
        <v>6174</v>
      </c>
      <c r="C1196">
        <v>0</v>
      </c>
      <c r="D1196">
        <v>1</v>
      </c>
      <c r="E1196">
        <v>2</v>
      </c>
      <c r="F1196">
        <v>1</v>
      </c>
      <c r="G1196">
        <v>0</v>
      </c>
      <c r="H1196">
        <f t="shared" si="18"/>
        <v>4</v>
      </c>
      <c r="K1196" s="248">
        <v>0.32</v>
      </c>
      <c r="L1196" s="249">
        <v>50000000</v>
      </c>
    </row>
    <row r="1197" spans="1:12">
      <c r="A1197">
        <v>6175</v>
      </c>
      <c r="C1197">
        <v>0</v>
      </c>
      <c r="D1197">
        <v>1</v>
      </c>
      <c r="E1197">
        <v>0</v>
      </c>
      <c r="F1197">
        <v>0</v>
      </c>
      <c r="G1197">
        <v>0</v>
      </c>
      <c r="H1197">
        <f t="shared" si="18"/>
        <v>1</v>
      </c>
      <c r="K1197" s="248">
        <v>0.26</v>
      </c>
      <c r="L1197" s="249">
        <v>134615384.61538461</v>
      </c>
    </row>
    <row r="1198" spans="1:12">
      <c r="A1198">
        <v>6176</v>
      </c>
      <c r="C1198">
        <v>0</v>
      </c>
      <c r="D1198">
        <v>1</v>
      </c>
      <c r="E1198">
        <v>2</v>
      </c>
      <c r="F1198">
        <v>0</v>
      </c>
      <c r="G1198">
        <v>0</v>
      </c>
      <c r="H1198">
        <f t="shared" si="18"/>
        <v>3</v>
      </c>
      <c r="K1198" s="248">
        <v>2.78</v>
      </c>
      <c r="L1198" s="249">
        <v>465467625.89928061</v>
      </c>
    </row>
    <row r="1199" spans="1:12">
      <c r="A1199">
        <v>6177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f t="shared" si="18"/>
        <v>0</v>
      </c>
      <c r="K1199" s="248">
        <v>-0.04</v>
      </c>
      <c r="L1199" s="249">
        <v>175000000</v>
      </c>
    </row>
    <row r="1200" spans="1:12">
      <c r="A1200">
        <v>6179</v>
      </c>
      <c r="C1200">
        <v>0</v>
      </c>
      <c r="D1200">
        <v>1</v>
      </c>
      <c r="E1200">
        <v>0</v>
      </c>
      <c r="F1200">
        <v>0</v>
      </c>
      <c r="G1200">
        <v>0</v>
      </c>
      <c r="H1200">
        <f t="shared" si="18"/>
        <v>1</v>
      </c>
      <c r="K1200" s="248">
        <v>0.72</v>
      </c>
      <c r="L1200" s="249">
        <v>50000000</v>
      </c>
    </row>
    <row r="1201" spans="1:12">
      <c r="A1201">
        <v>6180</v>
      </c>
      <c r="C1201">
        <v>0</v>
      </c>
      <c r="D1201">
        <v>0</v>
      </c>
      <c r="E1201">
        <v>2</v>
      </c>
      <c r="F1201">
        <v>0</v>
      </c>
      <c r="G1201">
        <v>0</v>
      </c>
      <c r="H1201">
        <f t="shared" si="18"/>
        <v>2</v>
      </c>
      <c r="K1201" s="248">
        <v>0.17</v>
      </c>
      <c r="L1201" s="249">
        <v>152941176.47058824</v>
      </c>
    </row>
    <row r="1202" spans="1:12">
      <c r="A1202">
        <v>6182</v>
      </c>
      <c r="C1202">
        <v>0</v>
      </c>
      <c r="D1202">
        <v>1</v>
      </c>
      <c r="E1202">
        <v>1</v>
      </c>
      <c r="F1202">
        <v>1</v>
      </c>
      <c r="G1202">
        <v>0</v>
      </c>
      <c r="H1202">
        <f t="shared" si="18"/>
        <v>3</v>
      </c>
      <c r="K1202" s="248">
        <v>0.05</v>
      </c>
      <c r="L1202" s="249">
        <v>400000000</v>
      </c>
    </row>
    <row r="1203" spans="1:12">
      <c r="A1203">
        <v>6183</v>
      </c>
      <c r="C1203">
        <v>0</v>
      </c>
      <c r="D1203">
        <v>1</v>
      </c>
      <c r="E1203">
        <v>0</v>
      </c>
      <c r="F1203">
        <v>0</v>
      </c>
      <c r="G1203">
        <v>0</v>
      </c>
      <c r="H1203">
        <f t="shared" si="18"/>
        <v>1</v>
      </c>
      <c r="K1203" s="248">
        <v>0.41</v>
      </c>
      <c r="L1203" s="249">
        <v>151219512.19512197</v>
      </c>
    </row>
    <row r="1204" spans="1:12">
      <c r="A1204">
        <v>6184</v>
      </c>
      <c r="C1204">
        <v>0</v>
      </c>
      <c r="D1204">
        <v>0</v>
      </c>
      <c r="E1204">
        <v>0</v>
      </c>
      <c r="F1204">
        <v>0</v>
      </c>
      <c r="G1204">
        <v>1</v>
      </c>
      <c r="H1204">
        <f t="shared" si="18"/>
        <v>1</v>
      </c>
      <c r="K1204" s="248">
        <v>0.47</v>
      </c>
      <c r="L1204" s="249">
        <v>131914893.61702128</v>
      </c>
    </row>
    <row r="1205" spans="1:12">
      <c r="A1205">
        <v>6185</v>
      </c>
      <c r="C1205">
        <v>0</v>
      </c>
      <c r="D1205">
        <v>1</v>
      </c>
      <c r="E1205">
        <v>1</v>
      </c>
      <c r="F1205">
        <v>1</v>
      </c>
      <c r="G1205">
        <v>0</v>
      </c>
      <c r="H1205">
        <f t="shared" si="18"/>
        <v>3</v>
      </c>
      <c r="K1205" s="248">
        <v>0.76</v>
      </c>
      <c r="L1205" s="249">
        <v>114473684.21052632</v>
      </c>
    </row>
    <row r="1206" spans="1:12">
      <c r="A1206">
        <v>6187</v>
      </c>
      <c r="C1206">
        <v>0</v>
      </c>
      <c r="D1206">
        <v>1</v>
      </c>
      <c r="E1206">
        <v>0</v>
      </c>
      <c r="F1206">
        <v>0</v>
      </c>
      <c r="G1206">
        <v>0</v>
      </c>
      <c r="H1206">
        <f t="shared" si="18"/>
        <v>1</v>
      </c>
      <c r="K1206" s="248">
        <v>0.74</v>
      </c>
      <c r="L1206" s="249">
        <v>85135135.135135129</v>
      </c>
    </row>
    <row r="1207" spans="1:12">
      <c r="A1207">
        <v>6188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f t="shared" si="18"/>
        <v>0</v>
      </c>
      <c r="K1207" s="248">
        <v>0.34</v>
      </c>
      <c r="L1207" s="249">
        <v>279411764.70588231</v>
      </c>
    </row>
    <row r="1208" spans="1:12">
      <c r="A1208">
        <v>6189</v>
      </c>
      <c r="C1208">
        <v>1</v>
      </c>
      <c r="D1208">
        <v>1</v>
      </c>
      <c r="E1208">
        <v>1</v>
      </c>
      <c r="F1208">
        <v>1</v>
      </c>
      <c r="G1208">
        <v>0</v>
      </c>
      <c r="H1208">
        <f t="shared" si="18"/>
        <v>4</v>
      </c>
      <c r="K1208" s="248">
        <v>1.17</v>
      </c>
      <c r="L1208" s="249">
        <v>178632478.63247865</v>
      </c>
    </row>
    <row r="1209" spans="1:12">
      <c r="A1209">
        <v>6190</v>
      </c>
      <c r="C1209">
        <v>0</v>
      </c>
      <c r="D1209">
        <v>1</v>
      </c>
      <c r="E1209">
        <v>0</v>
      </c>
      <c r="F1209">
        <v>1</v>
      </c>
      <c r="G1209">
        <v>0</v>
      </c>
      <c r="H1209">
        <f t="shared" si="18"/>
        <v>2</v>
      </c>
      <c r="K1209" s="248">
        <v>0.09</v>
      </c>
      <c r="L1209" s="249">
        <v>111111111.11111112</v>
      </c>
    </row>
    <row r="1210" spans="1:12">
      <c r="A1210">
        <v>6191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f t="shared" si="18"/>
        <v>0</v>
      </c>
      <c r="K1210" s="248">
        <v>0.04</v>
      </c>
      <c r="L1210" s="249">
        <v>600000000</v>
      </c>
    </row>
    <row r="1211" spans="1:12">
      <c r="A1211">
        <v>6192</v>
      </c>
      <c r="C1211">
        <v>0</v>
      </c>
      <c r="D1211">
        <v>1</v>
      </c>
      <c r="E1211">
        <v>1</v>
      </c>
      <c r="F1211">
        <v>1</v>
      </c>
      <c r="G1211">
        <v>0</v>
      </c>
      <c r="H1211">
        <f t="shared" si="18"/>
        <v>3</v>
      </c>
      <c r="K1211" s="248">
        <v>1.1599999999999999</v>
      </c>
      <c r="L1211" s="249">
        <v>118965517.24137932</v>
      </c>
    </row>
    <row r="1212" spans="1:12">
      <c r="A1212">
        <v>6194</v>
      </c>
      <c r="C1212">
        <v>0</v>
      </c>
      <c r="D1212">
        <v>1</v>
      </c>
      <c r="E1212">
        <v>2</v>
      </c>
      <c r="F1212">
        <v>0</v>
      </c>
      <c r="G1212">
        <v>0</v>
      </c>
      <c r="H1212">
        <f t="shared" si="18"/>
        <v>3</v>
      </c>
      <c r="K1212" s="248">
        <v>-0.2</v>
      </c>
      <c r="L1212" s="249">
        <v>90000000</v>
      </c>
    </row>
    <row r="1213" spans="1:12">
      <c r="A1213">
        <v>6195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f t="shared" si="18"/>
        <v>0</v>
      </c>
      <c r="K1213" s="248">
        <v>0.78</v>
      </c>
      <c r="L1213" s="249">
        <v>42307692.307692304</v>
      </c>
    </row>
    <row r="1214" spans="1:12">
      <c r="A1214">
        <v>6196</v>
      </c>
      <c r="C1214">
        <v>1</v>
      </c>
      <c r="D1214">
        <v>1</v>
      </c>
      <c r="E1214">
        <v>0</v>
      </c>
      <c r="F1214">
        <v>1</v>
      </c>
      <c r="G1214">
        <v>0</v>
      </c>
      <c r="H1214">
        <f t="shared" si="18"/>
        <v>3</v>
      </c>
      <c r="K1214" s="248">
        <v>1.19</v>
      </c>
      <c r="L1214" s="249">
        <v>165546218.48739496</v>
      </c>
    </row>
    <row r="1215" spans="1:12">
      <c r="A1215">
        <v>6197</v>
      </c>
      <c r="C1215">
        <v>1</v>
      </c>
      <c r="D1215">
        <v>1</v>
      </c>
      <c r="E1215">
        <v>2</v>
      </c>
      <c r="F1215">
        <v>0</v>
      </c>
      <c r="G1215">
        <v>1</v>
      </c>
      <c r="H1215">
        <f t="shared" si="18"/>
        <v>5</v>
      </c>
      <c r="K1215" s="248">
        <v>0.79</v>
      </c>
      <c r="L1215" s="249">
        <v>170886075.94936708</v>
      </c>
    </row>
    <row r="1216" spans="1:12">
      <c r="A1216">
        <v>6198</v>
      </c>
      <c r="C1216">
        <v>1</v>
      </c>
      <c r="D1216">
        <v>0</v>
      </c>
      <c r="E1216">
        <v>1</v>
      </c>
      <c r="F1216">
        <v>0</v>
      </c>
      <c r="G1216">
        <v>1</v>
      </c>
      <c r="H1216">
        <f t="shared" si="18"/>
        <v>3</v>
      </c>
      <c r="K1216" s="248">
        <v>-0.23</v>
      </c>
      <c r="L1216" s="249">
        <v>21739130.434782609</v>
      </c>
    </row>
    <row r="1217" spans="1:12">
      <c r="A1217">
        <v>6199</v>
      </c>
      <c r="C1217">
        <v>0</v>
      </c>
      <c r="D1217">
        <v>0</v>
      </c>
      <c r="E1217">
        <v>1</v>
      </c>
      <c r="F1217">
        <v>1</v>
      </c>
      <c r="G1217">
        <v>0</v>
      </c>
      <c r="H1217">
        <f t="shared" si="18"/>
        <v>2</v>
      </c>
      <c r="K1217" s="248">
        <v>-0.05</v>
      </c>
      <c r="L1217" s="249">
        <v>60000000</v>
      </c>
    </row>
    <row r="1218" spans="1:12">
      <c r="A1218">
        <v>6201</v>
      </c>
      <c r="C1218">
        <v>1</v>
      </c>
      <c r="D1218">
        <v>1</v>
      </c>
      <c r="E1218">
        <v>0</v>
      </c>
      <c r="F1218">
        <v>1</v>
      </c>
      <c r="G1218">
        <v>0</v>
      </c>
      <c r="H1218">
        <f t="shared" ref="H1218:H1281" si="19">SUM(C1218:G1218)</f>
        <v>3</v>
      </c>
      <c r="K1218" s="248">
        <v>0.89</v>
      </c>
      <c r="L1218" s="249">
        <v>88764044.943820223</v>
      </c>
    </row>
    <row r="1219" spans="1:12">
      <c r="A1219">
        <v>6202</v>
      </c>
      <c r="C1219">
        <v>1</v>
      </c>
      <c r="D1219">
        <v>1</v>
      </c>
      <c r="E1219">
        <v>0</v>
      </c>
      <c r="F1219">
        <v>1</v>
      </c>
      <c r="G1219">
        <v>1</v>
      </c>
      <c r="H1219">
        <f t="shared" si="19"/>
        <v>4</v>
      </c>
      <c r="K1219" s="248">
        <v>0.97</v>
      </c>
      <c r="L1219" s="249">
        <v>226804123.71134022</v>
      </c>
    </row>
    <row r="1220" spans="1:12">
      <c r="A1220">
        <v>6203</v>
      </c>
      <c r="C1220">
        <v>1</v>
      </c>
      <c r="D1220">
        <v>1</v>
      </c>
      <c r="E1220">
        <v>2</v>
      </c>
      <c r="F1220">
        <v>1</v>
      </c>
      <c r="G1220">
        <v>0</v>
      </c>
      <c r="H1220">
        <f t="shared" si="19"/>
        <v>5</v>
      </c>
      <c r="K1220" s="248">
        <v>1.18</v>
      </c>
      <c r="L1220" s="249">
        <v>80508474.576271191</v>
      </c>
    </row>
    <row r="1221" spans="1:12">
      <c r="A1221">
        <v>6204</v>
      </c>
      <c r="C1221">
        <v>0</v>
      </c>
      <c r="D1221">
        <v>1</v>
      </c>
      <c r="E1221">
        <v>0</v>
      </c>
      <c r="F1221">
        <v>1</v>
      </c>
      <c r="G1221">
        <v>0</v>
      </c>
      <c r="H1221">
        <f t="shared" si="19"/>
        <v>2</v>
      </c>
      <c r="K1221" s="248">
        <v>0.5</v>
      </c>
      <c r="L1221" s="249">
        <v>36000000</v>
      </c>
    </row>
    <row r="1222" spans="1:12">
      <c r="A1222">
        <v>6205</v>
      </c>
      <c r="C1222">
        <v>1</v>
      </c>
      <c r="D1222">
        <v>1</v>
      </c>
      <c r="E1222">
        <v>2</v>
      </c>
      <c r="F1222">
        <v>1</v>
      </c>
      <c r="G1222">
        <v>0</v>
      </c>
      <c r="H1222">
        <f t="shared" si="19"/>
        <v>5</v>
      </c>
      <c r="K1222" s="248">
        <v>1.26</v>
      </c>
      <c r="L1222" s="249">
        <v>71428571.428571433</v>
      </c>
    </row>
    <row r="1223" spans="1:12">
      <c r="A1223">
        <v>6206</v>
      </c>
      <c r="C1223">
        <v>0</v>
      </c>
      <c r="D1223">
        <v>1</v>
      </c>
      <c r="E1223">
        <v>0</v>
      </c>
      <c r="F1223">
        <v>1</v>
      </c>
      <c r="G1223">
        <v>0</v>
      </c>
      <c r="H1223">
        <f t="shared" si="19"/>
        <v>2</v>
      </c>
      <c r="K1223" s="248">
        <v>1.98</v>
      </c>
      <c r="L1223" s="249">
        <v>145959595.95959595</v>
      </c>
    </row>
    <row r="1224" spans="1:12">
      <c r="A1224">
        <v>6207</v>
      </c>
      <c r="C1224">
        <v>1</v>
      </c>
      <c r="D1224">
        <v>1</v>
      </c>
      <c r="E1224">
        <v>1</v>
      </c>
      <c r="F1224">
        <v>1</v>
      </c>
      <c r="G1224">
        <v>0</v>
      </c>
      <c r="H1224">
        <f t="shared" si="19"/>
        <v>4</v>
      </c>
      <c r="K1224" s="248">
        <v>1.27</v>
      </c>
      <c r="L1224" s="249">
        <v>84251968.503937006</v>
      </c>
    </row>
    <row r="1225" spans="1:12">
      <c r="A1225">
        <v>6208</v>
      </c>
      <c r="C1225">
        <v>0</v>
      </c>
      <c r="D1225">
        <v>1</v>
      </c>
      <c r="E1225">
        <v>1</v>
      </c>
      <c r="F1225">
        <v>1</v>
      </c>
      <c r="G1225">
        <v>0</v>
      </c>
      <c r="H1225">
        <f t="shared" si="19"/>
        <v>3</v>
      </c>
      <c r="K1225" s="248">
        <v>0.23</v>
      </c>
      <c r="L1225" s="249">
        <v>113043478.26086956</v>
      </c>
    </row>
    <row r="1226" spans="1:12">
      <c r="A1226">
        <v>6209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f t="shared" si="19"/>
        <v>0</v>
      </c>
      <c r="K1226" s="248">
        <v>-0.25</v>
      </c>
      <c r="L1226" s="249">
        <v>164000000</v>
      </c>
    </row>
    <row r="1227" spans="1:12">
      <c r="A1227">
        <v>6210</v>
      </c>
      <c r="C1227">
        <v>0</v>
      </c>
      <c r="D1227">
        <v>1</v>
      </c>
      <c r="E1227">
        <v>0</v>
      </c>
      <c r="F1227">
        <v>1</v>
      </c>
      <c r="G1227">
        <v>0</v>
      </c>
      <c r="H1227">
        <f t="shared" si="19"/>
        <v>2</v>
      </c>
      <c r="K1227" s="248">
        <v>1.44</v>
      </c>
      <c r="L1227" s="249">
        <v>34722222.222222224</v>
      </c>
    </row>
    <row r="1228" spans="1:12">
      <c r="A1228">
        <v>6211</v>
      </c>
      <c r="C1228">
        <v>1</v>
      </c>
      <c r="D1228">
        <v>1</v>
      </c>
      <c r="E1228">
        <v>1</v>
      </c>
      <c r="F1228">
        <v>1</v>
      </c>
      <c r="G1228">
        <v>0</v>
      </c>
      <c r="H1228">
        <f t="shared" si="19"/>
        <v>4</v>
      </c>
      <c r="K1228" s="248">
        <v>0.72</v>
      </c>
      <c r="L1228" s="249">
        <v>0</v>
      </c>
    </row>
    <row r="1229" spans="1:12">
      <c r="A1229">
        <v>6212</v>
      </c>
      <c r="C1229">
        <v>0</v>
      </c>
      <c r="D1229">
        <v>1</v>
      </c>
      <c r="E1229">
        <v>1</v>
      </c>
      <c r="F1229">
        <v>0</v>
      </c>
      <c r="G1229">
        <v>0</v>
      </c>
      <c r="H1229">
        <f t="shared" si="19"/>
        <v>2</v>
      </c>
      <c r="K1229" s="248">
        <v>-0.08</v>
      </c>
      <c r="L1229" s="249">
        <v>112500000</v>
      </c>
    </row>
    <row r="1230" spans="1:12">
      <c r="A1230">
        <v>6213</v>
      </c>
      <c r="C1230">
        <v>1</v>
      </c>
      <c r="D1230">
        <v>1</v>
      </c>
      <c r="E1230">
        <v>2</v>
      </c>
      <c r="F1230">
        <v>0</v>
      </c>
      <c r="G1230">
        <v>0</v>
      </c>
      <c r="H1230">
        <f t="shared" si="19"/>
        <v>4</v>
      </c>
      <c r="K1230" s="248">
        <v>0.56999999999999995</v>
      </c>
      <c r="L1230" s="249">
        <v>315789473.68421054</v>
      </c>
    </row>
    <row r="1231" spans="1:12">
      <c r="A1231">
        <v>6214</v>
      </c>
      <c r="C1231">
        <v>0</v>
      </c>
      <c r="D1231">
        <v>0</v>
      </c>
      <c r="E1231">
        <v>0</v>
      </c>
      <c r="F1231">
        <v>1</v>
      </c>
      <c r="G1231">
        <v>0</v>
      </c>
      <c r="H1231">
        <f t="shared" si="19"/>
        <v>1</v>
      </c>
      <c r="K1231" s="248">
        <v>-0.25</v>
      </c>
      <c r="L1231" s="249">
        <v>248000000</v>
      </c>
    </row>
    <row r="1232" spans="1:12">
      <c r="A1232">
        <v>6215</v>
      </c>
      <c r="C1232">
        <v>0</v>
      </c>
      <c r="D1232">
        <v>1</v>
      </c>
      <c r="E1232">
        <v>0</v>
      </c>
      <c r="F1232">
        <v>0</v>
      </c>
      <c r="G1232">
        <v>0</v>
      </c>
      <c r="H1232">
        <f t="shared" si="19"/>
        <v>1</v>
      </c>
      <c r="K1232" s="248">
        <v>0.16</v>
      </c>
      <c r="L1232" s="249">
        <v>81250000</v>
      </c>
    </row>
    <row r="1233" spans="1:12">
      <c r="A1233">
        <v>6216</v>
      </c>
      <c r="C1233">
        <v>0</v>
      </c>
      <c r="D1233">
        <v>1</v>
      </c>
      <c r="E1233">
        <v>0</v>
      </c>
      <c r="F1233">
        <v>1</v>
      </c>
      <c r="G1233">
        <v>0</v>
      </c>
      <c r="H1233">
        <f t="shared" si="19"/>
        <v>2</v>
      </c>
      <c r="K1233" s="248">
        <v>0.95</v>
      </c>
      <c r="L1233" s="249">
        <v>77894736.842105269</v>
      </c>
    </row>
    <row r="1234" spans="1:12">
      <c r="A1234">
        <v>6217</v>
      </c>
      <c r="C1234">
        <v>1</v>
      </c>
      <c r="D1234">
        <v>1</v>
      </c>
      <c r="E1234">
        <v>1</v>
      </c>
      <c r="F1234">
        <v>1</v>
      </c>
      <c r="G1234">
        <v>1</v>
      </c>
      <c r="H1234">
        <f t="shared" si="19"/>
        <v>5</v>
      </c>
      <c r="K1234" s="248">
        <v>1.39</v>
      </c>
      <c r="L1234" s="249">
        <v>58273381.29496403</v>
      </c>
    </row>
    <row r="1235" spans="1:12">
      <c r="A1235">
        <v>6218</v>
      </c>
      <c r="C1235">
        <v>1</v>
      </c>
      <c r="D1235">
        <v>1</v>
      </c>
      <c r="E1235">
        <v>0</v>
      </c>
      <c r="F1235">
        <v>0</v>
      </c>
      <c r="G1235">
        <v>0</v>
      </c>
      <c r="H1235">
        <f t="shared" si="19"/>
        <v>2</v>
      </c>
      <c r="K1235" s="248">
        <v>0.67</v>
      </c>
      <c r="L1235" s="249">
        <v>0</v>
      </c>
    </row>
    <row r="1236" spans="1:12">
      <c r="A1236">
        <v>6219</v>
      </c>
      <c r="C1236">
        <v>0</v>
      </c>
      <c r="D1236">
        <v>1</v>
      </c>
      <c r="E1236">
        <v>2</v>
      </c>
      <c r="F1236">
        <v>0</v>
      </c>
      <c r="G1236">
        <v>0</v>
      </c>
      <c r="H1236">
        <f t="shared" si="19"/>
        <v>3</v>
      </c>
      <c r="K1236" s="248">
        <v>-0.01</v>
      </c>
      <c r="L1236" s="249">
        <v>200000000</v>
      </c>
    </row>
    <row r="1237" spans="1:12">
      <c r="A1237">
        <v>6220</v>
      </c>
      <c r="C1237">
        <v>1</v>
      </c>
      <c r="D1237">
        <v>1</v>
      </c>
      <c r="E1237">
        <v>2</v>
      </c>
      <c r="F1237">
        <v>0</v>
      </c>
      <c r="G1237">
        <v>1</v>
      </c>
      <c r="H1237">
        <f t="shared" si="19"/>
        <v>5</v>
      </c>
      <c r="K1237" s="248">
        <v>1.04</v>
      </c>
      <c r="L1237" s="249">
        <v>131730769.23076923</v>
      </c>
    </row>
    <row r="1238" spans="1:12">
      <c r="A1238">
        <v>6221</v>
      </c>
      <c r="C1238">
        <v>0</v>
      </c>
      <c r="D1238">
        <v>1</v>
      </c>
      <c r="E1238">
        <v>1</v>
      </c>
      <c r="F1238">
        <v>0</v>
      </c>
      <c r="G1238">
        <v>0</v>
      </c>
      <c r="H1238">
        <f t="shared" si="19"/>
        <v>2</v>
      </c>
      <c r="K1238" s="248">
        <v>0.66</v>
      </c>
      <c r="L1238" s="249">
        <v>37878787.878787875</v>
      </c>
    </row>
    <row r="1239" spans="1:12">
      <c r="A1239">
        <v>6222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f t="shared" si="19"/>
        <v>0</v>
      </c>
      <c r="K1239" s="248">
        <v>-0.62</v>
      </c>
      <c r="L1239" s="249">
        <v>56451612.903225809</v>
      </c>
    </row>
    <row r="1240" spans="1:12">
      <c r="A1240">
        <v>6223</v>
      </c>
      <c r="C1240">
        <v>0</v>
      </c>
      <c r="D1240">
        <v>1</v>
      </c>
      <c r="E1240">
        <v>0</v>
      </c>
      <c r="F1240">
        <v>0</v>
      </c>
      <c r="G1240">
        <v>0</v>
      </c>
      <c r="H1240">
        <f t="shared" si="19"/>
        <v>1</v>
      </c>
      <c r="K1240" s="248">
        <v>1.25</v>
      </c>
      <c r="L1240" s="249">
        <v>79200000</v>
      </c>
    </row>
    <row r="1241" spans="1:12">
      <c r="A1241">
        <v>6224</v>
      </c>
      <c r="C1241">
        <v>0</v>
      </c>
      <c r="D1241">
        <v>1</v>
      </c>
      <c r="E1241">
        <v>0</v>
      </c>
      <c r="F1241">
        <v>1</v>
      </c>
      <c r="G1241">
        <v>0</v>
      </c>
      <c r="H1241">
        <f t="shared" si="19"/>
        <v>2</v>
      </c>
      <c r="K1241" s="248">
        <v>1.6</v>
      </c>
      <c r="L1241" s="249">
        <v>80000000</v>
      </c>
    </row>
    <row r="1242" spans="1:12">
      <c r="A1242">
        <v>6225</v>
      </c>
      <c r="C1242">
        <v>1</v>
      </c>
      <c r="D1242">
        <v>1</v>
      </c>
      <c r="E1242">
        <v>1</v>
      </c>
      <c r="F1242">
        <v>0</v>
      </c>
      <c r="G1242">
        <v>0</v>
      </c>
      <c r="H1242">
        <f t="shared" si="19"/>
        <v>3</v>
      </c>
      <c r="K1242" s="248">
        <v>-0.11</v>
      </c>
      <c r="L1242" s="249">
        <v>90909090.909090906</v>
      </c>
    </row>
    <row r="1243" spans="1:12">
      <c r="A1243">
        <v>6226</v>
      </c>
      <c r="C1243">
        <v>0</v>
      </c>
      <c r="D1243">
        <v>1</v>
      </c>
      <c r="E1243">
        <v>0</v>
      </c>
      <c r="F1243">
        <v>1</v>
      </c>
      <c r="G1243">
        <v>0</v>
      </c>
      <c r="H1243">
        <f t="shared" si="19"/>
        <v>2</v>
      </c>
      <c r="K1243" s="248">
        <v>0.04</v>
      </c>
      <c r="L1243" s="249">
        <v>100000000</v>
      </c>
    </row>
    <row r="1244" spans="1:12">
      <c r="A1244">
        <v>6227</v>
      </c>
      <c r="C1244">
        <v>0</v>
      </c>
      <c r="D1244">
        <v>1</v>
      </c>
      <c r="E1244">
        <v>0</v>
      </c>
      <c r="F1244">
        <v>0</v>
      </c>
      <c r="G1244">
        <v>1</v>
      </c>
      <c r="H1244">
        <f t="shared" si="19"/>
        <v>2</v>
      </c>
      <c r="K1244" s="248">
        <v>0.54</v>
      </c>
      <c r="L1244" s="249">
        <v>75925925.925925925</v>
      </c>
    </row>
    <row r="1245" spans="1:12">
      <c r="A1245">
        <v>6228</v>
      </c>
      <c r="C1245">
        <v>0</v>
      </c>
      <c r="D1245">
        <v>1</v>
      </c>
      <c r="E1245">
        <v>2</v>
      </c>
      <c r="F1245">
        <v>1</v>
      </c>
      <c r="G1245">
        <v>0</v>
      </c>
      <c r="H1245">
        <f t="shared" si="19"/>
        <v>4</v>
      </c>
      <c r="K1245" s="248">
        <v>0.02</v>
      </c>
      <c r="L1245" s="249">
        <v>50000000</v>
      </c>
    </row>
    <row r="1246" spans="1:12">
      <c r="A1246">
        <v>6229</v>
      </c>
      <c r="C1246">
        <v>0</v>
      </c>
      <c r="D1246">
        <v>1</v>
      </c>
      <c r="E1246">
        <v>2</v>
      </c>
      <c r="F1246">
        <v>1</v>
      </c>
      <c r="G1246">
        <v>1</v>
      </c>
      <c r="H1246">
        <f t="shared" si="19"/>
        <v>5</v>
      </c>
      <c r="K1246" s="248">
        <v>0.19</v>
      </c>
      <c r="L1246" s="249">
        <v>0</v>
      </c>
    </row>
    <row r="1247" spans="1:12">
      <c r="A1247">
        <v>6230</v>
      </c>
      <c r="C1247">
        <v>1</v>
      </c>
      <c r="D1247">
        <v>1</v>
      </c>
      <c r="E1247">
        <v>1</v>
      </c>
      <c r="F1247">
        <v>1</v>
      </c>
      <c r="G1247">
        <v>0</v>
      </c>
      <c r="H1247">
        <f t="shared" si="19"/>
        <v>4</v>
      </c>
      <c r="K1247" s="248">
        <v>2.56</v>
      </c>
      <c r="L1247" s="249">
        <v>86328125</v>
      </c>
    </row>
    <row r="1248" spans="1:12">
      <c r="A1248">
        <v>6231</v>
      </c>
      <c r="C1248">
        <v>0</v>
      </c>
      <c r="D1248">
        <v>0</v>
      </c>
      <c r="E1248">
        <v>1</v>
      </c>
      <c r="F1248">
        <v>1</v>
      </c>
      <c r="G1248">
        <v>0</v>
      </c>
      <c r="H1248">
        <f t="shared" si="19"/>
        <v>2</v>
      </c>
      <c r="K1248" s="248">
        <v>0.12</v>
      </c>
      <c r="L1248" s="249">
        <v>41666666.666666672</v>
      </c>
    </row>
    <row r="1249" spans="1:12">
      <c r="A1249">
        <v>6233</v>
      </c>
      <c r="C1249">
        <v>1</v>
      </c>
      <c r="D1249">
        <v>1</v>
      </c>
      <c r="E1249">
        <v>0</v>
      </c>
      <c r="F1249">
        <v>0</v>
      </c>
      <c r="G1249">
        <v>0</v>
      </c>
      <c r="H1249">
        <f t="shared" si="19"/>
        <v>2</v>
      </c>
      <c r="K1249" s="248">
        <v>0.04</v>
      </c>
      <c r="L1249" s="249">
        <v>75000000</v>
      </c>
    </row>
    <row r="1250" spans="1:12">
      <c r="A1250">
        <v>6234</v>
      </c>
      <c r="C1250">
        <v>0</v>
      </c>
      <c r="D1250">
        <v>0</v>
      </c>
      <c r="E1250">
        <v>0</v>
      </c>
      <c r="F1250">
        <v>0</v>
      </c>
      <c r="G1250">
        <v>1</v>
      </c>
      <c r="H1250">
        <f t="shared" si="19"/>
        <v>1</v>
      </c>
      <c r="K1250" s="248">
        <v>0.27</v>
      </c>
      <c r="L1250" s="249">
        <v>70370370.370370373</v>
      </c>
    </row>
    <row r="1251" spans="1:12">
      <c r="A1251">
        <v>6235</v>
      </c>
      <c r="C1251">
        <v>0</v>
      </c>
      <c r="D1251">
        <v>1</v>
      </c>
      <c r="E1251">
        <v>1</v>
      </c>
      <c r="F1251">
        <v>0</v>
      </c>
      <c r="G1251">
        <v>0</v>
      </c>
      <c r="H1251">
        <f t="shared" si="19"/>
        <v>2</v>
      </c>
      <c r="K1251" s="248">
        <v>-0.09</v>
      </c>
      <c r="L1251" s="249">
        <v>155555555.55555555</v>
      </c>
    </row>
    <row r="1252" spans="1:12">
      <c r="A1252">
        <v>6236</v>
      </c>
      <c r="C1252">
        <v>0</v>
      </c>
      <c r="D1252">
        <v>0</v>
      </c>
      <c r="E1252">
        <v>0</v>
      </c>
      <c r="F1252">
        <v>1</v>
      </c>
      <c r="G1252">
        <v>0</v>
      </c>
      <c r="H1252">
        <f t="shared" si="19"/>
        <v>1</v>
      </c>
      <c r="K1252" s="248">
        <v>-0.35</v>
      </c>
      <c r="L1252" s="249">
        <v>31428571.428571429</v>
      </c>
    </row>
    <row r="1253" spans="1:12">
      <c r="A1253">
        <v>6237</v>
      </c>
      <c r="C1253">
        <v>1</v>
      </c>
      <c r="D1253">
        <v>1</v>
      </c>
      <c r="E1253">
        <v>0</v>
      </c>
      <c r="F1253">
        <v>0</v>
      </c>
      <c r="G1253">
        <v>0</v>
      </c>
      <c r="H1253">
        <f t="shared" si="19"/>
        <v>2</v>
      </c>
      <c r="K1253" s="248">
        <v>1.57</v>
      </c>
      <c r="L1253" s="249">
        <v>77707006.369426742</v>
      </c>
    </row>
    <row r="1254" spans="1:12">
      <c r="A1254">
        <v>6238</v>
      </c>
      <c r="C1254">
        <v>1</v>
      </c>
      <c r="D1254">
        <v>1</v>
      </c>
      <c r="E1254">
        <v>1</v>
      </c>
      <c r="F1254">
        <v>1</v>
      </c>
      <c r="G1254">
        <v>0</v>
      </c>
      <c r="H1254">
        <f t="shared" si="19"/>
        <v>4</v>
      </c>
      <c r="K1254" s="248">
        <v>3.12</v>
      </c>
      <c r="L1254" s="249">
        <v>40064102.56410256</v>
      </c>
    </row>
    <row r="1255" spans="1:12">
      <c r="A1255">
        <v>6239</v>
      </c>
      <c r="C1255">
        <v>1</v>
      </c>
      <c r="D1255">
        <v>1</v>
      </c>
      <c r="E1255">
        <v>1</v>
      </c>
      <c r="F1255">
        <v>1</v>
      </c>
      <c r="G1255">
        <v>0</v>
      </c>
      <c r="H1255">
        <f t="shared" si="19"/>
        <v>4</v>
      </c>
      <c r="K1255" s="248">
        <v>1.42</v>
      </c>
      <c r="L1255" s="249">
        <v>771830985.91549301</v>
      </c>
    </row>
    <row r="1256" spans="1:12">
      <c r="A1256">
        <v>6240</v>
      </c>
      <c r="C1256">
        <v>1</v>
      </c>
      <c r="D1256">
        <v>1</v>
      </c>
      <c r="E1256">
        <v>0</v>
      </c>
      <c r="F1256">
        <v>0</v>
      </c>
      <c r="G1256">
        <v>0</v>
      </c>
      <c r="H1256">
        <f t="shared" si="19"/>
        <v>2</v>
      </c>
      <c r="K1256" s="248">
        <v>1.33</v>
      </c>
      <c r="L1256" s="249">
        <v>23308270.67669173</v>
      </c>
    </row>
    <row r="1257" spans="1:12">
      <c r="A1257">
        <v>6241</v>
      </c>
      <c r="C1257">
        <v>0</v>
      </c>
      <c r="D1257">
        <v>1</v>
      </c>
      <c r="E1257">
        <v>0</v>
      </c>
      <c r="F1257">
        <v>0</v>
      </c>
      <c r="G1257">
        <v>0</v>
      </c>
      <c r="H1257">
        <f t="shared" si="19"/>
        <v>1</v>
      </c>
      <c r="K1257" s="248">
        <v>0.12</v>
      </c>
      <c r="L1257" s="249">
        <v>25000000</v>
      </c>
    </row>
    <row r="1258" spans="1:12">
      <c r="A1258">
        <v>6242</v>
      </c>
      <c r="C1258">
        <v>0</v>
      </c>
      <c r="D1258">
        <v>0</v>
      </c>
      <c r="E1258">
        <v>0</v>
      </c>
      <c r="F1258">
        <v>0</v>
      </c>
      <c r="G1258">
        <v>1</v>
      </c>
      <c r="H1258">
        <f t="shared" si="19"/>
        <v>1</v>
      </c>
      <c r="K1258" s="248">
        <v>0.38</v>
      </c>
      <c r="L1258" s="249">
        <v>21052631.578947369</v>
      </c>
    </row>
    <row r="1259" spans="1:12">
      <c r="A1259">
        <v>6243</v>
      </c>
      <c r="C1259">
        <v>1</v>
      </c>
      <c r="D1259">
        <v>1</v>
      </c>
      <c r="E1259">
        <v>1</v>
      </c>
      <c r="F1259">
        <v>0</v>
      </c>
      <c r="G1259">
        <v>0</v>
      </c>
      <c r="H1259">
        <f t="shared" si="19"/>
        <v>3</v>
      </c>
      <c r="K1259" s="248">
        <v>-0.03</v>
      </c>
      <c r="L1259" s="249">
        <v>66666666.666666672</v>
      </c>
    </row>
    <row r="1260" spans="1:12">
      <c r="A1260">
        <v>6244</v>
      </c>
      <c r="C1260">
        <v>0</v>
      </c>
      <c r="D1260">
        <v>1</v>
      </c>
      <c r="E1260">
        <v>1</v>
      </c>
      <c r="F1260">
        <v>1</v>
      </c>
      <c r="G1260">
        <v>0</v>
      </c>
      <c r="H1260">
        <f t="shared" si="19"/>
        <v>3</v>
      </c>
      <c r="K1260" s="248">
        <v>0.09</v>
      </c>
      <c r="L1260" s="249">
        <v>500000000</v>
      </c>
    </row>
    <row r="1261" spans="1:12">
      <c r="A1261">
        <v>6245</v>
      </c>
      <c r="C1261">
        <v>0</v>
      </c>
      <c r="D1261">
        <v>1</v>
      </c>
      <c r="E1261">
        <v>0</v>
      </c>
      <c r="F1261">
        <v>1</v>
      </c>
      <c r="G1261">
        <v>0</v>
      </c>
      <c r="H1261">
        <f t="shared" si="19"/>
        <v>2</v>
      </c>
      <c r="K1261" s="248">
        <v>1.24</v>
      </c>
      <c r="L1261" s="249">
        <v>98387096.774193555</v>
      </c>
    </row>
    <row r="1262" spans="1:12">
      <c r="A1262">
        <v>6246</v>
      </c>
      <c r="C1262">
        <v>1</v>
      </c>
      <c r="D1262">
        <v>1</v>
      </c>
      <c r="E1262">
        <v>0</v>
      </c>
      <c r="F1262">
        <v>1</v>
      </c>
      <c r="G1262">
        <v>0</v>
      </c>
      <c r="H1262">
        <f t="shared" si="19"/>
        <v>3</v>
      </c>
      <c r="K1262" s="248">
        <v>0.13</v>
      </c>
      <c r="L1262" s="249">
        <v>130769230.76923077</v>
      </c>
    </row>
    <row r="1263" spans="1:12">
      <c r="A1263">
        <v>6247</v>
      </c>
      <c r="C1263">
        <v>1</v>
      </c>
      <c r="D1263">
        <v>1</v>
      </c>
      <c r="E1263">
        <v>1</v>
      </c>
      <c r="F1263">
        <v>0</v>
      </c>
      <c r="G1263">
        <v>0</v>
      </c>
      <c r="H1263">
        <f t="shared" si="19"/>
        <v>3</v>
      </c>
      <c r="K1263" s="248">
        <v>0.96</v>
      </c>
      <c r="L1263" s="249">
        <v>60416666.666666672</v>
      </c>
    </row>
    <row r="1264" spans="1:12">
      <c r="A1264">
        <v>6248</v>
      </c>
      <c r="C1264">
        <v>0</v>
      </c>
      <c r="D1264">
        <v>1</v>
      </c>
      <c r="E1264">
        <v>0</v>
      </c>
      <c r="F1264">
        <v>1</v>
      </c>
      <c r="G1264">
        <v>0</v>
      </c>
      <c r="H1264">
        <f t="shared" si="19"/>
        <v>2</v>
      </c>
      <c r="K1264" s="248">
        <v>0.54</v>
      </c>
      <c r="L1264" s="249">
        <v>35185185.185185187</v>
      </c>
    </row>
    <row r="1265" spans="1:12">
      <c r="A1265">
        <v>6250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f t="shared" si="19"/>
        <v>0</v>
      </c>
      <c r="K1265" s="248">
        <v>-1.86</v>
      </c>
      <c r="L1265" s="249">
        <v>18279569.892473117</v>
      </c>
    </row>
    <row r="1266" spans="1:12">
      <c r="A1266">
        <v>6251</v>
      </c>
      <c r="C1266">
        <v>0</v>
      </c>
      <c r="D1266">
        <v>1</v>
      </c>
      <c r="E1266">
        <v>0</v>
      </c>
      <c r="F1266">
        <v>1</v>
      </c>
      <c r="G1266">
        <v>0</v>
      </c>
      <c r="H1266">
        <f t="shared" si="19"/>
        <v>2</v>
      </c>
      <c r="K1266" s="248">
        <v>0.17</v>
      </c>
      <c r="L1266" s="249">
        <v>294117647.05882353</v>
      </c>
    </row>
    <row r="1267" spans="1:12">
      <c r="A1267">
        <v>6257</v>
      </c>
      <c r="C1267">
        <v>0</v>
      </c>
      <c r="D1267">
        <v>0</v>
      </c>
      <c r="E1267">
        <v>1</v>
      </c>
      <c r="F1267">
        <v>1</v>
      </c>
      <c r="G1267">
        <v>0</v>
      </c>
      <c r="H1267">
        <f t="shared" si="19"/>
        <v>2</v>
      </c>
      <c r="K1267" s="248">
        <v>0.59</v>
      </c>
      <c r="L1267" s="249">
        <v>361016949.15254241</v>
      </c>
    </row>
    <row r="1268" spans="1:12">
      <c r="A1268">
        <v>6259</v>
      </c>
      <c r="C1268">
        <v>0</v>
      </c>
      <c r="D1268">
        <v>1</v>
      </c>
      <c r="E1268">
        <v>0</v>
      </c>
      <c r="F1268">
        <v>0</v>
      </c>
      <c r="G1268">
        <v>0</v>
      </c>
      <c r="H1268">
        <f t="shared" si="19"/>
        <v>1</v>
      </c>
      <c r="K1268" s="248">
        <v>-0.39</v>
      </c>
      <c r="L1268" s="249">
        <v>71794871.794871792</v>
      </c>
    </row>
    <row r="1269" spans="1:12">
      <c r="A1269">
        <v>6261</v>
      </c>
      <c r="C1269">
        <v>0</v>
      </c>
      <c r="D1269">
        <v>0</v>
      </c>
      <c r="E1269">
        <v>0</v>
      </c>
      <c r="F1269">
        <v>1</v>
      </c>
      <c r="G1269">
        <v>0</v>
      </c>
      <c r="H1269">
        <f t="shared" si="19"/>
        <v>1</v>
      </c>
      <c r="K1269" s="248">
        <v>0.8</v>
      </c>
      <c r="L1269" s="249">
        <v>127500000</v>
      </c>
    </row>
    <row r="1270" spans="1:12">
      <c r="A1270">
        <v>6263</v>
      </c>
      <c r="C1270">
        <v>0</v>
      </c>
      <c r="D1270">
        <v>1</v>
      </c>
      <c r="E1270">
        <v>0</v>
      </c>
      <c r="F1270">
        <v>1</v>
      </c>
      <c r="G1270">
        <v>0</v>
      </c>
      <c r="H1270">
        <f t="shared" si="19"/>
        <v>2</v>
      </c>
      <c r="K1270" s="248">
        <v>1.07</v>
      </c>
      <c r="L1270" s="249">
        <v>62616822.42990654</v>
      </c>
    </row>
    <row r="1271" spans="1:12">
      <c r="A1271">
        <v>6264</v>
      </c>
      <c r="C1271">
        <v>0</v>
      </c>
      <c r="D1271">
        <v>1</v>
      </c>
      <c r="E1271">
        <v>0</v>
      </c>
      <c r="F1271">
        <v>0</v>
      </c>
      <c r="G1271">
        <v>0</v>
      </c>
      <c r="H1271">
        <f t="shared" si="19"/>
        <v>1</v>
      </c>
      <c r="K1271" s="248">
        <v>-0.23</v>
      </c>
      <c r="L1271" s="249">
        <v>139130434.78260869</v>
      </c>
    </row>
    <row r="1272" spans="1:12">
      <c r="A1272">
        <v>6265</v>
      </c>
      <c r="C1272">
        <v>0</v>
      </c>
      <c r="D1272">
        <v>1</v>
      </c>
      <c r="E1272">
        <v>1</v>
      </c>
      <c r="F1272">
        <v>1</v>
      </c>
      <c r="G1272">
        <v>0</v>
      </c>
      <c r="H1272">
        <f t="shared" si="19"/>
        <v>3</v>
      </c>
      <c r="K1272" s="248">
        <v>0.41</v>
      </c>
      <c r="L1272" s="249">
        <v>117073170.73170732</v>
      </c>
    </row>
    <row r="1273" spans="1:12">
      <c r="A1273">
        <v>6266</v>
      </c>
      <c r="C1273">
        <v>0</v>
      </c>
      <c r="D1273">
        <v>1</v>
      </c>
      <c r="E1273">
        <v>2</v>
      </c>
      <c r="F1273">
        <v>1</v>
      </c>
      <c r="G1273">
        <v>0</v>
      </c>
      <c r="H1273">
        <f t="shared" si="19"/>
        <v>4</v>
      </c>
      <c r="K1273" s="248">
        <v>0.23</v>
      </c>
      <c r="L1273" s="249">
        <v>86956521.739130437</v>
      </c>
    </row>
    <row r="1274" spans="1:12">
      <c r="A1274">
        <v>6269</v>
      </c>
      <c r="C1274">
        <v>0</v>
      </c>
      <c r="D1274">
        <v>1</v>
      </c>
      <c r="E1274">
        <v>0</v>
      </c>
      <c r="F1274">
        <v>1</v>
      </c>
      <c r="G1274">
        <v>0</v>
      </c>
      <c r="H1274">
        <f t="shared" si="19"/>
        <v>2</v>
      </c>
      <c r="K1274" s="248">
        <v>3.34</v>
      </c>
      <c r="L1274" s="249">
        <v>269161676.64670658</v>
      </c>
    </row>
    <row r="1275" spans="1:12">
      <c r="A1275">
        <v>6270</v>
      </c>
      <c r="C1275">
        <v>0</v>
      </c>
      <c r="D1275">
        <v>1</v>
      </c>
      <c r="E1275">
        <v>2</v>
      </c>
      <c r="F1275">
        <v>0</v>
      </c>
      <c r="G1275">
        <v>0</v>
      </c>
      <c r="H1275">
        <f t="shared" si="19"/>
        <v>3</v>
      </c>
      <c r="K1275" s="248">
        <v>0.12</v>
      </c>
      <c r="L1275" s="249">
        <v>75000000</v>
      </c>
    </row>
    <row r="1276" spans="1:12">
      <c r="A1276">
        <v>6271</v>
      </c>
      <c r="C1276">
        <v>0</v>
      </c>
      <c r="D1276">
        <v>1</v>
      </c>
      <c r="E1276">
        <v>0</v>
      </c>
      <c r="F1276">
        <v>1</v>
      </c>
      <c r="G1276">
        <v>0</v>
      </c>
      <c r="H1276">
        <f t="shared" si="19"/>
        <v>2</v>
      </c>
      <c r="K1276" s="248">
        <v>2.44</v>
      </c>
      <c r="L1276" s="249">
        <v>162704918.03278688</v>
      </c>
    </row>
    <row r="1277" spans="1:12">
      <c r="A1277">
        <v>6274</v>
      </c>
      <c r="C1277">
        <v>1</v>
      </c>
      <c r="D1277">
        <v>1</v>
      </c>
      <c r="E1277">
        <v>0</v>
      </c>
      <c r="F1277">
        <v>1</v>
      </c>
      <c r="G1277">
        <v>0</v>
      </c>
      <c r="H1277">
        <f t="shared" si="19"/>
        <v>3</v>
      </c>
      <c r="K1277" s="248">
        <v>0.92</v>
      </c>
      <c r="L1277" s="249">
        <v>241304347.82608694</v>
      </c>
    </row>
    <row r="1278" spans="1:12">
      <c r="A1278">
        <v>6275</v>
      </c>
      <c r="C1278">
        <v>0</v>
      </c>
      <c r="D1278">
        <v>1</v>
      </c>
      <c r="E1278">
        <v>0</v>
      </c>
      <c r="F1278">
        <v>0</v>
      </c>
      <c r="G1278">
        <v>0</v>
      </c>
      <c r="H1278">
        <f t="shared" si="19"/>
        <v>1</v>
      </c>
      <c r="K1278" s="248">
        <v>0.15</v>
      </c>
      <c r="L1278" s="249">
        <v>53333333.333333336</v>
      </c>
    </row>
    <row r="1279" spans="1:12">
      <c r="A1279">
        <v>6276</v>
      </c>
      <c r="C1279">
        <v>0</v>
      </c>
      <c r="D1279">
        <v>0</v>
      </c>
      <c r="E1279">
        <v>1</v>
      </c>
      <c r="F1279">
        <v>1</v>
      </c>
      <c r="G1279">
        <v>0</v>
      </c>
      <c r="H1279">
        <f t="shared" si="19"/>
        <v>2</v>
      </c>
      <c r="K1279" s="248">
        <v>-0.62</v>
      </c>
      <c r="L1279" s="249">
        <v>43548387.096774191</v>
      </c>
    </row>
    <row r="1280" spans="1:12">
      <c r="A1280">
        <v>6277</v>
      </c>
      <c r="C1280">
        <v>0</v>
      </c>
      <c r="D1280">
        <v>1</v>
      </c>
      <c r="E1280">
        <v>0</v>
      </c>
      <c r="F1280">
        <v>1</v>
      </c>
      <c r="G1280">
        <v>0</v>
      </c>
      <c r="H1280">
        <f t="shared" si="19"/>
        <v>2</v>
      </c>
      <c r="K1280" s="248">
        <v>1.62</v>
      </c>
      <c r="L1280" s="249">
        <v>119753086.41975307</v>
      </c>
    </row>
    <row r="1281" spans="1:12">
      <c r="A1281">
        <v>6278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f t="shared" si="19"/>
        <v>1</v>
      </c>
      <c r="K1281" s="248">
        <v>0.78</v>
      </c>
      <c r="L1281" s="249">
        <v>294871794.87179488</v>
      </c>
    </row>
    <row r="1282" spans="1:12">
      <c r="A1282">
        <v>6279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f t="shared" ref="H1282:H1345" si="20">SUM(C1282:G1282)</f>
        <v>1</v>
      </c>
      <c r="K1282" s="248">
        <v>2.0299999999999998</v>
      </c>
      <c r="L1282" s="249">
        <v>97044334.975369468</v>
      </c>
    </row>
    <row r="1283" spans="1:12">
      <c r="A1283">
        <v>6281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f t="shared" si="20"/>
        <v>0</v>
      </c>
      <c r="K1283" s="248">
        <v>0.88</v>
      </c>
      <c r="L1283" s="249">
        <v>98863636.36363636</v>
      </c>
    </row>
    <row r="1284" spans="1:12">
      <c r="A1284">
        <v>6282</v>
      </c>
      <c r="C1284">
        <v>0</v>
      </c>
      <c r="D1284">
        <v>1</v>
      </c>
      <c r="E1284">
        <v>2</v>
      </c>
      <c r="F1284">
        <v>0</v>
      </c>
      <c r="G1284">
        <v>0</v>
      </c>
      <c r="H1284">
        <f t="shared" si="20"/>
        <v>3</v>
      </c>
      <c r="K1284" s="248">
        <v>0.56000000000000005</v>
      </c>
      <c r="L1284" s="249">
        <v>519642857.14285707</v>
      </c>
    </row>
    <row r="1285" spans="1:12">
      <c r="A1285">
        <v>6283</v>
      </c>
      <c r="C1285">
        <v>0</v>
      </c>
      <c r="D1285">
        <v>1</v>
      </c>
      <c r="E1285">
        <v>1</v>
      </c>
      <c r="F1285">
        <v>0</v>
      </c>
      <c r="G1285">
        <v>0</v>
      </c>
      <c r="H1285">
        <f t="shared" si="20"/>
        <v>2</v>
      </c>
      <c r="K1285" s="248">
        <v>-7.0000000000000007E-2</v>
      </c>
      <c r="L1285" s="249">
        <v>142857142.85714284</v>
      </c>
    </row>
    <row r="1286" spans="1:12">
      <c r="A1286">
        <v>6284</v>
      </c>
      <c r="C1286">
        <v>0</v>
      </c>
      <c r="D1286">
        <v>1</v>
      </c>
      <c r="E1286">
        <v>2</v>
      </c>
      <c r="F1286">
        <v>1</v>
      </c>
      <c r="G1286">
        <v>0</v>
      </c>
      <c r="H1286">
        <f t="shared" si="20"/>
        <v>4</v>
      </c>
      <c r="K1286" s="248">
        <v>0.57999999999999996</v>
      </c>
      <c r="L1286" s="249">
        <v>94827586.206896558</v>
      </c>
    </row>
    <row r="1287" spans="1:12">
      <c r="A1287">
        <v>6285</v>
      </c>
      <c r="C1287">
        <v>1</v>
      </c>
      <c r="D1287">
        <v>1</v>
      </c>
      <c r="E1287">
        <v>0</v>
      </c>
      <c r="F1287">
        <v>1</v>
      </c>
      <c r="G1287">
        <v>1</v>
      </c>
      <c r="H1287">
        <f t="shared" si="20"/>
        <v>4</v>
      </c>
      <c r="K1287" s="248">
        <v>1.83</v>
      </c>
      <c r="L1287" s="249">
        <v>330601092.89617485</v>
      </c>
    </row>
    <row r="1288" spans="1:12">
      <c r="A1288">
        <v>6286</v>
      </c>
      <c r="C1288">
        <v>1</v>
      </c>
      <c r="D1288">
        <v>1</v>
      </c>
      <c r="E1288">
        <v>2</v>
      </c>
      <c r="F1288">
        <v>1</v>
      </c>
      <c r="G1288">
        <v>1</v>
      </c>
      <c r="H1288">
        <f t="shared" si="20"/>
        <v>6</v>
      </c>
      <c r="K1288" s="248">
        <v>2.93</v>
      </c>
      <c r="L1288" s="249">
        <v>148464163.82252559</v>
      </c>
    </row>
    <row r="1289" spans="1:12">
      <c r="A1289">
        <v>6287</v>
      </c>
      <c r="C1289">
        <v>0</v>
      </c>
      <c r="D1289">
        <v>1</v>
      </c>
      <c r="E1289">
        <v>0</v>
      </c>
      <c r="F1289">
        <v>1</v>
      </c>
      <c r="G1289">
        <v>1</v>
      </c>
      <c r="H1289">
        <f t="shared" si="20"/>
        <v>3</v>
      </c>
      <c r="K1289" s="248">
        <v>-0.38</v>
      </c>
      <c r="L1289" s="249">
        <v>181578947.36842105</v>
      </c>
    </row>
    <row r="1290" spans="1:12">
      <c r="A1290">
        <v>6289</v>
      </c>
      <c r="C1290">
        <v>0</v>
      </c>
      <c r="D1290">
        <v>0</v>
      </c>
      <c r="E1290">
        <v>2</v>
      </c>
      <c r="F1290">
        <v>0</v>
      </c>
      <c r="G1290">
        <v>0</v>
      </c>
      <c r="H1290">
        <f t="shared" si="20"/>
        <v>2</v>
      </c>
      <c r="K1290" s="248">
        <v>-0.25</v>
      </c>
      <c r="L1290" s="249">
        <v>264000000</v>
      </c>
    </row>
    <row r="1291" spans="1:12">
      <c r="A1291">
        <v>6290</v>
      </c>
      <c r="C1291">
        <v>0</v>
      </c>
      <c r="D1291">
        <v>1</v>
      </c>
      <c r="E1291">
        <v>0</v>
      </c>
      <c r="F1291">
        <v>0</v>
      </c>
      <c r="G1291">
        <v>0</v>
      </c>
      <c r="H1291">
        <f t="shared" si="20"/>
        <v>1</v>
      </c>
      <c r="K1291" s="248">
        <v>0.78</v>
      </c>
      <c r="L1291" s="249">
        <v>134615384.61538461</v>
      </c>
    </row>
    <row r="1292" spans="1:12">
      <c r="A1292">
        <v>6291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f t="shared" si="20"/>
        <v>0</v>
      </c>
      <c r="K1292" s="248">
        <v>-0.45</v>
      </c>
      <c r="L1292" s="249">
        <v>26666666.666666664</v>
      </c>
    </row>
    <row r="1293" spans="1:12">
      <c r="A1293">
        <v>6292</v>
      </c>
      <c r="C1293">
        <v>0</v>
      </c>
      <c r="D1293">
        <v>0</v>
      </c>
      <c r="E1293">
        <v>1</v>
      </c>
      <c r="F1293">
        <v>1</v>
      </c>
      <c r="G1293">
        <v>0</v>
      </c>
      <c r="H1293">
        <f t="shared" si="20"/>
        <v>2</v>
      </c>
      <c r="K1293" s="248">
        <v>0.44</v>
      </c>
      <c r="L1293" s="249">
        <v>47727272.727272727</v>
      </c>
    </row>
    <row r="1294" spans="1:12">
      <c r="A1294">
        <v>6294</v>
      </c>
      <c r="C1294">
        <v>0</v>
      </c>
      <c r="D1294">
        <v>1</v>
      </c>
      <c r="E1294">
        <v>0</v>
      </c>
      <c r="F1294">
        <v>1</v>
      </c>
      <c r="G1294">
        <v>0</v>
      </c>
      <c r="H1294">
        <f t="shared" si="20"/>
        <v>2</v>
      </c>
      <c r="K1294" s="248">
        <v>1.06</v>
      </c>
      <c r="L1294" s="249">
        <v>16981132.075471696</v>
      </c>
    </row>
    <row r="1295" spans="1:12">
      <c r="A1295">
        <v>6298</v>
      </c>
      <c r="C1295">
        <v>0</v>
      </c>
      <c r="D1295">
        <v>1</v>
      </c>
      <c r="E1295">
        <v>1</v>
      </c>
      <c r="F1295">
        <v>1</v>
      </c>
      <c r="G1295">
        <v>0</v>
      </c>
      <c r="H1295">
        <f t="shared" si="20"/>
        <v>3</v>
      </c>
      <c r="K1295" s="248">
        <v>0.66</v>
      </c>
      <c r="L1295" s="249">
        <v>168181818.18181819</v>
      </c>
    </row>
    <row r="1296" spans="1:12">
      <c r="A1296">
        <v>6404</v>
      </c>
      <c r="C1296">
        <v>0</v>
      </c>
      <c r="D1296">
        <v>0</v>
      </c>
      <c r="E1296">
        <v>1</v>
      </c>
      <c r="F1296">
        <v>0</v>
      </c>
      <c r="G1296">
        <v>0</v>
      </c>
      <c r="H1296">
        <f t="shared" si="20"/>
        <v>1</v>
      </c>
      <c r="K1296" s="248">
        <v>0.64</v>
      </c>
      <c r="L1296" s="249">
        <v>37500000</v>
      </c>
    </row>
    <row r="1297" spans="1:12">
      <c r="A1297">
        <v>6405</v>
      </c>
      <c r="C1297">
        <v>0</v>
      </c>
      <c r="D1297">
        <v>1</v>
      </c>
      <c r="E1297">
        <v>1</v>
      </c>
      <c r="F1297">
        <v>0</v>
      </c>
      <c r="G1297">
        <v>0</v>
      </c>
      <c r="H1297">
        <f t="shared" si="20"/>
        <v>2</v>
      </c>
      <c r="K1297" s="248">
        <v>0.49</v>
      </c>
      <c r="L1297" s="249">
        <v>65306122.448979594</v>
      </c>
    </row>
    <row r="1298" spans="1:12">
      <c r="A1298">
        <v>6409</v>
      </c>
      <c r="C1298">
        <v>1</v>
      </c>
      <c r="D1298">
        <v>1</v>
      </c>
      <c r="E1298">
        <v>0</v>
      </c>
      <c r="F1298">
        <v>1</v>
      </c>
      <c r="G1298">
        <v>0</v>
      </c>
      <c r="H1298">
        <f t="shared" si="20"/>
        <v>3</v>
      </c>
      <c r="K1298" s="248">
        <v>6.05</v>
      </c>
      <c r="L1298" s="249">
        <v>74380165.2892562</v>
      </c>
    </row>
    <row r="1299" spans="1:12">
      <c r="A1299">
        <v>6411</v>
      </c>
      <c r="C1299">
        <v>1</v>
      </c>
      <c r="D1299">
        <v>1</v>
      </c>
      <c r="E1299">
        <v>0</v>
      </c>
      <c r="F1299">
        <v>0</v>
      </c>
      <c r="G1299">
        <v>0</v>
      </c>
      <c r="H1299">
        <f t="shared" si="20"/>
        <v>2</v>
      </c>
      <c r="K1299" s="248">
        <v>1.1100000000000001</v>
      </c>
      <c r="L1299" s="249">
        <v>63063063.063063055</v>
      </c>
    </row>
    <row r="1300" spans="1:12">
      <c r="A1300">
        <v>6412</v>
      </c>
      <c r="C1300">
        <v>0</v>
      </c>
      <c r="D1300">
        <v>0</v>
      </c>
      <c r="E1300">
        <v>0</v>
      </c>
      <c r="F1300">
        <v>1</v>
      </c>
      <c r="G1300">
        <v>0</v>
      </c>
      <c r="H1300">
        <f t="shared" si="20"/>
        <v>1</v>
      </c>
      <c r="K1300" s="248">
        <v>0.81</v>
      </c>
      <c r="L1300" s="249">
        <v>360493827.16049379</v>
      </c>
    </row>
    <row r="1301" spans="1:12">
      <c r="A1301">
        <v>6414</v>
      </c>
      <c r="C1301">
        <v>1</v>
      </c>
      <c r="D1301">
        <v>1</v>
      </c>
      <c r="E1301">
        <v>0</v>
      </c>
      <c r="F1301">
        <v>1</v>
      </c>
      <c r="G1301">
        <v>0</v>
      </c>
      <c r="H1301">
        <f t="shared" si="20"/>
        <v>3</v>
      </c>
      <c r="K1301" s="248">
        <v>3.59</v>
      </c>
      <c r="L1301" s="249">
        <v>68802228.412256271</v>
      </c>
    </row>
    <row r="1302" spans="1:12">
      <c r="A1302">
        <v>6415</v>
      </c>
      <c r="C1302">
        <v>0</v>
      </c>
      <c r="D1302">
        <v>1</v>
      </c>
      <c r="E1302">
        <v>0</v>
      </c>
      <c r="F1302">
        <v>1</v>
      </c>
      <c r="G1302">
        <v>0</v>
      </c>
      <c r="H1302">
        <f t="shared" si="20"/>
        <v>2</v>
      </c>
      <c r="K1302" s="248">
        <v>3.68</v>
      </c>
      <c r="L1302" s="249">
        <v>76902173.913043469</v>
      </c>
    </row>
    <row r="1303" spans="1:12">
      <c r="A1303">
        <v>6417</v>
      </c>
      <c r="C1303">
        <v>1</v>
      </c>
      <c r="D1303">
        <v>1</v>
      </c>
      <c r="E1303">
        <v>0</v>
      </c>
      <c r="F1303">
        <v>1</v>
      </c>
      <c r="G1303">
        <v>0</v>
      </c>
      <c r="H1303">
        <f t="shared" si="20"/>
        <v>3</v>
      </c>
      <c r="K1303" s="248">
        <v>1.04</v>
      </c>
      <c r="L1303" s="249">
        <v>31730769.230769228</v>
      </c>
    </row>
    <row r="1304" spans="1:12">
      <c r="A1304">
        <v>6419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f t="shared" si="20"/>
        <v>0</v>
      </c>
      <c r="K1304" s="248">
        <v>0.35</v>
      </c>
      <c r="L1304" s="249">
        <v>22857142.857142858</v>
      </c>
    </row>
    <row r="1305" spans="1:12">
      <c r="A1305">
        <v>6422</v>
      </c>
      <c r="C1305">
        <v>0</v>
      </c>
      <c r="D1305">
        <v>1</v>
      </c>
      <c r="E1305">
        <v>0</v>
      </c>
      <c r="F1305">
        <v>0</v>
      </c>
      <c r="G1305">
        <v>0</v>
      </c>
      <c r="H1305">
        <f t="shared" si="20"/>
        <v>1</v>
      </c>
      <c r="K1305" s="248">
        <v>1.58</v>
      </c>
      <c r="L1305" s="249">
        <v>36708860.759493671</v>
      </c>
    </row>
    <row r="1306" spans="1:12">
      <c r="A1306">
        <v>6426</v>
      </c>
      <c r="C1306">
        <v>1</v>
      </c>
      <c r="D1306">
        <v>1</v>
      </c>
      <c r="E1306">
        <v>0</v>
      </c>
      <c r="F1306">
        <v>1</v>
      </c>
      <c r="G1306">
        <v>0</v>
      </c>
      <c r="H1306">
        <f t="shared" si="20"/>
        <v>3</v>
      </c>
      <c r="K1306" s="248">
        <v>1.1000000000000001</v>
      </c>
      <c r="L1306" s="249">
        <v>31818181.818181816</v>
      </c>
    </row>
    <row r="1307" spans="1:12">
      <c r="A1307">
        <v>6431</v>
      </c>
      <c r="C1307">
        <v>0</v>
      </c>
      <c r="D1307">
        <v>1</v>
      </c>
      <c r="E1307">
        <v>0</v>
      </c>
      <c r="F1307">
        <v>0</v>
      </c>
      <c r="G1307">
        <v>0</v>
      </c>
      <c r="H1307">
        <f t="shared" si="20"/>
        <v>1</v>
      </c>
      <c r="K1307" s="248">
        <v>-0.24</v>
      </c>
      <c r="L1307" s="249">
        <v>45833333.333333336</v>
      </c>
    </row>
    <row r="1308" spans="1:12">
      <c r="A1308">
        <v>6432</v>
      </c>
      <c r="C1308">
        <v>1</v>
      </c>
      <c r="D1308">
        <v>1</v>
      </c>
      <c r="E1308">
        <v>2</v>
      </c>
      <c r="F1308">
        <v>1</v>
      </c>
      <c r="G1308">
        <v>1</v>
      </c>
      <c r="H1308">
        <f t="shared" si="20"/>
        <v>6</v>
      </c>
      <c r="K1308" s="248">
        <v>1.58</v>
      </c>
      <c r="L1308" s="249">
        <v>18987341.772151899</v>
      </c>
    </row>
    <row r="1309" spans="1:12">
      <c r="A1309">
        <v>6442</v>
      </c>
      <c r="C1309">
        <v>1</v>
      </c>
      <c r="D1309">
        <v>1</v>
      </c>
      <c r="E1309">
        <v>0</v>
      </c>
      <c r="F1309">
        <v>1</v>
      </c>
      <c r="G1309">
        <v>1</v>
      </c>
      <c r="H1309">
        <f t="shared" si="20"/>
        <v>4</v>
      </c>
      <c r="K1309" s="248">
        <v>1.81</v>
      </c>
      <c r="L1309" s="249">
        <v>65193370.165745854</v>
      </c>
    </row>
    <row r="1310" spans="1:12">
      <c r="A1310">
        <v>6443</v>
      </c>
      <c r="C1310">
        <v>1</v>
      </c>
      <c r="D1310">
        <v>0</v>
      </c>
      <c r="E1310">
        <v>0</v>
      </c>
      <c r="F1310">
        <v>0</v>
      </c>
      <c r="G1310">
        <v>0</v>
      </c>
      <c r="H1310">
        <f t="shared" si="20"/>
        <v>1</v>
      </c>
      <c r="K1310" s="248">
        <v>0.2</v>
      </c>
      <c r="L1310" s="249">
        <v>325000000</v>
      </c>
    </row>
    <row r="1311" spans="1:12">
      <c r="A1311">
        <v>6449</v>
      </c>
      <c r="C1311">
        <v>1</v>
      </c>
      <c r="D1311">
        <v>1</v>
      </c>
      <c r="E1311">
        <v>1</v>
      </c>
      <c r="F1311">
        <v>0</v>
      </c>
      <c r="G1311">
        <v>1</v>
      </c>
      <c r="H1311">
        <f t="shared" si="20"/>
        <v>4</v>
      </c>
      <c r="K1311" s="248">
        <v>0.94</v>
      </c>
      <c r="L1311" s="249">
        <v>72340425.531914905</v>
      </c>
    </row>
    <row r="1312" spans="1:12">
      <c r="A1312">
        <v>6451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f t="shared" si="20"/>
        <v>1</v>
      </c>
      <c r="K1312" s="248">
        <v>3.36</v>
      </c>
      <c r="L1312" s="249">
        <v>105357142.85714287</v>
      </c>
    </row>
    <row r="1313" spans="1:12">
      <c r="A1313">
        <v>6452</v>
      </c>
      <c r="C1313">
        <v>0</v>
      </c>
      <c r="D1313">
        <v>1</v>
      </c>
      <c r="E1313">
        <v>0</v>
      </c>
      <c r="F1313">
        <v>1</v>
      </c>
      <c r="G1313">
        <v>0</v>
      </c>
      <c r="H1313">
        <f t="shared" si="20"/>
        <v>2</v>
      </c>
      <c r="K1313" s="248">
        <v>4.03</v>
      </c>
      <c r="L1313" s="249">
        <v>63771712.158808932</v>
      </c>
    </row>
    <row r="1314" spans="1:12">
      <c r="A1314">
        <v>6456</v>
      </c>
      <c r="C1314">
        <v>1</v>
      </c>
      <c r="D1314">
        <v>1</v>
      </c>
      <c r="E1314">
        <v>1</v>
      </c>
      <c r="F1314">
        <v>1</v>
      </c>
      <c r="G1314">
        <v>0</v>
      </c>
      <c r="H1314">
        <f t="shared" si="20"/>
        <v>4</v>
      </c>
      <c r="K1314" s="248">
        <v>3.11</v>
      </c>
      <c r="L1314" s="249">
        <v>307395498.39228296</v>
      </c>
    </row>
    <row r="1315" spans="1:12">
      <c r="A1315">
        <v>6457</v>
      </c>
      <c r="C1315">
        <v>1</v>
      </c>
      <c r="D1315">
        <v>1</v>
      </c>
      <c r="E1315">
        <v>0</v>
      </c>
      <c r="F1315">
        <v>1</v>
      </c>
      <c r="G1315">
        <v>0</v>
      </c>
      <c r="H1315">
        <f t="shared" si="20"/>
        <v>3</v>
      </c>
      <c r="K1315" s="248">
        <v>0.88</v>
      </c>
      <c r="L1315" s="249">
        <v>27272727.272727273</v>
      </c>
    </row>
    <row r="1316" spans="1:12">
      <c r="A1316">
        <v>6488</v>
      </c>
      <c r="C1316">
        <v>0</v>
      </c>
      <c r="D1316">
        <v>1</v>
      </c>
      <c r="E1316">
        <v>0</v>
      </c>
      <c r="F1316">
        <v>1</v>
      </c>
      <c r="G1316">
        <v>0</v>
      </c>
      <c r="H1316">
        <f t="shared" si="20"/>
        <v>2</v>
      </c>
      <c r="K1316" s="248">
        <v>1.69</v>
      </c>
      <c r="L1316" s="249">
        <v>351479289.94082844</v>
      </c>
    </row>
    <row r="1317" spans="1:12">
      <c r="A1317">
        <v>6504</v>
      </c>
      <c r="C1317">
        <v>0</v>
      </c>
      <c r="D1317">
        <v>1</v>
      </c>
      <c r="E1317">
        <v>0</v>
      </c>
      <c r="F1317">
        <v>1</v>
      </c>
      <c r="G1317">
        <v>0</v>
      </c>
      <c r="H1317">
        <f t="shared" si="20"/>
        <v>2</v>
      </c>
      <c r="K1317" s="248">
        <v>1.82</v>
      </c>
      <c r="L1317" s="249">
        <v>72527472.527472526</v>
      </c>
    </row>
    <row r="1318" spans="1:12">
      <c r="A1318">
        <v>6505</v>
      </c>
      <c r="C1318">
        <v>0</v>
      </c>
      <c r="D1318">
        <v>1</v>
      </c>
      <c r="E1318">
        <v>0</v>
      </c>
      <c r="F1318">
        <v>1</v>
      </c>
      <c r="G1318">
        <v>0</v>
      </c>
      <c r="H1318">
        <f t="shared" si="20"/>
        <v>2</v>
      </c>
      <c r="K1318" s="248">
        <v>0.94</v>
      </c>
      <c r="L1318" s="249">
        <v>9537234042.5531921</v>
      </c>
    </row>
    <row r="1319" spans="1:12">
      <c r="A1319">
        <v>6506</v>
      </c>
      <c r="C1319">
        <v>0</v>
      </c>
      <c r="D1319">
        <v>1</v>
      </c>
      <c r="E1319">
        <v>0</v>
      </c>
      <c r="F1319">
        <v>0</v>
      </c>
      <c r="G1319">
        <v>0</v>
      </c>
      <c r="H1319">
        <f t="shared" si="20"/>
        <v>1</v>
      </c>
      <c r="K1319" s="248">
        <v>0.11</v>
      </c>
      <c r="L1319" s="249">
        <v>63636363.636363633</v>
      </c>
    </row>
    <row r="1320" spans="1:12">
      <c r="A1320">
        <v>6508</v>
      </c>
      <c r="C1320">
        <v>0</v>
      </c>
      <c r="D1320">
        <v>1</v>
      </c>
      <c r="E1320">
        <v>0</v>
      </c>
      <c r="F1320">
        <v>0</v>
      </c>
      <c r="G1320">
        <v>0</v>
      </c>
      <c r="H1320">
        <f t="shared" si="20"/>
        <v>1</v>
      </c>
      <c r="K1320" s="248">
        <v>0.56000000000000005</v>
      </c>
      <c r="L1320" s="249">
        <v>80357142.857142851</v>
      </c>
    </row>
    <row r="1321" spans="1:12">
      <c r="A1321">
        <v>6509</v>
      </c>
      <c r="C1321">
        <v>1</v>
      </c>
      <c r="D1321">
        <v>1</v>
      </c>
      <c r="E1321">
        <v>0</v>
      </c>
      <c r="F1321">
        <v>1</v>
      </c>
      <c r="G1321">
        <v>0</v>
      </c>
      <c r="H1321">
        <f t="shared" si="20"/>
        <v>3</v>
      </c>
      <c r="K1321" s="248">
        <v>0.28999999999999998</v>
      </c>
      <c r="L1321" s="249">
        <v>168965517.24137932</v>
      </c>
    </row>
    <row r="1322" spans="1:12">
      <c r="A1322">
        <v>6603</v>
      </c>
      <c r="C1322">
        <v>0</v>
      </c>
      <c r="D1322">
        <v>1</v>
      </c>
      <c r="E1322">
        <v>1</v>
      </c>
      <c r="F1322">
        <v>0</v>
      </c>
      <c r="G1322">
        <v>0</v>
      </c>
      <c r="H1322">
        <f t="shared" si="20"/>
        <v>2</v>
      </c>
      <c r="K1322" s="248">
        <v>0.06</v>
      </c>
      <c r="L1322" s="249">
        <v>133333333.33333334</v>
      </c>
    </row>
    <row r="1323" spans="1:12">
      <c r="A1323">
        <v>6605</v>
      </c>
      <c r="C1323">
        <v>1</v>
      </c>
      <c r="D1323">
        <v>1</v>
      </c>
      <c r="E1323">
        <v>1</v>
      </c>
      <c r="F1323">
        <v>1</v>
      </c>
      <c r="G1323">
        <v>0</v>
      </c>
      <c r="H1323">
        <f t="shared" si="20"/>
        <v>4</v>
      </c>
      <c r="K1323" s="248">
        <v>3.82</v>
      </c>
      <c r="L1323" s="249">
        <v>165706806.28272253</v>
      </c>
    </row>
    <row r="1324" spans="1:12">
      <c r="A1324">
        <v>6609</v>
      </c>
      <c r="C1324">
        <v>1</v>
      </c>
      <c r="D1324">
        <v>1</v>
      </c>
      <c r="E1324">
        <v>0</v>
      </c>
      <c r="F1324">
        <v>0</v>
      </c>
      <c r="G1324">
        <v>0</v>
      </c>
      <c r="H1324">
        <f t="shared" si="20"/>
        <v>2</v>
      </c>
      <c r="K1324" s="248">
        <v>1.27</v>
      </c>
      <c r="L1324" s="249">
        <v>70866141.732283458</v>
      </c>
    </row>
    <row r="1325" spans="1:12">
      <c r="A1325">
        <v>6702</v>
      </c>
      <c r="C1325">
        <v>0</v>
      </c>
      <c r="D1325">
        <v>1</v>
      </c>
      <c r="E1325">
        <v>1</v>
      </c>
      <c r="F1325">
        <v>0</v>
      </c>
      <c r="G1325">
        <v>0</v>
      </c>
      <c r="H1325">
        <f t="shared" si="20"/>
        <v>2</v>
      </c>
      <c r="K1325" s="248">
        <v>-0.32</v>
      </c>
      <c r="L1325" s="249">
        <v>640625000</v>
      </c>
    </row>
    <row r="1326" spans="1:12">
      <c r="A1326">
        <v>6803</v>
      </c>
      <c r="C1326">
        <v>1</v>
      </c>
      <c r="D1326">
        <v>1</v>
      </c>
      <c r="E1326">
        <v>0</v>
      </c>
      <c r="F1326">
        <v>1</v>
      </c>
      <c r="G1326">
        <v>0</v>
      </c>
      <c r="H1326">
        <f t="shared" si="20"/>
        <v>3</v>
      </c>
      <c r="K1326" s="248">
        <v>3.2</v>
      </c>
      <c r="L1326" s="249">
        <v>65625000</v>
      </c>
    </row>
    <row r="1327" spans="1:12">
      <c r="A1327">
        <v>8011</v>
      </c>
      <c r="C1327">
        <v>0</v>
      </c>
      <c r="D1327">
        <v>0</v>
      </c>
      <c r="E1327">
        <v>1</v>
      </c>
      <c r="F1327">
        <v>0</v>
      </c>
      <c r="G1327">
        <v>0</v>
      </c>
      <c r="H1327">
        <f t="shared" si="20"/>
        <v>1</v>
      </c>
      <c r="K1327" s="248">
        <v>-0.59</v>
      </c>
      <c r="L1327" s="249">
        <v>101694915.25423729</v>
      </c>
    </row>
    <row r="1328" spans="1:12">
      <c r="A1328">
        <v>8016</v>
      </c>
      <c r="C1328">
        <v>1</v>
      </c>
      <c r="D1328">
        <v>1</v>
      </c>
      <c r="E1328">
        <v>0</v>
      </c>
      <c r="F1328">
        <v>1</v>
      </c>
      <c r="G1328">
        <v>0</v>
      </c>
      <c r="H1328">
        <f t="shared" si="20"/>
        <v>3</v>
      </c>
      <c r="K1328" s="248">
        <v>1.97</v>
      </c>
      <c r="L1328" s="249">
        <v>118274111.67512691</v>
      </c>
    </row>
    <row r="1329" spans="1:12">
      <c r="A1329">
        <v>8021</v>
      </c>
      <c r="C1329">
        <v>0</v>
      </c>
      <c r="D1329">
        <v>1</v>
      </c>
      <c r="E1329">
        <v>1</v>
      </c>
      <c r="F1329">
        <v>1</v>
      </c>
      <c r="G1329">
        <v>1</v>
      </c>
      <c r="H1329">
        <f t="shared" si="20"/>
        <v>4</v>
      </c>
      <c r="K1329" s="248">
        <v>0.68</v>
      </c>
      <c r="L1329" s="249">
        <v>160294117.64705881</v>
      </c>
    </row>
    <row r="1330" spans="1:12">
      <c r="A1330">
        <v>8024</v>
      </c>
      <c r="C1330">
        <v>0</v>
      </c>
      <c r="D1330">
        <v>0</v>
      </c>
      <c r="E1330">
        <v>0</v>
      </c>
      <c r="F1330">
        <v>1</v>
      </c>
      <c r="G1330">
        <v>0</v>
      </c>
      <c r="H1330">
        <f t="shared" si="20"/>
        <v>1</v>
      </c>
      <c r="K1330" s="248">
        <v>0.01</v>
      </c>
      <c r="L1330" s="249">
        <v>100000000</v>
      </c>
    </row>
    <row r="1331" spans="1:12">
      <c r="A1331">
        <v>8027</v>
      </c>
      <c r="C1331">
        <v>0</v>
      </c>
      <c r="D1331">
        <v>1</v>
      </c>
      <c r="E1331">
        <v>0</v>
      </c>
      <c r="F1331">
        <v>1</v>
      </c>
      <c r="G1331">
        <v>0</v>
      </c>
      <c r="H1331">
        <f t="shared" si="20"/>
        <v>2</v>
      </c>
      <c r="K1331" s="248">
        <v>0.18</v>
      </c>
      <c r="L1331" s="249">
        <v>55555555.55555556</v>
      </c>
    </row>
    <row r="1332" spans="1:12">
      <c r="A1332">
        <v>8032</v>
      </c>
      <c r="C1332">
        <v>1</v>
      </c>
      <c r="D1332">
        <v>1</v>
      </c>
      <c r="E1332">
        <v>1</v>
      </c>
      <c r="F1332">
        <v>0</v>
      </c>
      <c r="G1332">
        <v>0</v>
      </c>
      <c r="H1332">
        <f t="shared" si="20"/>
        <v>3</v>
      </c>
      <c r="K1332" s="248">
        <v>1.1499999999999999</v>
      </c>
      <c r="L1332" s="249">
        <v>52173913.043478265</v>
      </c>
    </row>
    <row r="1333" spans="1:12">
      <c r="A1333">
        <v>8033</v>
      </c>
      <c r="C1333">
        <v>0</v>
      </c>
      <c r="D1333">
        <v>0</v>
      </c>
      <c r="E1333">
        <v>0</v>
      </c>
      <c r="F1333">
        <v>1</v>
      </c>
      <c r="G1333">
        <v>0</v>
      </c>
      <c r="H1333">
        <f t="shared" si="20"/>
        <v>1</v>
      </c>
      <c r="K1333" s="248">
        <v>-0.27</v>
      </c>
      <c r="L1333" s="249">
        <v>129629629.62962963</v>
      </c>
    </row>
    <row r="1334" spans="1:12">
      <c r="A1334">
        <v>8034</v>
      </c>
      <c r="C1334">
        <v>0</v>
      </c>
      <c r="D1334">
        <v>1</v>
      </c>
      <c r="E1334">
        <v>2</v>
      </c>
      <c r="F1334">
        <v>0</v>
      </c>
      <c r="G1334">
        <v>0</v>
      </c>
      <c r="H1334">
        <f t="shared" si="20"/>
        <v>3</v>
      </c>
      <c r="K1334" s="248">
        <v>-0.01</v>
      </c>
      <c r="L1334" s="249">
        <v>0</v>
      </c>
    </row>
    <row r="1335" spans="1:12">
      <c r="A1335">
        <v>8038</v>
      </c>
      <c r="C1335">
        <v>0</v>
      </c>
      <c r="D1335">
        <v>1</v>
      </c>
      <c r="E1335">
        <v>0</v>
      </c>
      <c r="F1335">
        <v>0</v>
      </c>
      <c r="G1335">
        <v>0</v>
      </c>
      <c r="H1335">
        <f t="shared" si="20"/>
        <v>1</v>
      </c>
      <c r="K1335" s="248">
        <v>-0.02</v>
      </c>
      <c r="L1335" s="249">
        <v>50000000</v>
      </c>
    </row>
    <row r="1336" spans="1:12">
      <c r="A1336">
        <v>8039</v>
      </c>
      <c r="C1336">
        <v>1</v>
      </c>
      <c r="D1336">
        <v>1</v>
      </c>
      <c r="E1336">
        <v>2</v>
      </c>
      <c r="F1336">
        <v>0</v>
      </c>
      <c r="G1336">
        <v>1</v>
      </c>
      <c r="H1336">
        <f t="shared" si="20"/>
        <v>5</v>
      </c>
      <c r="K1336" s="248">
        <v>1.49</v>
      </c>
      <c r="L1336" s="249">
        <v>202013422.81879196</v>
      </c>
    </row>
    <row r="1337" spans="1:12">
      <c r="A1337">
        <v>8040</v>
      </c>
      <c r="C1337">
        <v>0</v>
      </c>
      <c r="D1337">
        <v>1</v>
      </c>
      <c r="E1337">
        <v>0</v>
      </c>
      <c r="F1337">
        <v>0</v>
      </c>
      <c r="G1337">
        <v>0</v>
      </c>
      <c r="H1337">
        <f t="shared" si="20"/>
        <v>1</v>
      </c>
      <c r="K1337" s="248">
        <v>-0.26</v>
      </c>
      <c r="L1337" s="249">
        <v>80769230.769230768</v>
      </c>
    </row>
    <row r="1338" spans="1:12">
      <c r="A1338">
        <v>8042</v>
      </c>
      <c r="C1338">
        <v>0</v>
      </c>
      <c r="D1338">
        <v>0</v>
      </c>
      <c r="E1338">
        <v>2</v>
      </c>
      <c r="F1338">
        <v>0</v>
      </c>
      <c r="G1338">
        <v>0</v>
      </c>
      <c r="H1338">
        <f t="shared" si="20"/>
        <v>2</v>
      </c>
      <c r="K1338" s="248">
        <v>0.77</v>
      </c>
      <c r="L1338" s="249">
        <v>103896103.89610389</v>
      </c>
    </row>
    <row r="1339" spans="1:12">
      <c r="A1339">
        <v>8043</v>
      </c>
      <c r="C1339">
        <v>0</v>
      </c>
      <c r="D1339">
        <v>1</v>
      </c>
      <c r="E1339">
        <v>1</v>
      </c>
      <c r="F1339">
        <v>1</v>
      </c>
      <c r="G1339">
        <v>0</v>
      </c>
      <c r="H1339">
        <f t="shared" si="20"/>
        <v>3</v>
      </c>
      <c r="K1339" s="248">
        <v>1.05</v>
      </c>
      <c r="L1339" s="249">
        <v>80000000</v>
      </c>
    </row>
    <row r="1340" spans="1:12">
      <c r="A1340">
        <v>8044</v>
      </c>
      <c r="C1340">
        <v>0</v>
      </c>
      <c r="D1340">
        <v>1</v>
      </c>
      <c r="E1340">
        <v>0</v>
      </c>
      <c r="F1340">
        <v>0</v>
      </c>
      <c r="G1340">
        <v>0</v>
      </c>
      <c r="H1340">
        <f t="shared" si="20"/>
        <v>1</v>
      </c>
      <c r="K1340" s="248">
        <v>2</v>
      </c>
      <c r="L1340" s="249">
        <v>93000000</v>
      </c>
    </row>
    <row r="1341" spans="1:12">
      <c r="A1341">
        <v>8046</v>
      </c>
      <c r="C1341">
        <v>0</v>
      </c>
      <c r="D1341">
        <v>1</v>
      </c>
      <c r="E1341">
        <v>0</v>
      </c>
      <c r="F1341">
        <v>1</v>
      </c>
      <c r="G1341">
        <v>0</v>
      </c>
      <c r="H1341">
        <f t="shared" si="20"/>
        <v>2</v>
      </c>
      <c r="K1341" s="248">
        <v>0.67</v>
      </c>
      <c r="L1341" s="249">
        <v>646268656.71641791</v>
      </c>
    </row>
    <row r="1342" spans="1:12">
      <c r="A1342">
        <v>8047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f t="shared" si="20"/>
        <v>0</v>
      </c>
      <c r="K1342" s="248">
        <v>0.06</v>
      </c>
      <c r="L1342" s="249">
        <v>50000000</v>
      </c>
    </row>
    <row r="1343" spans="1:12">
      <c r="A1343">
        <v>8048</v>
      </c>
      <c r="C1343">
        <v>1</v>
      </c>
      <c r="D1343">
        <v>1</v>
      </c>
      <c r="E1343">
        <v>2</v>
      </c>
      <c r="F1343">
        <v>1</v>
      </c>
      <c r="G1343">
        <v>0</v>
      </c>
      <c r="H1343">
        <f t="shared" si="20"/>
        <v>5</v>
      </c>
      <c r="K1343" s="248">
        <v>1.49</v>
      </c>
      <c r="L1343" s="249">
        <v>51677852.348993286</v>
      </c>
    </row>
    <row r="1344" spans="1:12">
      <c r="A1344">
        <v>8049</v>
      </c>
      <c r="C1344">
        <v>1</v>
      </c>
      <c r="D1344">
        <v>1</v>
      </c>
      <c r="E1344">
        <v>2</v>
      </c>
      <c r="F1344">
        <v>1</v>
      </c>
      <c r="G1344">
        <v>0</v>
      </c>
      <c r="H1344">
        <f t="shared" si="20"/>
        <v>5</v>
      </c>
      <c r="K1344" s="248">
        <v>0.4</v>
      </c>
      <c r="L1344" s="249">
        <v>127500000</v>
      </c>
    </row>
    <row r="1345" spans="1:12">
      <c r="A1345">
        <v>8050</v>
      </c>
      <c r="C1345">
        <v>0</v>
      </c>
      <c r="D1345">
        <v>1</v>
      </c>
      <c r="E1345">
        <v>0</v>
      </c>
      <c r="F1345">
        <v>1</v>
      </c>
      <c r="G1345">
        <v>0</v>
      </c>
      <c r="H1345">
        <f t="shared" si="20"/>
        <v>2</v>
      </c>
      <c r="K1345" s="248">
        <v>1.4</v>
      </c>
      <c r="L1345" s="249">
        <v>110000000</v>
      </c>
    </row>
    <row r="1346" spans="1:12">
      <c r="A1346">
        <v>8053</v>
      </c>
      <c r="C1346">
        <v>0</v>
      </c>
      <c r="D1346">
        <v>1</v>
      </c>
      <c r="E1346">
        <v>0</v>
      </c>
      <c r="F1346">
        <v>1</v>
      </c>
      <c r="G1346">
        <v>0</v>
      </c>
      <c r="H1346">
        <f t="shared" ref="H1346:H1409" si="21">SUM(C1346:G1346)</f>
        <v>2</v>
      </c>
      <c r="K1346" s="248">
        <v>-0.62</v>
      </c>
      <c r="L1346" s="249">
        <v>409677419.35483873</v>
      </c>
    </row>
    <row r="1347" spans="1:12">
      <c r="A1347">
        <v>8054</v>
      </c>
      <c r="C1347">
        <v>0</v>
      </c>
      <c r="D1347">
        <v>0</v>
      </c>
      <c r="E1347">
        <v>0</v>
      </c>
      <c r="F1347">
        <v>1</v>
      </c>
      <c r="G1347">
        <v>0</v>
      </c>
      <c r="H1347">
        <f t="shared" si="21"/>
        <v>1</v>
      </c>
      <c r="K1347" s="248">
        <v>0.17</v>
      </c>
      <c r="L1347" s="249">
        <v>76470588.235294119</v>
      </c>
    </row>
    <row r="1348" spans="1:12">
      <c r="A1348">
        <v>8059</v>
      </c>
      <c r="C1348">
        <v>0</v>
      </c>
      <c r="D1348">
        <v>1</v>
      </c>
      <c r="E1348">
        <v>0</v>
      </c>
      <c r="F1348">
        <v>0</v>
      </c>
      <c r="G1348">
        <v>0</v>
      </c>
      <c r="H1348">
        <f t="shared" si="21"/>
        <v>1</v>
      </c>
      <c r="K1348" s="248">
        <v>0.19</v>
      </c>
      <c r="L1348" s="249">
        <v>94736842.105263159</v>
      </c>
    </row>
    <row r="1349" spans="1:12">
      <c r="A1349">
        <v>8064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f t="shared" si="21"/>
        <v>1</v>
      </c>
      <c r="K1349" s="248">
        <v>0.12</v>
      </c>
      <c r="L1349" s="249">
        <v>133333333.33333334</v>
      </c>
    </row>
    <row r="1350" spans="1:12">
      <c r="A1350">
        <v>8066</v>
      </c>
      <c r="C1350">
        <v>1</v>
      </c>
      <c r="D1350">
        <v>1</v>
      </c>
      <c r="E1350">
        <v>1</v>
      </c>
      <c r="F1350">
        <v>1</v>
      </c>
      <c r="G1350">
        <v>0</v>
      </c>
      <c r="H1350">
        <f t="shared" si="21"/>
        <v>4</v>
      </c>
      <c r="K1350" s="248">
        <v>2.48</v>
      </c>
      <c r="L1350" s="249">
        <v>24596774.193548389</v>
      </c>
    </row>
    <row r="1351" spans="1:12">
      <c r="A1351">
        <v>8067</v>
      </c>
      <c r="C1351">
        <v>1</v>
      </c>
      <c r="D1351">
        <v>1</v>
      </c>
      <c r="E1351">
        <v>0</v>
      </c>
      <c r="F1351">
        <v>0</v>
      </c>
      <c r="G1351">
        <v>0</v>
      </c>
      <c r="H1351">
        <f t="shared" si="21"/>
        <v>2</v>
      </c>
      <c r="K1351" s="248">
        <v>0.05</v>
      </c>
      <c r="L1351" s="249">
        <v>40000000</v>
      </c>
    </row>
    <row r="1352" spans="1:12">
      <c r="A1352">
        <v>8068</v>
      </c>
      <c r="C1352">
        <v>0</v>
      </c>
      <c r="D1352">
        <v>0</v>
      </c>
      <c r="E1352">
        <v>1</v>
      </c>
      <c r="F1352">
        <v>0</v>
      </c>
      <c r="G1352">
        <v>0</v>
      </c>
      <c r="H1352">
        <f t="shared" si="21"/>
        <v>1</v>
      </c>
      <c r="K1352" s="248">
        <v>0</v>
      </c>
      <c r="L1352" s="249">
        <v>0</v>
      </c>
    </row>
    <row r="1353" spans="1:12">
      <c r="A1353">
        <v>8069</v>
      </c>
      <c r="C1353">
        <v>1</v>
      </c>
      <c r="D1353">
        <v>1</v>
      </c>
      <c r="E1353">
        <v>0</v>
      </c>
      <c r="F1353">
        <v>1</v>
      </c>
      <c r="G1353">
        <v>0</v>
      </c>
      <c r="H1353">
        <f t="shared" si="21"/>
        <v>3</v>
      </c>
      <c r="K1353" s="248">
        <v>0.7</v>
      </c>
      <c r="L1353" s="249">
        <v>1140000000</v>
      </c>
    </row>
    <row r="1354" spans="1:12">
      <c r="A1354">
        <v>8070</v>
      </c>
      <c r="C1354">
        <v>0</v>
      </c>
      <c r="D1354">
        <v>0</v>
      </c>
      <c r="E1354">
        <v>0</v>
      </c>
      <c r="F1354">
        <v>1</v>
      </c>
      <c r="G1354">
        <v>0</v>
      </c>
      <c r="H1354">
        <f t="shared" si="21"/>
        <v>1</v>
      </c>
      <c r="K1354" s="248">
        <v>0.68</v>
      </c>
      <c r="L1354" s="249">
        <v>76470588.235294119</v>
      </c>
    </row>
    <row r="1355" spans="1:12">
      <c r="A1355">
        <v>8071</v>
      </c>
      <c r="C1355">
        <v>0</v>
      </c>
      <c r="D1355">
        <v>0</v>
      </c>
      <c r="E1355">
        <v>0</v>
      </c>
      <c r="F1355">
        <v>0</v>
      </c>
      <c r="G1355">
        <v>1</v>
      </c>
      <c r="H1355">
        <f t="shared" si="21"/>
        <v>1</v>
      </c>
      <c r="K1355" s="248">
        <v>-0.28000000000000003</v>
      </c>
      <c r="L1355" s="249">
        <v>53571428.571428567</v>
      </c>
    </row>
    <row r="1356" spans="1:12">
      <c r="A1356">
        <v>8072</v>
      </c>
      <c r="C1356">
        <v>0</v>
      </c>
      <c r="D1356">
        <v>1</v>
      </c>
      <c r="E1356">
        <v>0</v>
      </c>
      <c r="F1356">
        <v>1</v>
      </c>
      <c r="G1356">
        <v>0</v>
      </c>
      <c r="H1356">
        <f t="shared" si="21"/>
        <v>2</v>
      </c>
      <c r="K1356" s="248">
        <v>0.57999999999999996</v>
      </c>
      <c r="L1356" s="249">
        <v>100000000</v>
      </c>
    </row>
    <row r="1357" spans="1:12">
      <c r="A1357">
        <v>8074</v>
      </c>
      <c r="C1357">
        <v>1</v>
      </c>
      <c r="D1357">
        <v>1</v>
      </c>
      <c r="E1357">
        <v>1</v>
      </c>
      <c r="F1357">
        <v>1</v>
      </c>
      <c r="G1357">
        <v>0</v>
      </c>
      <c r="H1357">
        <f t="shared" si="21"/>
        <v>4</v>
      </c>
      <c r="K1357" s="248">
        <v>0.76</v>
      </c>
      <c r="L1357" s="249">
        <v>63157894.736842103</v>
      </c>
    </row>
    <row r="1358" spans="1:12">
      <c r="A1358">
        <v>8076</v>
      </c>
      <c r="C1358">
        <v>0</v>
      </c>
      <c r="D1358">
        <v>1</v>
      </c>
      <c r="E1358">
        <v>2</v>
      </c>
      <c r="F1358">
        <v>0</v>
      </c>
      <c r="G1358">
        <v>0</v>
      </c>
      <c r="H1358">
        <f t="shared" si="21"/>
        <v>3</v>
      </c>
      <c r="K1358" s="248">
        <v>0.4</v>
      </c>
      <c r="L1358" s="249">
        <v>235000000</v>
      </c>
    </row>
    <row r="1359" spans="1:12">
      <c r="A1359">
        <v>8077</v>
      </c>
      <c r="C1359">
        <v>0</v>
      </c>
      <c r="D1359">
        <v>1</v>
      </c>
      <c r="E1359">
        <v>2</v>
      </c>
      <c r="F1359">
        <v>0</v>
      </c>
      <c r="G1359">
        <v>1</v>
      </c>
      <c r="H1359">
        <f t="shared" si="21"/>
        <v>4</v>
      </c>
      <c r="K1359" s="248">
        <v>-0.25</v>
      </c>
      <c r="L1359" s="249">
        <v>52000000</v>
      </c>
    </row>
    <row r="1360" spans="1:12">
      <c r="A1360">
        <v>8079</v>
      </c>
      <c r="C1360">
        <v>0</v>
      </c>
      <c r="D1360">
        <v>1</v>
      </c>
      <c r="E1360">
        <v>1</v>
      </c>
      <c r="F1360">
        <v>1</v>
      </c>
      <c r="G1360">
        <v>0</v>
      </c>
      <c r="H1360">
        <f t="shared" si="21"/>
        <v>3</v>
      </c>
      <c r="K1360" s="248">
        <v>0.38</v>
      </c>
      <c r="L1360" s="249">
        <v>81578947.368421048</v>
      </c>
    </row>
    <row r="1361" spans="1:12">
      <c r="A1361">
        <v>8080</v>
      </c>
      <c r="C1361">
        <v>0</v>
      </c>
      <c r="D1361">
        <v>0</v>
      </c>
      <c r="E1361">
        <v>1</v>
      </c>
      <c r="F1361">
        <v>0</v>
      </c>
      <c r="G1361">
        <v>0</v>
      </c>
      <c r="H1361">
        <f t="shared" si="21"/>
        <v>1</v>
      </c>
      <c r="K1361" s="248">
        <v>-0.48</v>
      </c>
      <c r="L1361" s="249">
        <v>64583333.333333336</v>
      </c>
    </row>
    <row r="1362" spans="1:12">
      <c r="A1362">
        <v>8081</v>
      </c>
      <c r="C1362">
        <v>0</v>
      </c>
      <c r="D1362">
        <v>1</v>
      </c>
      <c r="E1362">
        <v>0</v>
      </c>
      <c r="F1362">
        <v>1</v>
      </c>
      <c r="G1362">
        <v>0</v>
      </c>
      <c r="H1362">
        <f t="shared" si="21"/>
        <v>2</v>
      </c>
      <c r="K1362" s="248">
        <v>1.77</v>
      </c>
      <c r="L1362" s="249">
        <v>85310734.463276833</v>
      </c>
    </row>
    <row r="1363" spans="1:12">
      <c r="A1363">
        <v>8082</v>
      </c>
      <c r="C1363">
        <v>0</v>
      </c>
      <c r="D1363">
        <v>0</v>
      </c>
      <c r="E1363">
        <v>1</v>
      </c>
      <c r="F1363">
        <v>0</v>
      </c>
      <c r="G1363">
        <v>0</v>
      </c>
      <c r="H1363">
        <f t="shared" si="21"/>
        <v>1</v>
      </c>
      <c r="K1363" s="248">
        <v>-0.03</v>
      </c>
      <c r="L1363" s="249">
        <v>100000000</v>
      </c>
    </row>
    <row r="1364" spans="1:12">
      <c r="A1364">
        <v>8083</v>
      </c>
      <c r="C1364">
        <v>1</v>
      </c>
      <c r="D1364">
        <v>1</v>
      </c>
      <c r="E1364">
        <v>0</v>
      </c>
      <c r="F1364">
        <v>1</v>
      </c>
      <c r="G1364">
        <v>0</v>
      </c>
      <c r="H1364">
        <f t="shared" si="21"/>
        <v>3</v>
      </c>
      <c r="K1364" s="248">
        <v>2.4500000000000002</v>
      </c>
      <c r="L1364" s="249">
        <v>35102040.816326529</v>
      </c>
    </row>
    <row r="1365" spans="1:12">
      <c r="A1365">
        <v>8084</v>
      </c>
      <c r="C1365">
        <v>0</v>
      </c>
      <c r="D1365">
        <v>0</v>
      </c>
      <c r="E1365">
        <v>0</v>
      </c>
      <c r="F1365">
        <v>1</v>
      </c>
      <c r="G1365">
        <v>0</v>
      </c>
      <c r="H1365">
        <f t="shared" si="21"/>
        <v>1</v>
      </c>
      <c r="K1365" s="248">
        <v>-0.53</v>
      </c>
      <c r="L1365" s="249">
        <v>54716981.132075466</v>
      </c>
    </row>
    <row r="1366" spans="1:12">
      <c r="A1366">
        <v>8085</v>
      </c>
      <c r="C1366">
        <v>0</v>
      </c>
      <c r="D1366">
        <v>1</v>
      </c>
      <c r="E1366">
        <v>0</v>
      </c>
      <c r="F1366">
        <v>1</v>
      </c>
      <c r="G1366">
        <v>0</v>
      </c>
      <c r="H1366">
        <f t="shared" si="21"/>
        <v>2</v>
      </c>
      <c r="K1366" s="248">
        <v>-0.18</v>
      </c>
      <c r="L1366" s="249">
        <v>155555555.55555555</v>
      </c>
    </row>
    <row r="1367" spans="1:12">
      <c r="A1367">
        <v>8086</v>
      </c>
      <c r="C1367">
        <v>1</v>
      </c>
      <c r="D1367">
        <v>1</v>
      </c>
      <c r="E1367">
        <v>2</v>
      </c>
      <c r="F1367">
        <v>1</v>
      </c>
      <c r="G1367">
        <v>0</v>
      </c>
      <c r="H1367">
        <f t="shared" si="21"/>
        <v>5</v>
      </c>
      <c r="K1367" s="248">
        <v>2.25</v>
      </c>
      <c r="L1367" s="249">
        <v>139555555.55555555</v>
      </c>
    </row>
    <row r="1368" spans="1:12">
      <c r="A1368">
        <v>8087</v>
      </c>
      <c r="C1368">
        <v>0</v>
      </c>
      <c r="D1368">
        <v>1</v>
      </c>
      <c r="E1368">
        <v>1</v>
      </c>
      <c r="F1368">
        <v>0</v>
      </c>
      <c r="G1368">
        <v>0</v>
      </c>
      <c r="H1368">
        <f t="shared" si="21"/>
        <v>2</v>
      </c>
      <c r="K1368" s="248">
        <v>-0.03</v>
      </c>
      <c r="L1368" s="249">
        <v>33333333.333333336</v>
      </c>
    </row>
    <row r="1369" spans="1:12">
      <c r="A1369">
        <v>8088</v>
      </c>
      <c r="C1369">
        <v>0</v>
      </c>
      <c r="D1369">
        <v>1</v>
      </c>
      <c r="E1369">
        <v>1</v>
      </c>
      <c r="F1369">
        <v>0</v>
      </c>
      <c r="G1369">
        <v>0</v>
      </c>
      <c r="H1369">
        <f t="shared" si="21"/>
        <v>2</v>
      </c>
      <c r="K1369" s="248">
        <v>0.77</v>
      </c>
      <c r="L1369" s="249">
        <v>58441558.441558443</v>
      </c>
    </row>
    <row r="1370" spans="1:12">
      <c r="A1370">
        <v>8091</v>
      </c>
      <c r="C1370">
        <v>0</v>
      </c>
      <c r="D1370">
        <v>0</v>
      </c>
      <c r="E1370">
        <v>1</v>
      </c>
      <c r="F1370">
        <v>0</v>
      </c>
      <c r="G1370">
        <v>0</v>
      </c>
      <c r="H1370">
        <f t="shared" si="21"/>
        <v>1</v>
      </c>
      <c r="K1370" s="248">
        <v>1.62</v>
      </c>
      <c r="L1370" s="249">
        <v>59876543.209876537</v>
      </c>
    </row>
    <row r="1371" spans="1:12">
      <c r="A1371">
        <v>8092</v>
      </c>
      <c r="C1371">
        <v>0</v>
      </c>
      <c r="D1371">
        <v>1</v>
      </c>
      <c r="E1371">
        <v>0</v>
      </c>
      <c r="F1371">
        <v>1</v>
      </c>
      <c r="G1371">
        <v>0</v>
      </c>
      <c r="H1371">
        <f t="shared" si="21"/>
        <v>2</v>
      </c>
      <c r="K1371" s="248">
        <v>-0.16</v>
      </c>
      <c r="L1371" s="249">
        <v>37500000</v>
      </c>
    </row>
    <row r="1372" spans="1:12">
      <c r="A1372">
        <v>8093</v>
      </c>
      <c r="C1372">
        <v>1</v>
      </c>
      <c r="D1372">
        <v>1</v>
      </c>
      <c r="E1372">
        <v>2</v>
      </c>
      <c r="F1372">
        <v>1</v>
      </c>
      <c r="G1372">
        <v>0</v>
      </c>
      <c r="H1372">
        <f t="shared" si="21"/>
        <v>5</v>
      </c>
      <c r="K1372" s="248">
        <v>0.39</v>
      </c>
      <c r="L1372" s="249">
        <v>64102564.102564104</v>
      </c>
    </row>
    <row r="1373" spans="1:12">
      <c r="A1373">
        <v>8096</v>
      </c>
      <c r="C1373">
        <v>0</v>
      </c>
      <c r="D1373">
        <v>1</v>
      </c>
      <c r="E1373">
        <v>2</v>
      </c>
      <c r="F1373">
        <v>0</v>
      </c>
      <c r="G1373">
        <v>0</v>
      </c>
      <c r="H1373">
        <f t="shared" si="21"/>
        <v>3</v>
      </c>
      <c r="K1373" s="248">
        <v>1.18</v>
      </c>
      <c r="L1373" s="249">
        <v>122033898.30508475</v>
      </c>
    </row>
    <row r="1374" spans="1:12">
      <c r="A1374">
        <v>8097</v>
      </c>
      <c r="C1374">
        <v>1</v>
      </c>
      <c r="D1374">
        <v>1</v>
      </c>
      <c r="E1374">
        <v>2</v>
      </c>
      <c r="F1374">
        <v>1</v>
      </c>
      <c r="G1374">
        <v>0</v>
      </c>
      <c r="H1374">
        <f t="shared" si="21"/>
        <v>5</v>
      </c>
      <c r="K1374" s="248">
        <v>-0.2</v>
      </c>
      <c r="L1374" s="249">
        <v>25000000</v>
      </c>
    </row>
    <row r="1375" spans="1:12">
      <c r="A1375">
        <v>8099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f t="shared" si="21"/>
        <v>1</v>
      </c>
      <c r="K1375" s="248">
        <v>0.36</v>
      </c>
      <c r="L1375" s="249">
        <v>66666666.666666672</v>
      </c>
    </row>
    <row r="1376" spans="1:12">
      <c r="A1376">
        <v>8101</v>
      </c>
      <c r="C1376">
        <v>0</v>
      </c>
      <c r="D1376">
        <v>1</v>
      </c>
      <c r="E1376">
        <v>2</v>
      </c>
      <c r="F1376">
        <v>1</v>
      </c>
      <c r="G1376">
        <v>0</v>
      </c>
      <c r="H1376">
        <f t="shared" si="21"/>
        <v>4</v>
      </c>
      <c r="K1376" s="248">
        <v>-0.23</v>
      </c>
      <c r="L1376" s="249">
        <v>421739130.43478256</v>
      </c>
    </row>
    <row r="1377" spans="1:12">
      <c r="A1377">
        <v>8103</v>
      </c>
      <c r="C1377">
        <v>0</v>
      </c>
      <c r="D1377">
        <v>0</v>
      </c>
      <c r="E1377">
        <v>0</v>
      </c>
      <c r="F1377">
        <v>1</v>
      </c>
      <c r="G1377">
        <v>0</v>
      </c>
      <c r="H1377">
        <f t="shared" si="21"/>
        <v>1</v>
      </c>
      <c r="K1377" s="248">
        <v>-0.7</v>
      </c>
      <c r="L1377" s="249">
        <v>77142857.142857149</v>
      </c>
    </row>
    <row r="1378" spans="1:12">
      <c r="A1378">
        <v>8105</v>
      </c>
      <c r="C1378">
        <v>1</v>
      </c>
      <c r="D1378">
        <v>1</v>
      </c>
      <c r="E1378">
        <v>0</v>
      </c>
      <c r="F1378">
        <v>1</v>
      </c>
      <c r="G1378">
        <v>0</v>
      </c>
      <c r="H1378">
        <f t="shared" si="21"/>
        <v>3</v>
      </c>
      <c r="K1378" s="248">
        <v>0.79</v>
      </c>
      <c r="L1378" s="249">
        <v>439240506.3291139</v>
      </c>
    </row>
    <row r="1379" spans="1:12">
      <c r="A1379">
        <v>8107</v>
      </c>
      <c r="C1379">
        <v>1</v>
      </c>
      <c r="D1379">
        <v>1</v>
      </c>
      <c r="E1379">
        <v>2</v>
      </c>
      <c r="F1379">
        <v>1</v>
      </c>
      <c r="G1379">
        <v>0</v>
      </c>
      <c r="H1379">
        <f t="shared" si="21"/>
        <v>5</v>
      </c>
      <c r="K1379" s="248">
        <v>0.31</v>
      </c>
      <c r="L1379" s="249">
        <v>116129032.25806452</v>
      </c>
    </row>
    <row r="1380" spans="1:12">
      <c r="A1380">
        <v>8109</v>
      </c>
      <c r="C1380">
        <v>1</v>
      </c>
      <c r="D1380">
        <v>1</v>
      </c>
      <c r="E1380">
        <v>2</v>
      </c>
      <c r="F1380">
        <v>1</v>
      </c>
      <c r="G1380">
        <v>0</v>
      </c>
      <c r="H1380">
        <f t="shared" si="21"/>
        <v>5</v>
      </c>
      <c r="K1380" s="248">
        <v>2.65</v>
      </c>
      <c r="L1380" s="249">
        <v>59622641.509433962</v>
      </c>
    </row>
    <row r="1381" spans="1:12">
      <c r="A1381">
        <v>8110</v>
      </c>
      <c r="C1381">
        <v>0</v>
      </c>
      <c r="D1381">
        <v>1</v>
      </c>
      <c r="E1381">
        <v>2</v>
      </c>
      <c r="F1381">
        <v>1</v>
      </c>
      <c r="G1381">
        <v>0</v>
      </c>
      <c r="H1381">
        <f t="shared" si="21"/>
        <v>4</v>
      </c>
      <c r="K1381" s="248">
        <v>0.31</v>
      </c>
      <c r="L1381" s="249">
        <v>487096774.19354838</v>
      </c>
    </row>
    <row r="1382" spans="1:12">
      <c r="A1382">
        <v>8111</v>
      </c>
      <c r="C1382">
        <v>0</v>
      </c>
      <c r="D1382">
        <v>1</v>
      </c>
      <c r="E1382">
        <v>0</v>
      </c>
      <c r="F1382">
        <v>1</v>
      </c>
      <c r="G1382">
        <v>0</v>
      </c>
      <c r="H1382">
        <f t="shared" si="21"/>
        <v>2</v>
      </c>
      <c r="K1382" s="248">
        <v>-0.11</v>
      </c>
      <c r="L1382" s="249">
        <v>109090909.09090909</v>
      </c>
    </row>
    <row r="1383" spans="1:12">
      <c r="A1383">
        <v>8112</v>
      </c>
      <c r="C1383">
        <v>0</v>
      </c>
      <c r="D1383">
        <v>1</v>
      </c>
      <c r="E1383">
        <v>2</v>
      </c>
      <c r="F1383">
        <v>1</v>
      </c>
      <c r="G1383">
        <v>0</v>
      </c>
      <c r="H1383">
        <f t="shared" si="21"/>
        <v>4</v>
      </c>
      <c r="K1383" s="248">
        <v>0.35</v>
      </c>
      <c r="L1383" s="249">
        <v>285714285.71428573</v>
      </c>
    </row>
    <row r="1384" spans="1:12">
      <c r="A1384">
        <v>8114</v>
      </c>
      <c r="C1384">
        <v>1</v>
      </c>
      <c r="D1384">
        <v>1</v>
      </c>
      <c r="E1384">
        <v>1</v>
      </c>
      <c r="F1384">
        <v>1</v>
      </c>
      <c r="G1384">
        <v>0</v>
      </c>
      <c r="H1384">
        <f t="shared" si="21"/>
        <v>4</v>
      </c>
      <c r="K1384" s="248">
        <v>3.01</v>
      </c>
      <c r="L1384" s="249">
        <v>67774086.378737539</v>
      </c>
    </row>
    <row r="1385" spans="1:12">
      <c r="A1385">
        <v>8121</v>
      </c>
      <c r="C1385">
        <v>0</v>
      </c>
      <c r="D1385">
        <v>0</v>
      </c>
      <c r="E1385">
        <v>0</v>
      </c>
      <c r="F1385">
        <v>1</v>
      </c>
      <c r="G1385">
        <v>0</v>
      </c>
      <c r="H1385">
        <f t="shared" si="21"/>
        <v>1</v>
      </c>
      <c r="K1385" s="248">
        <v>-0.55000000000000004</v>
      </c>
      <c r="L1385" s="249">
        <v>183636363.63636363</v>
      </c>
    </row>
    <row r="1386" spans="1:12">
      <c r="A1386">
        <v>8131</v>
      </c>
      <c r="C1386">
        <v>0</v>
      </c>
      <c r="D1386">
        <v>1</v>
      </c>
      <c r="E1386">
        <v>0</v>
      </c>
      <c r="F1386">
        <v>1</v>
      </c>
      <c r="G1386">
        <v>0</v>
      </c>
      <c r="H1386">
        <f t="shared" si="21"/>
        <v>2</v>
      </c>
      <c r="K1386" s="248">
        <v>0.66</v>
      </c>
      <c r="L1386" s="249">
        <v>445454545.45454544</v>
      </c>
    </row>
    <row r="1387" spans="1:12">
      <c r="A1387">
        <v>8147</v>
      </c>
      <c r="C1387">
        <v>0</v>
      </c>
      <c r="D1387">
        <v>1</v>
      </c>
      <c r="E1387">
        <v>0</v>
      </c>
      <c r="F1387">
        <v>1</v>
      </c>
      <c r="G1387">
        <v>0</v>
      </c>
      <c r="H1387">
        <f t="shared" si="21"/>
        <v>2</v>
      </c>
      <c r="K1387" s="248">
        <v>0.86</v>
      </c>
      <c r="L1387" s="249">
        <v>22093023.255813953</v>
      </c>
    </row>
    <row r="1388" spans="1:12">
      <c r="A1388">
        <v>8150</v>
      </c>
      <c r="C1388">
        <v>0</v>
      </c>
      <c r="D1388">
        <v>1</v>
      </c>
      <c r="E1388">
        <v>0</v>
      </c>
      <c r="F1388">
        <v>1</v>
      </c>
      <c r="G1388">
        <v>0</v>
      </c>
      <c r="H1388">
        <f t="shared" si="21"/>
        <v>2</v>
      </c>
      <c r="K1388" s="248">
        <v>0.65</v>
      </c>
      <c r="L1388" s="249">
        <v>896923076.92307687</v>
      </c>
    </row>
    <row r="1389" spans="1:12">
      <c r="A1389">
        <v>8155</v>
      </c>
      <c r="C1389">
        <v>0</v>
      </c>
      <c r="D1389">
        <v>1</v>
      </c>
      <c r="E1389">
        <v>1</v>
      </c>
      <c r="F1389">
        <v>1</v>
      </c>
      <c r="G1389">
        <v>0</v>
      </c>
      <c r="H1389">
        <f t="shared" si="21"/>
        <v>3</v>
      </c>
      <c r="K1389" s="248">
        <v>0.33</v>
      </c>
      <c r="L1389" s="249">
        <v>51515151.515151516</v>
      </c>
    </row>
    <row r="1390" spans="1:12">
      <c r="A1390">
        <v>8163</v>
      </c>
      <c r="C1390">
        <v>0</v>
      </c>
      <c r="D1390">
        <v>1</v>
      </c>
      <c r="E1390">
        <v>0</v>
      </c>
      <c r="F1390">
        <v>1</v>
      </c>
      <c r="G1390">
        <v>0</v>
      </c>
      <c r="H1390">
        <f t="shared" si="21"/>
        <v>2</v>
      </c>
      <c r="K1390" s="248">
        <v>1.58</v>
      </c>
      <c r="L1390" s="249">
        <v>313924050.63291138</v>
      </c>
    </row>
    <row r="1391" spans="1:12">
      <c r="A1391">
        <v>8171</v>
      </c>
      <c r="C1391">
        <v>0</v>
      </c>
      <c r="D1391">
        <v>1</v>
      </c>
      <c r="E1391">
        <v>1</v>
      </c>
      <c r="F1391">
        <v>0</v>
      </c>
      <c r="G1391">
        <v>0</v>
      </c>
      <c r="H1391">
        <f t="shared" si="21"/>
        <v>2</v>
      </c>
      <c r="K1391" s="248">
        <v>0.24</v>
      </c>
      <c r="L1391" s="249">
        <v>50000000</v>
      </c>
    </row>
    <row r="1392" spans="1:12">
      <c r="A1392">
        <v>8176</v>
      </c>
      <c r="C1392">
        <v>1</v>
      </c>
      <c r="D1392">
        <v>1</v>
      </c>
      <c r="E1392">
        <v>2</v>
      </c>
      <c r="F1392">
        <v>1</v>
      </c>
      <c r="G1392">
        <v>0</v>
      </c>
      <c r="H1392">
        <f t="shared" si="21"/>
        <v>5</v>
      </c>
      <c r="K1392" s="248">
        <v>0.19</v>
      </c>
      <c r="L1392" s="249">
        <v>78947368.421052635</v>
      </c>
    </row>
    <row r="1393" spans="1:12">
      <c r="A1393">
        <v>8182</v>
      </c>
      <c r="C1393">
        <v>0</v>
      </c>
      <c r="D1393">
        <v>1</v>
      </c>
      <c r="E1393">
        <v>0</v>
      </c>
      <c r="F1393">
        <v>1</v>
      </c>
      <c r="G1393">
        <v>0</v>
      </c>
      <c r="H1393">
        <f t="shared" si="21"/>
        <v>2</v>
      </c>
      <c r="K1393" s="248">
        <v>0.44</v>
      </c>
      <c r="L1393" s="249">
        <v>106818181.81818181</v>
      </c>
    </row>
    <row r="1394" spans="1:12">
      <c r="A1394">
        <v>8183</v>
      </c>
      <c r="C1394">
        <v>0</v>
      </c>
      <c r="D1394">
        <v>1</v>
      </c>
      <c r="E1394">
        <v>2</v>
      </c>
      <c r="F1394">
        <v>1</v>
      </c>
      <c r="G1394">
        <v>0</v>
      </c>
      <c r="H1394">
        <f t="shared" si="21"/>
        <v>4</v>
      </c>
      <c r="K1394" s="248">
        <v>-0.01</v>
      </c>
      <c r="L1394" s="249">
        <v>100000000</v>
      </c>
    </row>
    <row r="1395" spans="1:12">
      <c r="A1395">
        <v>8201</v>
      </c>
      <c r="C1395">
        <v>0</v>
      </c>
      <c r="D1395">
        <v>1</v>
      </c>
      <c r="E1395">
        <v>1</v>
      </c>
      <c r="F1395">
        <v>1</v>
      </c>
      <c r="G1395">
        <v>0</v>
      </c>
      <c r="H1395">
        <f t="shared" si="21"/>
        <v>3</v>
      </c>
      <c r="K1395" s="248">
        <v>-0.31</v>
      </c>
      <c r="L1395" s="249">
        <v>87096774.193548381</v>
      </c>
    </row>
    <row r="1396" spans="1:12">
      <c r="A1396">
        <v>8210</v>
      </c>
      <c r="C1396">
        <v>1</v>
      </c>
      <c r="D1396">
        <v>1</v>
      </c>
      <c r="E1396">
        <v>1</v>
      </c>
      <c r="F1396">
        <v>1</v>
      </c>
      <c r="G1396">
        <v>0</v>
      </c>
      <c r="H1396">
        <f t="shared" si="21"/>
        <v>4</v>
      </c>
      <c r="K1396" s="248">
        <v>1.1200000000000001</v>
      </c>
      <c r="L1396" s="249">
        <v>119642857.14285713</v>
      </c>
    </row>
    <row r="1397" spans="1:12">
      <c r="A1397">
        <v>8213</v>
      </c>
      <c r="C1397">
        <v>0</v>
      </c>
      <c r="D1397">
        <v>1</v>
      </c>
      <c r="E1397">
        <v>2</v>
      </c>
      <c r="F1397">
        <v>0</v>
      </c>
      <c r="G1397">
        <v>0</v>
      </c>
      <c r="H1397">
        <f t="shared" si="21"/>
        <v>3</v>
      </c>
      <c r="K1397" s="248">
        <v>1.1000000000000001</v>
      </c>
      <c r="L1397" s="249">
        <v>270909090.90909088</v>
      </c>
    </row>
    <row r="1398" spans="1:12">
      <c r="A1398">
        <v>8215</v>
      </c>
      <c r="C1398">
        <v>0</v>
      </c>
      <c r="D1398">
        <v>0</v>
      </c>
      <c r="E1398">
        <v>2</v>
      </c>
      <c r="F1398">
        <v>0</v>
      </c>
      <c r="G1398">
        <v>0</v>
      </c>
      <c r="H1398">
        <f t="shared" si="21"/>
        <v>2</v>
      </c>
      <c r="K1398" s="248">
        <v>0.36</v>
      </c>
      <c r="L1398" s="249">
        <v>325000000</v>
      </c>
    </row>
    <row r="1399" spans="1:12">
      <c r="A1399">
        <v>8222</v>
      </c>
      <c r="C1399">
        <v>1</v>
      </c>
      <c r="D1399">
        <v>1</v>
      </c>
      <c r="E1399">
        <v>0</v>
      </c>
      <c r="F1399">
        <v>1</v>
      </c>
      <c r="G1399">
        <v>0</v>
      </c>
      <c r="H1399">
        <f t="shared" si="21"/>
        <v>3</v>
      </c>
      <c r="K1399" s="248">
        <v>0.44</v>
      </c>
      <c r="L1399" s="249">
        <v>68181818.181818187</v>
      </c>
    </row>
    <row r="1400" spans="1:12">
      <c r="A1400">
        <v>8234</v>
      </c>
      <c r="C1400">
        <v>0</v>
      </c>
      <c r="D1400">
        <v>1</v>
      </c>
      <c r="E1400">
        <v>0</v>
      </c>
      <c r="F1400">
        <v>1</v>
      </c>
      <c r="G1400">
        <v>0</v>
      </c>
      <c r="H1400">
        <f t="shared" si="21"/>
        <v>2</v>
      </c>
      <c r="K1400" s="248">
        <v>0.51</v>
      </c>
      <c r="L1400" s="249">
        <v>141176470.58823529</v>
      </c>
    </row>
    <row r="1401" spans="1:12">
      <c r="A1401">
        <v>8240</v>
      </c>
      <c r="C1401">
        <v>0</v>
      </c>
      <c r="D1401">
        <v>1</v>
      </c>
      <c r="E1401">
        <v>2</v>
      </c>
      <c r="F1401">
        <v>1</v>
      </c>
      <c r="G1401">
        <v>0</v>
      </c>
      <c r="H1401">
        <f t="shared" si="21"/>
        <v>4</v>
      </c>
      <c r="K1401" s="248">
        <v>7.0000000000000007E-2</v>
      </c>
      <c r="L1401" s="249">
        <v>99999999.999999985</v>
      </c>
    </row>
    <row r="1402" spans="1:12">
      <c r="A1402">
        <v>8249</v>
      </c>
      <c r="C1402">
        <v>1</v>
      </c>
      <c r="D1402">
        <v>1</v>
      </c>
      <c r="E1402">
        <v>1</v>
      </c>
      <c r="F1402">
        <v>1</v>
      </c>
      <c r="G1402">
        <v>0</v>
      </c>
      <c r="H1402">
        <f t="shared" si="21"/>
        <v>4</v>
      </c>
      <c r="K1402" s="248">
        <v>1.1100000000000001</v>
      </c>
      <c r="L1402" s="249">
        <v>127027027.02702701</v>
      </c>
    </row>
    <row r="1403" spans="1:12">
      <c r="A1403">
        <v>8255</v>
      </c>
      <c r="C1403">
        <v>1</v>
      </c>
      <c r="D1403">
        <v>1</v>
      </c>
      <c r="E1403">
        <v>0</v>
      </c>
      <c r="F1403">
        <v>1</v>
      </c>
      <c r="G1403">
        <v>0</v>
      </c>
      <c r="H1403">
        <f t="shared" si="21"/>
        <v>3</v>
      </c>
      <c r="K1403" s="248">
        <v>2.36</v>
      </c>
      <c r="L1403" s="249">
        <v>75000000</v>
      </c>
    </row>
    <row r="1404" spans="1:12">
      <c r="A1404">
        <v>8261</v>
      </c>
      <c r="C1404">
        <v>0</v>
      </c>
      <c r="D1404">
        <v>1</v>
      </c>
      <c r="E1404">
        <v>1</v>
      </c>
      <c r="F1404">
        <v>1</v>
      </c>
      <c r="G1404">
        <v>0</v>
      </c>
      <c r="H1404">
        <f t="shared" si="21"/>
        <v>3</v>
      </c>
      <c r="K1404" s="248">
        <v>0.33</v>
      </c>
      <c r="L1404" s="249">
        <v>96969696.969696969</v>
      </c>
    </row>
    <row r="1405" spans="1:12">
      <c r="A1405">
        <v>8266</v>
      </c>
      <c r="C1405">
        <v>1</v>
      </c>
      <c r="D1405">
        <v>1</v>
      </c>
      <c r="E1405">
        <v>0</v>
      </c>
      <c r="F1405">
        <v>1</v>
      </c>
      <c r="G1405">
        <v>0</v>
      </c>
      <c r="H1405">
        <f t="shared" si="21"/>
        <v>3</v>
      </c>
      <c r="K1405" s="248">
        <v>-0.53</v>
      </c>
      <c r="L1405" s="249">
        <v>100000000</v>
      </c>
    </row>
    <row r="1406" spans="1:12">
      <c r="A1406">
        <v>8271</v>
      </c>
      <c r="C1406">
        <v>0</v>
      </c>
      <c r="D1406">
        <v>0</v>
      </c>
      <c r="E1406">
        <v>1</v>
      </c>
      <c r="F1406">
        <v>1</v>
      </c>
      <c r="G1406">
        <v>0</v>
      </c>
      <c r="H1406">
        <f t="shared" si="21"/>
        <v>2</v>
      </c>
      <c r="K1406" s="248">
        <v>0.32</v>
      </c>
      <c r="L1406" s="249">
        <v>150000000</v>
      </c>
    </row>
    <row r="1407" spans="1:12">
      <c r="A1407">
        <v>8277</v>
      </c>
      <c r="C1407">
        <v>0</v>
      </c>
      <c r="D1407">
        <v>1</v>
      </c>
      <c r="E1407">
        <v>0</v>
      </c>
      <c r="F1407">
        <v>1</v>
      </c>
      <c r="G1407">
        <v>0</v>
      </c>
      <c r="H1407">
        <f t="shared" si="21"/>
        <v>2</v>
      </c>
      <c r="K1407" s="248">
        <v>-0.01</v>
      </c>
      <c r="L1407" s="249">
        <v>100000000</v>
      </c>
    </row>
    <row r="1408" spans="1:12">
      <c r="A1408">
        <v>8287</v>
      </c>
      <c r="C1408">
        <v>0</v>
      </c>
      <c r="D1408">
        <v>1</v>
      </c>
      <c r="E1408">
        <v>1</v>
      </c>
      <c r="F1408">
        <v>0</v>
      </c>
      <c r="G1408">
        <v>0</v>
      </c>
      <c r="H1408">
        <f t="shared" si="21"/>
        <v>2</v>
      </c>
      <c r="K1408" s="248">
        <v>0.77</v>
      </c>
      <c r="L1408" s="249">
        <v>137662337.66233766</v>
      </c>
    </row>
    <row r="1409" spans="1:12">
      <c r="A1409">
        <v>8289</v>
      </c>
      <c r="C1409">
        <v>1</v>
      </c>
      <c r="D1409">
        <v>1</v>
      </c>
      <c r="E1409">
        <v>1</v>
      </c>
      <c r="F1409">
        <v>1</v>
      </c>
      <c r="G1409">
        <v>0</v>
      </c>
      <c r="H1409">
        <f t="shared" si="21"/>
        <v>4</v>
      </c>
      <c r="K1409" s="248">
        <v>0.54</v>
      </c>
      <c r="L1409" s="249">
        <v>77777777.777777776</v>
      </c>
    </row>
    <row r="1410" spans="1:12">
      <c r="A1410">
        <v>8291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f t="shared" ref="H1410:H1473" si="22">SUM(C1410:G1410)</f>
        <v>0</v>
      </c>
      <c r="K1410" s="248">
        <v>-0.26</v>
      </c>
      <c r="L1410" s="249">
        <v>76923076.923076928</v>
      </c>
    </row>
    <row r="1411" spans="1:12">
      <c r="A1411">
        <v>8299</v>
      </c>
      <c r="C1411">
        <v>1</v>
      </c>
      <c r="D1411">
        <v>1</v>
      </c>
      <c r="E1411">
        <v>1</v>
      </c>
      <c r="F1411">
        <v>1</v>
      </c>
      <c r="G1411">
        <v>0</v>
      </c>
      <c r="H1411">
        <f t="shared" si="22"/>
        <v>4</v>
      </c>
      <c r="K1411" s="248">
        <v>6</v>
      </c>
      <c r="L1411" s="249">
        <v>197333333.33333334</v>
      </c>
    </row>
    <row r="1412" spans="1:12">
      <c r="A1412">
        <v>8341</v>
      </c>
      <c r="C1412">
        <v>1</v>
      </c>
      <c r="D1412">
        <v>1</v>
      </c>
      <c r="E1412">
        <v>1</v>
      </c>
      <c r="F1412">
        <v>1</v>
      </c>
      <c r="G1412">
        <v>0</v>
      </c>
      <c r="H1412">
        <f t="shared" si="22"/>
        <v>4</v>
      </c>
      <c r="K1412" s="248">
        <v>1.2</v>
      </c>
      <c r="L1412" s="249">
        <v>111666666.66666667</v>
      </c>
    </row>
    <row r="1413" spans="1:12">
      <c r="A1413">
        <v>8349</v>
      </c>
      <c r="C1413">
        <v>0</v>
      </c>
      <c r="D1413">
        <v>1</v>
      </c>
      <c r="E1413">
        <v>0</v>
      </c>
      <c r="F1413">
        <v>0</v>
      </c>
      <c r="G1413">
        <v>0</v>
      </c>
      <c r="H1413">
        <f t="shared" si="22"/>
        <v>1</v>
      </c>
      <c r="K1413" s="248">
        <v>1.39</v>
      </c>
      <c r="L1413" s="249">
        <v>91366906.474820152</v>
      </c>
    </row>
    <row r="1414" spans="1:12">
      <c r="A1414">
        <v>8354</v>
      </c>
      <c r="C1414">
        <v>1</v>
      </c>
      <c r="D1414">
        <v>1</v>
      </c>
      <c r="E1414">
        <v>0</v>
      </c>
      <c r="F1414">
        <v>1</v>
      </c>
      <c r="G1414">
        <v>0</v>
      </c>
      <c r="H1414">
        <f t="shared" si="22"/>
        <v>3</v>
      </c>
      <c r="K1414" s="248">
        <v>0.89</v>
      </c>
      <c r="L1414" s="249">
        <v>64044943.820224717</v>
      </c>
    </row>
    <row r="1415" spans="1:12">
      <c r="A1415">
        <v>8358</v>
      </c>
      <c r="C1415">
        <v>0</v>
      </c>
      <c r="D1415">
        <v>1</v>
      </c>
      <c r="E1415">
        <v>1</v>
      </c>
      <c r="F1415">
        <v>1</v>
      </c>
      <c r="G1415">
        <v>0</v>
      </c>
      <c r="H1415">
        <f t="shared" si="22"/>
        <v>3</v>
      </c>
      <c r="K1415" s="248">
        <v>-0.04</v>
      </c>
      <c r="L1415" s="249">
        <v>200000000</v>
      </c>
    </row>
    <row r="1416" spans="1:12">
      <c r="A1416">
        <v>8374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f t="shared" si="22"/>
        <v>0</v>
      </c>
      <c r="K1416" s="248">
        <v>-0.95</v>
      </c>
      <c r="L1416" s="249">
        <v>88421052.631578952</v>
      </c>
    </row>
    <row r="1417" spans="1:12">
      <c r="A1417">
        <v>8383</v>
      </c>
      <c r="C1417">
        <v>1</v>
      </c>
      <c r="D1417">
        <v>1</v>
      </c>
      <c r="E1417">
        <v>0</v>
      </c>
      <c r="F1417">
        <v>1</v>
      </c>
      <c r="G1417">
        <v>0</v>
      </c>
      <c r="H1417">
        <f t="shared" si="22"/>
        <v>3</v>
      </c>
      <c r="K1417" s="248">
        <v>1.1299999999999999</v>
      </c>
      <c r="L1417" s="249">
        <v>117699115.04424781</v>
      </c>
    </row>
    <row r="1418" spans="1:12">
      <c r="A1418">
        <v>8390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f t="shared" si="22"/>
        <v>0</v>
      </c>
      <c r="K1418" s="248">
        <v>0</v>
      </c>
      <c r="L1418" s="249">
        <v>0</v>
      </c>
    </row>
    <row r="1419" spans="1:12">
      <c r="A1419">
        <v>8401</v>
      </c>
      <c r="C1419">
        <v>0</v>
      </c>
      <c r="D1419">
        <v>0</v>
      </c>
      <c r="E1419">
        <v>0</v>
      </c>
      <c r="F1419">
        <v>1</v>
      </c>
      <c r="G1419">
        <v>0</v>
      </c>
      <c r="H1419">
        <f t="shared" si="22"/>
        <v>1</v>
      </c>
      <c r="K1419" s="248">
        <v>-0.04</v>
      </c>
      <c r="L1419" s="249">
        <v>50000000</v>
      </c>
    </row>
    <row r="1420" spans="1:12">
      <c r="A1420">
        <v>8403</v>
      </c>
      <c r="C1420">
        <v>0</v>
      </c>
      <c r="D1420">
        <v>1</v>
      </c>
      <c r="E1420">
        <v>0</v>
      </c>
      <c r="F1420">
        <v>0</v>
      </c>
      <c r="G1420">
        <v>0</v>
      </c>
      <c r="H1420">
        <f t="shared" si="22"/>
        <v>1</v>
      </c>
      <c r="K1420" s="248">
        <v>0.64</v>
      </c>
      <c r="L1420" s="249">
        <v>60937500</v>
      </c>
    </row>
    <row r="1421" spans="1:12">
      <c r="A1421">
        <v>8404</v>
      </c>
      <c r="C1421">
        <v>0</v>
      </c>
      <c r="D1421">
        <v>1</v>
      </c>
      <c r="E1421">
        <v>0</v>
      </c>
      <c r="F1421">
        <v>1</v>
      </c>
      <c r="G1421">
        <v>0</v>
      </c>
      <c r="H1421">
        <f t="shared" si="22"/>
        <v>2</v>
      </c>
      <c r="K1421" s="248">
        <v>0.51</v>
      </c>
      <c r="L1421" s="249">
        <v>223529411.76470587</v>
      </c>
    </row>
    <row r="1422" spans="1:12">
      <c r="A1422">
        <v>8406</v>
      </c>
      <c r="C1422">
        <v>0</v>
      </c>
      <c r="D1422">
        <v>0</v>
      </c>
      <c r="E1422">
        <v>0</v>
      </c>
      <c r="F1422">
        <v>1</v>
      </c>
      <c r="G1422">
        <v>0</v>
      </c>
      <c r="H1422">
        <f t="shared" si="22"/>
        <v>1</v>
      </c>
      <c r="K1422" s="248">
        <v>4.38</v>
      </c>
      <c r="L1422" s="249">
        <v>92465753.424657539</v>
      </c>
    </row>
    <row r="1423" spans="1:12">
      <c r="A1423">
        <v>8409</v>
      </c>
      <c r="C1423">
        <v>0</v>
      </c>
      <c r="D1423">
        <v>1</v>
      </c>
      <c r="E1423">
        <v>0</v>
      </c>
      <c r="F1423">
        <v>1</v>
      </c>
      <c r="G1423">
        <v>0</v>
      </c>
      <c r="H1423">
        <f t="shared" si="22"/>
        <v>2</v>
      </c>
      <c r="K1423" s="248">
        <v>-0.39</v>
      </c>
      <c r="L1423" s="249">
        <v>28205128.205128204</v>
      </c>
    </row>
    <row r="1424" spans="1:12">
      <c r="A1424">
        <v>8410</v>
      </c>
      <c r="C1424">
        <v>0</v>
      </c>
      <c r="D1424">
        <v>1</v>
      </c>
      <c r="E1424">
        <v>2</v>
      </c>
      <c r="F1424">
        <v>0</v>
      </c>
      <c r="G1424">
        <v>0</v>
      </c>
      <c r="H1424">
        <f t="shared" si="22"/>
        <v>3</v>
      </c>
      <c r="K1424" s="248">
        <v>0.61</v>
      </c>
      <c r="L1424" s="249">
        <v>36065573.770491801</v>
      </c>
    </row>
    <row r="1425" spans="1:12">
      <c r="A1425">
        <v>8411</v>
      </c>
      <c r="C1425">
        <v>1</v>
      </c>
      <c r="D1425">
        <v>1</v>
      </c>
      <c r="E1425">
        <v>2</v>
      </c>
      <c r="F1425">
        <v>1</v>
      </c>
      <c r="G1425">
        <v>0</v>
      </c>
      <c r="H1425">
        <f t="shared" si="22"/>
        <v>5</v>
      </c>
      <c r="K1425" s="248">
        <v>0.51</v>
      </c>
      <c r="L1425" s="249">
        <v>152941176.47058824</v>
      </c>
    </row>
    <row r="1426" spans="1:12">
      <c r="A1426">
        <v>8416</v>
      </c>
      <c r="C1426">
        <v>0</v>
      </c>
      <c r="D1426">
        <v>0</v>
      </c>
      <c r="E1426">
        <v>0</v>
      </c>
      <c r="F1426">
        <v>1</v>
      </c>
      <c r="G1426">
        <v>0</v>
      </c>
      <c r="H1426">
        <f t="shared" si="22"/>
        <v>1</v>
      </c>
      <c r="K1426" s="248">
        <v>0.99</v>
      </c>
      <c r="L1426" s="249">
        <v>25252525.252525251</v>
      </c>
    </row>
    <row r="1427" spans="1:12">
      <c r="A1427">
        <v>8418</v>
      </c>
      <c r="C1427">
        <v>0</v>
      </c>
      <c r="D1427">
        <v>0</v>
      </c>
      <c r="E1427">
        <v>0</v>
      </c>
      <c r="F1427">
        <v>1</v>
      </c>
      <c r="G1427">
        <v>0</v>
      </c>
      <c r="H1427">
        <f t="shared" si="22"/>
        <v>1</v>
      </c>
      <c r="K1427" s="248">
        <v>-1.36</v>
      </c>
      <c r="L1427" s="249">
        <v>68382352.941176459</v>
      </c>
    </row>
    <row r="1428" spans="1:12">
      <c r="A1428">
        <v>8420</v>
      </c>
      <c r="C1428">
        <v>0</v>
      </c>
      <c r="D1428">
        <v>1</v>
      </c>
      <c r="E1428">
        <v>0</v>
      </c>
      <c r="F1428">
        <v>1</v>
      </c>
      <c r="G1428">
        <v>0</v>
      </c>
      <c r="H1428">
        <f t="shared" si="22"/>
        <v>2</v>
      </c>
      <c r="K1428" s="248">
        <v>0.62</v>
      </c>
      <c r="L1428" s="249">
        <v>50000000</v>
      </c>
    </row>
    <row r="1429" spans="1:12">
      <c r="A1429">
        <v>8421</v>
      </c>
      <c r="C1429">
        <v>1</v>
      </c>
      <c r="D1429">
        <v>1</v>
      </c>
      <c r="E1429">
        <v>2</v>
      </c>
      <c r="F1429">
        <v>1</v>
      </c>
      <c r="G1429">
        <v>0</v>
      </c>
      <c r="H1429">
        <f t="shared" si="22"/>
        <v>5</v>
      </c>
      <c r="K1429" s="248">
        <v>0.4</v>
      </c>
      <c r="L1429" s="249">
        <v>37500000</v>
      </c>
    </row>
    <row r="1430" spans="1:12">
      <c r="A1430">
        <v>8422</v>
      </c>
      <c r="C1430">
        <v>1</v>
      </c>
      <c r="D1430">
        <v>1</v>
      </c>
      <c r="E1430">
        <v>2</v>
      </c>
      <c r="F1430">
        <v>1</v>
      </c>
      <c r="G1430">
        <v>0</v>
      </c>
      <c r="H1430">
        <f t="shared" si="22"/>
        <v>5</v>
      </c>
      <c r="K1430" s="248">
        <v>2.99</v>
      </c>
      <c r="L1430" s="249">
        <v>108695652.17391303</v>
      </c>
    </row>
    <row r="1431" spans="1:12">
      <c r="A1431">
        <v>8423</v>
      </c>
      <c r="C1431">
        <v>1</v>
      </c>
      <c r="D1431">
        <v>1</v>
      </c>
      <c r="E1431">
        <v>0</v>
      </c>
      <c r="F1431">
        <v>1</v>
      </c>
      <c r="G1431">
        <v>0</v>
      </c>
      <c r="H1431">
        <f t="shared" si="22"/>
        <v>3</v>
      </c>
      <c r="K1431" s="248">
        <v>0.55000000000000004</v>
      </c>
      <c r="L1431" s="249">
        <v>18181818.18181818</v>
      </c>
    </row>
    <row r="1432" spans="1:12">
      <c r="A1432">
        <v>8424</v>
      </c>
      <c r="C1432">
        <v>0</v>
      </c>
      <c r="D1432">
        <v>1</v>
      </c>
      <c r="E1432">
        <v>0</v>
      </c>
      <c r="F1432">
        <v>0</v>
      </c>
      <c r="G1432">
        <v>0</v>
      </c>
      <c r="H1432">
        <f t="shared" si="22"/>
        <v>1</v>
      </c>
      <c r="K1432" s="248">
        <v>0.96</v>
      </c>
      <c r="L1432" s="249">
        <v>36458333.333333336</v>
      </c>
    </row>
    <row r="1433" spans="1:12">
      <c r="A1433">
        <v>8426</v>
      </c>
      <c r="C1433">
        <v>1</v>
      </c>
      <c r="D1433">
        <v>1</v>
      </c>
      <c r="E1433">
        <v>1</v>
      </c>
      <c r="F1433">
        <v>1</v>
      </c>
      <c r="G1433">
        <v>0</v>
      </c>
      <c r="H1433">
        <f t="shared" si="22"/>
        <v>4</v>
      </c>
      <c r="K1433" s="248">
        <v>0.88</v>
      </c>
      <c r="L1433" s="249">
        <v>47727272.727272727</v>
      </c>
    </row>
    <row r="1434" spans="1:12">
      <c r="A1434">
        <v>8427</v>
      </c>
      <c r="C1434">
        <v>0</v>
      </c>
      <c r="D1434">
        <v>1</v>
      </c>
      <c r="E1434">
        <v>0</v>
      </c>
      <c r="F1434">
        <v>0</v>
      </c>
      <c r="G1434">
        <v>0</v>
      </c>
      <c r="H1434">
        <f t="shared" si="22"/>
        <v>1</v>
      </c>
      <c r="K1434" s="248">
        <v>-0.4</v>
      </c>
      <c r="L1434" s="249">
        <v>105000000</v>
      </c>
    </row>
    <row r="1435" spans="1:12">
      <c r="A1435">
        <v>8429</v>
      </c>
      <c r="C1435">
        <v>0</v>
      </c>
      <c r="D1435">
        <v>0</v>
      </c>
      <c r="E1435">
        <v>0</v>
      </c>
      <c r="F1435">
        <v>1</v>
      </c>
      <c r="G1435">
        <v>0</v>
      </c>
      <c r="H1435">
        <f t="shared" si="22"/>
        <v>1</v>
      </c>
      <c r="K1435" s="248">
        <v>1.78</v>
      </c>
      <c r="L1435" s="249">
        <v>129213483.14606741</v>
      </c>
    </row>
    <row r="1436" spans="1:12">
      <c r="A1436">
        <v>8431</v>
      </c>
      <c r="C1436">
        <v>0</v>
      </c>
      <c r="D1436">
        <v>0</v>
      </c>
      <c r="E1436">
        <v>0</v>
      </c>
      <c r="F1436">
        <v>1</v>
      </c>
      <c r="G1436">
        <v>0</v>
      </c>
      <c r="H1436">
        <f t="shared" si="22"/>
        <v>1</v>
      </c>
      <c r="K1436" s="248">
        <v>-0.99</v>
      </c>
      <c r="L1436" s="249">
        <v>41414141.414141417</v>
      </c>
    </row>
    <row r="1437" spans="1:12">
      <c r="A1437">
        <v>8432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f t="shared" si="22"/>
        <v>1</v>
      </c>
      <c r="K1437" s="248">
        <v>0.35</v>
      </c>
      <c r="L1437" s="249">
        <v>40000000</v>
      </c>
    </row>
    <row r="1438" spans="1:12">
      <c r="A1438">
        <v>8433</v>
      </c>
      <c r="C1438">
        <v>1</v>
      </c>
      <c r="D1438">
        <v>1</v>
      </c>
      <c r="E1438">
        <v>0</v>
      </c>
      <c r="F1438">
        <v>1</v>
      </c>
      <c r="G1438">
        <v>1</v>
      </c>
      <c r="H1438">
        <f t="shared" si="22"/>
        <v>4</v>
      </c>
      <c r="K1438" s="248">
        <v>2.15</v>
      </c>
      <c r="L1438" s="249">
        <v>52558139.534883723</v>
      </c>
    </row>
    <row r="1439" spans="1:12">
      <c r="A1439">
        <v>8435</v>
      </c>
      <c r="C1439">
        <v>0</v>
      </c>
      <c r="D1439">
        <v>1</v>
      </c>
      <c r="E1439">
        <v>0</v>
      </c>
      <c r="F1439">
        <v>1</v>
      </c>
      <c r="G1439">
        <v>0</v>
      </c>
      <c r="H1439">
        <f t="shared" si="22"/>
        <v>2</v>
      </c>
      <c r="K1439" s="248">
        <v>0.96</v>
      </c>
      <c r="L1439" s="249">
        <v>31250000</v>
      </c>
    </row>
    <row r="1440" spans="1:12">
      <c r="A1440">
        <v>8436</v>
      </c>
      <c r="C1440">
        <v>0</v>
      </c>
      <c r="D1440">
        <v>0</v>
      </c>
      <c r="E1440">
        <v>2</v>
      </c>
      <c r="F1440">
        <v>1</v>
      </c>
      <c r="G1440">
        <v>1</v>
      </c>
      <c r="H1440">
        <f t="shared" si="22"/>
        <v>4</v>
      </c>
      <c r="K1440" s="248">
        <v>1.1299999999999999</v>
      </c>
      <c r="L1440" s="249">
        <v>61061946.902654871</v>
      </c>
    </row>
    <row r="1441" spans="1:12">
      <c r="A1441">
        <v>8437</v>
      </c>
      <c r="C1441">
        <v>1</v>
      </c>
      <c r="D1441">
        <v>1</v>
      </c>
      <c r="E1441">
        <v>1</v>
      </c>
      <c r="F1441">
        <v>1</v>
      </c>
      <c r="G1441">
        <v>1</v>
      </c>
      <c r="H1441">
        <f t="shared" si="22"/>
        <v>5</v>
      </c>
      <c r="K1441" s="248">
        <v>2.63</v>
      </c>
      <c r="L1441" s="249">
        <v>32699619.771863118</v>
      </c>
    </row>
    <row r="1442" spans="1:12">
      <c r="A1442">
        <v>8443</v>
      </c>
      <c r="C1442">
        <v>0</v>
      </c>
      <c r="D1442">
        <v>0</v>
      </c>
      <c r="E1442">
        <v>0</v>
      </c>
      <c r="F1442">
        <v>1</v>
      </c>
      <c r="G1442">
        <v>0</v>
      </c>
      <c r="H1442">
        <f t="shared" si="22"/>
        <v>1</v>
      </c>
      <c r="K1442" s="248">
        <v>0.19</v>
      </c>
      <c r="L1442" s="249">
        <v>68421052.631578952</v>
      </c>
    </row>
    <row r="1443" spans="1:12">
      <c r="A1443">
        <v>8444</v>
      </c>
      <c r="C1443">
        <v>0</v>
      </c>
      <c r="D1443">
        <v>0</v>
      </c>
      <c r="E1443">
        <v>1</v>
      </c>
      <c r="F1443">
        <v>1</v>
      </c>
      <c r="G1443">
        <v>0</v>
      </c>
      <c r="H1443">
        <f t="shared" si="22"/>
        <v>2</v>
      </c>
      <c r="K1443" s="248">
        <v>0.81</v>
      </c>
      <c r="L1443" s="249">
        <v>66666666.666666664</v>
      </c>
    </row>
    <row r="1444" spans="1:12">
      <c r="A1444">
        <v>8446</v>
      </c>
      <c r="C1444">
        <v>0</v>
      </c>
      <c r="D1444">
        <v>1</v>
      </c>
      <c r="E1444">
        <v>0</v>
      </c>
      <c r="F1444">
        <v>1</v>
      </c>
      <c r="G1444">
        <v>0</v>
      </c>
      <c r="H1444">
        <f t="shared" si="22"/>
        <v>2</v>
      </c>
      <c r="K1444" s="248">
        <v>1.46</v>
      </c>
      <c r="L1444" s="249">
        <v>42465753.424657539</v>
      </c>
    </row>
    <row r="1445" spans="1:12">
      <c r="A1445">
        <v>8450</v>
      </c>
      <c r="C1445">
        <v>1</v>
      </c>
      <c r="D1445">
        <v>1</v>
      </c>
      <c r="E1445">
        <v>0</v>
      </c>
      <c r="F1445">
        <v>1</v>
      </c>
      <c r="G1445">
        <v>0</v>
      </c>
      <c r="H1445">
        <f t="shared" si="22"/>
        <v>3</v>
      </c>
      <c r="K1445" s="248">
        <v>1.1399999999999999</v>
      </c>
      <c r="L1445" s="249">
        <v>43859649.122807018</v>
      </c>
    </row>
    <row r="1446" spans="1:12">
      <c r="A1446">
        <v>8454</v>
      </c>
      <c r="C1446">
        <v>0</v>
      </c>
      <c r="D1446">
        <v>0</v>
      </c>
      <c r="E1446">
        <v>1</v>
      </c>
      <c r="F1446">
        <v>1</v>
      </c>
      <c r="G1446">
        <v>0</v>
      </c>
      <c r="H1446">
        <f t="shared" si="22"/>
        <v>2</v>
      </c>
      <c r="K1446" s="248">
        <v>1.82</v>
      </c>
      <c r="L1446" s="249">
        <v>142307692.30769229</v>
      </c>
    </row>
    <row r="1447" spans="1:12">
      <c r="A1447">
        <v>8463</v>
      </c>
      <c r="C1447">
        <v>0</v>
      </c>
      <c r="D1447">
        <v>0</v>
      </c>
      <c r="E1447">
        <v>0</v>
      </c>
      <c r="F1447">
        <v>1</v>
      </c>
      <c r="G1447">
        <v>0</v>
      </c>
      <c r="H1447">
        <f t="shared" si="22"/>
        <v>1</v>
      </c>
      <c r="K1447" s="248">
        <v>0.26</v>
      </c>
      <c r="L1447" s="249">
        <v>150000000</v>
      </c>
    </row>
    <row r="1448" spans="1:12">
      <c r="A1448">
        <v>8905</v>
      </c>
      <c r="C1448">
        <v>0</v>
      </c>
      <c r="D1448">
        <v>1</v>
      </c>
      <c r="E1448">
        <v>0</v>
      </c>
      <c r="F1448">
        <v>0</v>
      </c>
      <c r="G1448">
        <v>0</v>
      </c>
      <c r="H1448">
        <f t="shared" si="22"/>
        <v>1</v>
      </c>
      <c r="K1448" s="248">
        <v>0.38</v>
      </c>
      <c r="L1448" s="249">
        <v>110526315.78947368</v>
      </c>
    </row>
    <row r="1449" spans="1:12">
      <c r="A1449">
        <v>8906</v>
      </c>
      <c r="C1449">
        <v>0</v>
      </c>
      <c r="D1449">
        <v>1</v>
      </c>
      <c r="E1449">
        <v>0</v>
      </c>
      <c r="F1449">
        <v>1</v>
      </c>
      <c r="G1449">
        <v>0</v>
      </c>
      <c r="H1449">
        <f t="shared" si="22"/>
        <v>2</v>
      </c>
      <c r="K1449" s="248">
        <v>-0.02</v>
      </c>
      <c r="L1449" s="249">
        <v>50000000</v>
      </c>
    </row>
    <row r="1450" spans="1:12">
      <c r="A1450">
        <v>8908</v>
      </c>
      <c r="C1450">
        <v>0</v>
      </c>
      <c r="D1450">
        <v>0</v>
      </c>
      <c r="E1450">
        <v>1</v>
      </c>
      <c r="F1450">
        <v>1</v>
      </c>
      <c r="G1450">
        <v>0</v>
      </c>
      <c r="H1450">
        <f t="shared" si="22"/>
        <v>2</v>
      </c>
      <c r="K1450" s="248">
        <v>0.26</v>
      </c>
      <c r="L1450" s="249">
        <v>134615384.61538461</v>
      </c>
    </row>
    <row r="1451" spans="1:12">
      <c r="A1451">
        <v>8913</v>
      </c>
      <c r="C1451">
        <v>1</v>
      </c>
      <c r="D1451">
        <v>1</v>
      </c>
      <c r="E1451">
        <v>2</v>
      </c>
      <c r="F1451">
        <v>1</v>
      </c>
      <c r="G1451">
        <v>1</v>
      </c>
      <c r="H1451">
        <f t="shared" si="22"/>
        <v>6</v>
      </c>
      <c r="K1451" s="248">
        <v>0.19</v>
      </c>
      <c r="L1451" s="249">
        <v>52631578.947368421</v>
      </c>
    </row>
    <row r="1452" spans="1:12">
      <c r="A1452">
        <v>8916</v>
      </c>
      <c r="C1452">
        <v>1</v>
      </c>
      <c r="D1452">
        <v>1</v>
      </c>
      <c r="E1452">
        <v>2</v>
      </c>
      <c r="F1452">
        <v>1</v>
      </c>
      <c r="G1452">
        <v>0</v>
      </c>
      <c r="H1452">
        <f t="shared" si="22"/>
        <v>5</v>
      </c>
      <c r="K1452" s="248">
        <v>2.41</v>
      </c>
      <c r="L1452" s="249">
        <v>105809128.63070539</v>
      </c>
    </row>
    <row r="1453" spans="1:12">
      <c r="A1453">
        <v>8917</v>
      </c>
      <c r="C1453">
        <v>0</v>
      </c>
      <c r="D1453">
        <v>1</v>
      </c>
      <c r="E1453">
        <v>1</v>
      </c>
      <c r="F1453">
        <v>1</v>
      </c>
      <c r="G1453">
        <v>0</v>
      </c>
      <c r="H1453">
        <f t="shared" si="22"/>
        <v>3</v>
      </c>
      <c r="K1453" s="248">
        <v>0.34</v>
      </c>
      <c r="L1453" s="249">
        <v>123529411.76470587</v>
      </c>
    </row>
    <row r="1454" spans="1:12">
      <c r="A1454">
        <v>8921</v>
      </c>
      <c r="C1454">
        <v>0</v>
      </c>
      <c r="D1454">
        <v>1</v>
      </c>
      <c r="E1454">
        <v>1</v>
      </c>
      <c r="F1454">
        <v>1</v>
      </c>
      <c r="G1454">
        <v>0</v>
      </c>
      <c r="H1454">
        <f t="shared" si="22"/>
        <v>3</v>
      </c>
      <c r="K1454" s="248">
        <v>0.24</v>
      </c>
      <c r="L1454" s="249">
        <v>45833333.333333336</v>
      </c>
    </row>
    <row r="1455" spans="1:12">
      <c r="A1455">
        <v>8923</v>
      </c>
      <c r="C1455">
        <v>0</v>
      </c>
      <c r="D1455">
        <v>1</v>
      </c>
      <c r="E1455">
        <v>0</v>
      </c>
      <c r="F1455">
        <v>0</v>
      </c>
      <c r="G1455">
        <v>0</v>
      </c>
      <c r="H1455">
        <f t="shared" si="22"/>
        <v>1</v>
      </c>
      <c r="K1455" s="248">
        <v>0.27</v>
      </c>
      <c r="L1455" s="249">
        <v>29629629.629629627</v>
      </c>
    </row>
    <row r="1456" spans="1:12">
      <c r="A1456">
        <v>8924</v>
      </c>
      <c r="C1456">
        <v>0</v>
      </c>
      <c r="D1456">
        <v>1</v>
      </c>
      <c r="E1456">
        <v>0</v>
      </c>
      <c r="F1456">
        <v>0</v>
      </c>
      <c r="G1456">
        <v>0</v>
      </c>
      <c r="H1456">
        <f t="shared" si="22"/>
        <v>1</v>
      </c>
      <c r="K1456" s="248">
        <v>-0.09</v>
      </c>
      <c r="L1456" s="249">
        <v>122222222.22222222</v>
      </c>
    </row>
    <row r="1457" spans="1:12">
      <c r="A1457">
        <v>8925</v>
      </c>
      <c r="C1457">
        <v>0</v>
      </c>
      <c r="D1457">
        <v>1</v>
      </c>
      <c r="E1457">
        <v>2</v>
      </c>
      <c r="F1457">
        <v>0</v>
      </c>
      <c r="G1457">
        <v>0</v>
      </c>
      <c r="H1457">
        <f t="shared" si="22"/>
        <v>3</v>
      </c>
      <c r="K1457" s="248">
        <v>-0.9</v>
      </c>
      <c r="L1457" s="249">
        <v>364444444.44444442</v>
      </c>
    </row>
    <row r="1458" spans="1:12">
      <c r="A1458">
        <v>8926</v>
      </c>
      <c r="C1458">
        <v>0</v>
      </c>
      <c r="D1458">
        <v>0</v>
      </c>
      <c r="E1458">
        <v>2</v>
      </c>
      <c r="F1458">
        <v>1</v>
      </c>
      <c r="G1458">
        <v>0</v>
      </c>
      <c r="H1458">
        <f t="shared" si="22"/>
        <v>3</v>
      </c>
      <c r="K1458" s="248">
        <v>0.56999999999999995</v>
      </c>
      <c r="L1458" s="249">
        <v>592982456.14035094</v>
      </c>
    </row>
    <row r="1459" spans="1:12">
      <c r="A1459">
        <v>8927</v>
      </c>
      <c r="C1459">
        <v>0</v>
      </c>
      <c r="D1459">
        <v>0</v>
      </c>
      <c r="E1459">
        <v>2</v>
      </c>
      <c r="F1459">
        <v>1</v>
      </c>
      <c r="G1459">
        <v>0</v>
      </c>
      <c r="H1459">
        <f t="shared" si="22"/>
        <v>3</v>
      </c>
      <c r="K1459" s="248">
        <v>-0.15</v>
      </c>
      <c r="L1459" s="249">
        <v>0</v>
      </c>
    </row>
    <row r="1460" spans="1:12">
      <c r="A1460">
        <v>8928</v>
      </c>
      <c r="C1460">
        <v>0</v>
      </c>
      <c r="D1460">
        <v>1</v>
      </c>
      <c r="E1460">
        <v>2</v>
      </c>
      <c r="F1460">
        <v>0</v>
      </c>
      <c r="G1460">
        <v>0</v>
      </c>
      <c r="H1460">
        <f t="shared" si="22"/>
        <v>3</v>
      </c>
      <c r="K1460" s="248">
        <v>0.17</v>
      </c>
      <c r="L1460" s="249">
        <v>52941176.47058823</v>
      </c>
    </row>
    <row r="1461" spans="1:12">
      <c r="A1461">
        <v>8929</v>
      </c>
      <c r="C1461">
        <v>0</v>
      </c>
      <c r="D1461">
        <v>1</v>
      </c>
      <c r="E1461">
        <v>0</v>
      </c>
      <c r="F1461">
        <v>0</v>
      </c>
      <c r="G1461">
        <v>0</v>
      </c>
      <c r="H1461">
        <f t="shared" si="22"/>
        <v>1</v>
      </c>
      <c r="K1461" s="248">
        <v>0.17</v>
      </c>
      <c r="L1461" s="249">
        <v>35294117.647058822</v>
      </c>
    </row>
    <row r="1462" spans="1:12">
      <c r="A1462">
        <v>8930</v>
      </c>
      <c r="C1462">
        <v>0</v>
      </c>
      <c r="D1462">
        <v>0</v>
      </c>
      <c r="E1462">
        <v>0</v>
      </c>
      <c r="F1462">
        <v>1</v>
      </c>
      <c r="G1462">
        <v>0</v>
      </c>
      <c r="H1462">
        <f t="shared" si="22"/>
        <v>1</v>
      </c>
      <c r="K1462" s="248">
        <v>-0.2</v>
      </c>
      <c r="L1462" s="249">
        <v>65000000</v>
      </c>
    </row>
    <row r="1463" spans="1:12">
      <c r="A1463">
        <v>8931</v>
      </c>
      <c r="C1463">
        <v>0</v>
      </c>
      <c r="D1463">
        <v>1</v>
      </c>
      <c r="E1463">
        <v>2</v>
      </c>
      <c r="F1463">
        <v>1</v>
      </c>
      <c r="G1463">
        <v>0</v>
      </c>
      <c r="H1463">
        <f t="shared" si="22"/>
        <v>4</v>
      </c>
      <c r="K1463" s="248">
        <v>0.3</v>
      </c>
      <c r="L1463" s="249">
        <v>113333333.33333334</v>
      </c>
    </row>
    <row r="1464" spans="1:12">
      <c r="A1464">
        <v>8932</v>
      </c>
      <c r="C1464">
        <v>0</v>
      </c>
      <c r="D1464">
        <v>1</v>
      </c>
      <c r="E1464">
        <v>0</v>
      </c>
      <c r="F1464">
        <v>1</v>
      </c>
      <c r="G1464">
        <v>0</v>
      </c>
      <c r="H1464">
        <f t="shared" si="22"/>
        <v>2</v>
      </c>
      <c r="K1464" s="248">
        <v>0.33</v>
      </c>
      <c r="L1464" s="249">
        <v>48484848.484848484</v>
      </c>
    </row>
    <row r="1465" spans="1:12">
      <c r="A1465">
        <v>8933</v>
      </c>
      <c r="C1465">
        <v>1</v>
      </c>
      <c r="D1465">
        <v>1</v>
      </c>
      <c r="E1465">
        <v>2</v>
      </c>
      <c r="F1465">
        <v>0</v>
      </c>
      <c r="G1465">
        <v>0</v>
      </c>
      <c r="H1465">
        <f t="shared" si="22"/>
        <v>4</v>
      </c>
      <c r="K1465" s="248">
        <v>0.8</v>
      </c>
      <c r="L1465" s="249">
        <v>148750000</v>
      </c>
    </row>
    <row r="1466" spans="1:12">
      <c r="A1466">
        <v>8934</v>
      </c>
      <c r="C1466">
        <v>0</v>
      </c>
      <c r="D1466">
        <v>1</v>
      </c>
      <c r="E1466">
        <v>1</v>
      </c>
      <c r="F1466">
        <v>0</v>
      </c>
      <c r="G1466">
        <v>0</v>
      </c>
      <c r="H1466">
        <f t="shared" si="22"/>
        <v>2</v>
      </c>
      <c r="K1466" s="248">
        <v>-0.42</v>
      </c>
      <c r="L1466" s="249">
        <v>7142857.1428571427</v>
      </c>
    </row>
    <row r="1467" spans="1:12">
      <c r="A1467">
        <v>8935</v>
      </c>
      <c r="C1467">
        <v>0</v>
      </c>
      <c r="D1467">
        <v>1</v>
      </c>
      <c r="E1467">
        <v>1</v>
      </c>
      <c r="F1467">
        <v>0</v>
      </c>
      <c r="G1467">
        <v>0</v>
      </c>
      <c r="H1467">
        <f t="shared" si="22"/>
        <v>2</v>
      </c>
      <c r="K1467" s="248">
        <v>-0.18</v>
      </c>
      <c r="L1467" s="249">
        <v>122222222.22222222</v>
      </c>
    </row>
    <row r="1468" spans="1:12">
      <c r="A1468">
        <v>8936</v>
      </c>
      <c r="C1468">
        <v>0</v>
      </c>
      <c r="D1468">
        <v>1</v>
      </c>
      <c r="E1468">
        <v>0</v>
      </c>
      <c r="F1468">
        <v>0</v>
      </c>
      <c r="G1468">
        <v>0</v>
      </c>
      <c r="H1468">
        <f t="shared" si="22"/>
        <v>1</v>
      </c>
      <c r="K1468" s="248">
        <v>0.63</v>
      </c>
      <c r="L1468" s="249">
        <v>187301587.30158731</v>
      </c>
    </row>
    <row r="1469" spans="1:12">
      <c r="A1469">
        <v>8937</v>
      </c>
      <c r="C1469">
        <v>1</v>
      </c>
      <c r="D1469">
        <v>1</v>
      </c>
      <c r="E1469">
        <v>2</v>
      </c>
      <c r="F1469">
        <v>1</v>
      </c>
      <c r="G1469">
        <v>0</v>
      </c>
      <c r="H1469">
        <f t="shared" si="22"/>
        <v>5</v>
      </c>
      <c r="K1469" s="248">
        <v>0.41</v>
      </c>
      <c r="L1469" s="249">
        <v>70731707.317073181</v>
      </c>
    </row>
    <row r="1470" spans="1:12">
      <c r="A1470">
        <v>8938</v>
      </c>
      <c r="C1470">
        <v>0</v>
      </c>
      <c r="D1470">
        <v>1</v>
      </c>
      <c r="E1470">
        <v>1</v>
      </c>
      <c r="F1470">
        <v>0</v>
      </c>
      <c r="G1470">
        <v>0</v>
      </c>
      <c r="H1470">
        <f t="shared" si="22"/>
        <v>2</v>
      </c>
      <c r="K1470" s="248">
        <v>0.02</v>
      </c>
      <c r="L1470" s="249">
        <v>150000000</v>
      </c>
    </row>
    <row r="1471" spans="1:12">
      <c r="A1471">
        <v>8940</v>
      </c>
      <c r="C1471">
        <v>0</v>
      </c>
      <c r="D1471">
        <v>0</v>
      </c>
      <c r="E1471">
        <v>0</v>
      </c>
      <c r="F1471">
        <v>1</v>
      </c>
      <c r="G1471">
        <v>0</v>
      </c>
      <c r="H1471">
        <f t="shared" si="22"/>
        <v>1</v>
      </c>
      <c r="K1471" s="248">
        <v>-1.19</v>
      </c>
      <c r="L1471" s="249">
        <v>68067226.890756309</v>
      </c>
    </row>
    <row r="1472" spans="1:12">
      <c r="A1472">
        <v>8941</v>
      </c>
      <c r="C1472">
        <v>0</v>
      </c>
      <c r="D1472">
        <v>1</v>
      </c>
      <c r="E1472">
        <v>0</v>
      </c>
      <c r="F1472">
        <v>0</v>
      </c>
      <c r="G1472">
        <v>0</v>
      </c>
      <c r="H1472">
        <f t="shared" si="22"/>
        <v>1</v>
      </c>
      <c r="K1472" s="248">
        <v>2.82</v>
      </c>
      <c r="L1472" s="249">
        <v>21276595.744680852</v>
      </c>
    </row>
    <row r="1473" spans="1:12">
      <c r="A1473">
        <v>8942</v>
      </c>
      <c r="C1473">
        <v>1</v>
      </c>
      <c r="D1473">
        <v>1</v>
      </c>
      <c r="E1473">
        <v>0</v>
      </c>
      <c r="F1473">
        <v>1</v>
      </c>
      <c r="G1473">
        <v>0</v>
      </c>
      <c r="H1473">
        <f t="shared" si="22"/>
        <v>3</v>
      </c>
      <c r="K1473" s="248">
        <v>2.4700000000000002</v>
      </c>
      <c r="L1473" s="249">
        <v>154655870.44534412</v>
      </c>
    </row>
    <row r="1474" spans="1:12">
      <c r="A1474">
        <v>8996</v>
      </c>
      <c r="C1474">
        <v>0</v>
      </c>
      <c r="D1474">
        <v>1</v>
      </c>
      <c r="E1474">
        <v>0</v>
      </c>
      <c r="F1474">
        <v>0</v>
      </c>
      <c r="G1474">
        <v>0</v>
      </c>
      <c r="H1474">
        <f t="shared" ref="H1474:H1516" si="23">SUM(C1474:G1474)</f>
        <v>1</v>
      </c>
      <c r="K1474" s="248">
        <v>0.31</v>
      </c>
      <c r="L1474" s="249">
        <v>90322580.645161286</v>
      </c>
    </row>
    <row r="1475" spans="1:12">
      <c r="A1475">
        <v>9802</v>
      </c>
      <c r="C1475">
        <v>0</v>
      </c>
      <c r="D1475">
        <v>1</v>
      </c>
      <c r="E1475">
        <v>0</v>
      </c>
      <c r="F1475">
        <v>1</v>
      </c>
      <c r="G1475">
        <v>0</v>
      </c>
      <c r="H1475">
        <f t="shared" si="23"/>
        <v>2</v>
      </c>
      <c r="K1475" s="248">
        <v>0.43</v>
      </c>
      <c r="L1475" s="249">
        <v>130232558.13953489</v>
      </c>
    </row>
    <row r="1476" spans="1:12">
      <c r="A1476">
        <v>9902</v>
      </c>
      <c r="C1476">
        <v>1</v>
      </c>
      <c r="D1476">
        <v>1</v>
      </c>
      <c r="E1476">
        <v>0</v>
      </c>
      <c r="F1476">
        <v>0</v>
      </c>
      <c r="G1476">
        <v>0</v>
      </c>
      <c r="H1476">
        <f t="shared" si="23"/>
        <v>2</v>
      </c>
      <c r="K1476" s="248">
        <v>0.22</v>
      </c>
      <c r="L1476" s="249">
        <v>100000000</v>
      </c>
    </row>
    <row r="1477" spans="1:12">
      <c r="A1477">
        <v>9904</v>
      </c>
      <c r="C1477">
        <v>0</v>
      </c>
      <c r="D1477">
        <v>1</v>
      </c>
      <c r="E1477">
        <v>0</v>
      </c>
      <c r="F1477">
        <v>1</v>
      </c>
      <c r="G1477">
        <v>1</v>
      </c>
      <c r="H1477">
        <f t="shared" si="23"/>
        <v>3</v>
      </c>
      <c r="K1477" s="248">
        <v>1.21</v>
      </c>
      <c r="L1477" s="249">
        <v>2947107438.0165291</v>
      </c>
    </row>
    <row r="1478" spans="1:12">
      <c r="A1478">
        <v>9905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f t="shared" si="23"/>
        <v>0</v>
      </c>
      <c r="K1478" s="248">
        <v>0.81</v>
      </c>
      <c r="L1478" s="249">
        <v>307407407.4074074</v>
      </c>
    </row>
    <row r="1479" spans="1:12">
      <c r="A1479">
        <v>9907</v>
      </c>
      <c r="C1479">
        <v>0</v>
      </c>
      <c r="D1479">
        <v>0</v>
      </c>
      <c r="E1479">
        <v>1</v>
      </c>
      <c r="F1479">
        <v>1</v>
      </c>
      <c r="G1479">
        <v>0</v>
      </c>
      <c r="H1479">
        <f t="shared" si="23"/>
        <v>2</v>
      </c>
      <c r="K1479" s="248">
        <v>0.09</v>
      </c>
      <c r="L1479" s="249">
        <v>1600000000</v>
      </c>
    </row>
    <row r="1480" spans="1:12">
      <c r="A1480">
        <v>9908</v>
      </c>
      <c r="C1480">
        <v>1</v>
      </c>
      <c r="D1480">
        <v>1</v>
      </c>
      <c r="E1480">
        <v>1</v>
      </c>
      <c r="F1480">
        <v>1</v>
      </c>
      <c r="G1480">
        <v>0</v>
      </c>
      <c r="H1480">
        <f t="shared" si="23"/>
        <v>4</v>
      </c>
      <c r="K1480" s="248">
        <v>0.49</v>
      </c>
      <c r="L1480" s="249">
        <v>502040816.32653064</v>
      </c>
    </row>
    <row r="1481" spans="1:12">
      <c r="A1481">
        <v>9910</v>
      </c>
      <c r="C1481">
        <v>1</v>
      </c>
      <c r="D1481">
        <v>1</v>
      </c>
      <c r="E1481">
        <v>2</v>
      </c>
      <c r="F1481">
        <v>1</v>
      </c>
      <c r="G1481">
        <v>1</v>
      </c>
      <c r="H1481">
        <f t="shared" si="23"/>
        <v>6</v>
      </c>
      <c r="K1481" s="248">
        <v>2.1</v>
      </c>
      <c r="L1481" s="249">
        <v>597142857.14285707</v>
      </c>
    </row>
    <row r="1482" spans="1:12">
      <c r="A1482">
        <v>9911</v>
      </c>
      <c r="C1482">
        <v>0</v>
      </c>
      <c r="D1482">
        <v>1</v>
      </c>
      <c r="E1482">
        <v>0</v>
      </c>
      <c r="F1482">
        <v>1</v>
      </c>
      <c r="G1482">
        <v>0</v>
      </c>
      <c r="H1482">
        <f t="shared" si="23"/>
        <v>2</v>
      </c>
      <c r="K1482" s="248">
        <v>0.55000000000000004</v>
      </c>
      <c r="L1482" s="249">
        <v>270909090.90909088</v>
      </c>
    </row>
    <row r="1483" spans="1:12">
      <c r="A1483">
        <v>9912</v>
      </c>
      <c r="C1483">
        <v>0</v>
      </c>
      <c r="D1483">
        <v>1</v>
      </c>
      <c r="E1483">
        <v>1</v>
      </c>
      <c r="F1483">
        <v>0</v>
      </c>
      <c r="G1483">
        <v>0</v>
      </c>
      <c r="H1483">
        <f t="shared" si="23"/>
        <v>2</v>
      </c>
      <c r="K1483" s="248">
        <v>-0.2</v>
      </c>
      <c r="L1483" s="249">
        <v>50000000</v>
      </c>
    </row>
    <row r="1484" spans="1:12">
      <c r="A1484">
        <v>9914</v>
      </c>
      <c r="C1484">
        <v>1</v>
      </c>
      <c r="D1484">
        <v>1</v>
      </c>
      <c r="E1484">
        <v>1</v>
      </c>
      <c r="F1484">
        <v>1</v>
      </c>
      <c r="G1484">
        <v>0</v>
      </c>
      <c r="H1484">
        <f t="shared" si="23"/>
        <v>4</v>
      </c>
      <c r="K1484" s="248">
        <v>3.72</v>
      </c>
      <c r="L1484" s="249">
        <v>299193548.38709676</v>
      </c>
    </row>
    <row r="1485" spans="1:12">
      <c r="A1485">
        <v>9917</v>
      </c>
      <c r="C1485">
        <v>0</v>
      </c>
      <c r="D1485">
        <v>1</v>
      </c>
      <c r="E1485">
        <v>1</v>
      </c>
      <c r="F1485">
        <v>0</v>
      </c>
      <c r="G1485">
        <v>0</v>
      </c>
      <c r="H1485">
        <f t="shared" si="23"/>
        <v>2</v>
      </c>
      <c r="K1485" s="248">
        <v>1.22</v>
      </c>
      <c r="L1485" s="249">
        <v>440983606.55737704</v>
      </c>
    </row>
    <row r="1486" spans="1:12">
      <c r="A1486">
        <v>9918</v>
      </c>
      <c r="C1486">
        <v>0</v>
      </c>
      <c r="D1486">
        <v>1</v>
      </c>
      <c r="E1486">
        <v>0</v>
      </c>
      <c r="F1486">
        <v>1</v>
      </c>
      <c r="G1486">
        <v>0</v>
      </c>
      <c r="H1486">
        <f t="shared" si="23"/>
        <v>2</v>
      </c>
      <c r="K1486" s="248">
        <v>0.06</v>
      </c>
      <c r="L1486" s="249">
        <v>183333333.33333334</v>
      </c>
    </row>
    <row r="1487" spans="1:12">
      <c r="A1487">
        <v>9919</v>
      </c>
      <c r="C1487">
        <v>0</v>
      </c>
      <c r="D1487">
        <v>0</v>
      </c>
      <c r="E1487">
        <v>0</v>
      </c>
      <c r="F1487">
        <v>1</v>
      </c>
      <c r="G1487">
        <v>0</v>
      </c>
      <c r="H1487">
        <f t="shared" si="23"/>
        <v>1</v>
      </c>
      <c r="K1487" s="248">
        <v>0.03</v>
      </c>
      <c r="L1487" s="249">
        <v>200000000</v>
      </c>
    </row>
    <row r="1488" spans="1:12">
      <c r="A1488">
        <v>9921</v>
      </c>
      <c r="C1488">
        <v>1</v>
      </c>
      <c r="D1488">
        <v>1</v>
      </c>
      <c r="E1488">
        <v>0</v>
      </c>
      <c r="F1488">
        <v>1</v>
      </c>
      <c r="G1488">
        <v>0</v>
      </c>
      <c r="H1488">
        <f t="shared" si="23"/>
        <v>3</v>
      </c>
      <c r="K1488" s="248">
        <v>3.24</v>
      </c>
      <c r="L1488" s="249">
        <v>374691358.02469134</v>
      </c>
    </row>
    <row r="1489" spans="1:12">
      <c r="A1489">
        <v>9924</v>
      </c>
      <c r="C1489">
        <v>1</v>
      </c>
      <c r="D1489">
        <v>1</v>
      </c>
      <c r="E1489">
        <v>1</v>
      </c>
      <c r="F1489">
        <v>1</v>
      </c>
      <c r="G1489">
        <v>0</v>
      </c>
      <c r="H1489">
        <f t="shared" si="23"/>
        <v>4</v>
      </c>
      <c r="K1489" s="248">
        <v>1.44</v>
      </c>
      <c r="L1489" s="249">
        <v>188194444.44444445</v>
      </c>
    </row>
    <row r="1490" spans="1:12">
      <c r="A1490">
        <v>9925</v>
      </c>
      <c r="C1490">
        <v>0</v>
      </c>
      <c r="D1490">
        <v>0</v>
      </c>
      <c r="E1490">
        <v>1</v>
      </c>
      <c r="F1490">
        <v>1</v>
      </c>
      <c r="G1490">
        <v>0</v>
      </c>
      <c r="H1490">
        <f t="shared" si="23"/>
        <v>2</v>
      </c>
      <c r="K1490" s="248">
        <v>0.87</v>
      </c>
      <c r="L1490" s="249">
        <v>379310344.82758623</v>
      </c>
    </row>
    <row r="1491" spans="1:12">
      <c r="A1491">
        <v>9926</v>
      </c>
      <c r="C1491">
        <v>0</v>
      </c>
      <c r="D1491">
        <v>1</v>
      </c>
      <c r="E1491">
        <v>0</v>
      </c>
      <c r="F1491">
        <v>1</v>
      </c>
      <c r="G1491">
        <v>0</v>
      </c>
      <c r="H1491">
        <f t="shared" si="23"/>
        <v>2</v>
      </c>
      <c r="K1491" s="248">
        <v>0.49</v>
      </c>
      <c r="L1491" s="249">
        <v>171428571.42857143</v>
      </c>
    </row>
    <row r="1492" spans="1:12">
      <c r="A1492">
        <v>9927</v>
      </c>
      <c r="C1492">
        <v>0</v>
      </c>
      <c r="D1492">
        <v>0</v>
      </c>
      <c r="E1492">
        <v>2</v>
      </c>
      <c r="F1492">
        <v>1</v>
      </c>
      <c r="G1492">
        <v>0</v>
      </c>
      <c r="H1492">
        <f t="shared" si="23"/>
        <v>3</v>
      </c>
      <c r="K1492" s="248">
        <v>0.43</v>
      </c>
      <c r="L1492" s="249">
        <v>209302325.58139536</v>
      </c>
    </row>
    <row r="1493" spans="1:12">
      <c r="A1493">
        <v>9928</v>
      </c>
      <c r="C1493">
        <v>0</v>
      </c>
      <c r="D1493">
        <v>1</v>
      </c>
      <c r="E1493">
        <v>1</v>
      </c>
      <c r="F1493">
        <v>0</v>
      </c>
      <c r="G1493">
        <v>0</v>
      </c>
      <c r="H1493">
        <f t="shared" si="23"/>
        <v>2</v>
      </c>
      <c r="K1493" s="248">
        <v>-0.4</v>
      </c>
      <c r="L1493" s="249">
        <v>132500000</v>
      </c>
    </row>
    <row r="1494" spans="1:12">
      <c r="A1494">
        <v>9929</v>
      </c>
      <c r="C1494">
        <v>0</v>
      </c>
      <c r="D1494">
        <v>1</v>
      </c>
      <c r="E1494">
        <v>2</v>
      </c>
      <c r="F1494">
        <v>0</v>
      </c>
      <c r="G1494">
        <v>0</v>
      </c>
      <c r="H1494">
        <f t="shared" si="23"/>
        <v>3</v>
      </c>
      <c r="K1494" s="248">
        <v>-0.32</v>
      </c>
      <c r="L1494" s="249">
        <v>131250000</v>
      </c>
    </row>
    <row r="1495" spans="1:12">
      <c r="A1495">
        <v>9930</v>
      </c>
      <c r="C1495">
        <v>0</v>
      </c>
      <c r="D1495">
        <v>1</v>
      </c>
      <c r="E1495">
        <v>1</v>
      </c>
      <c r="F1495">
        <v>1</v>
      </c>
      <c r="G1495">
        <v>0</v>
      </c>
      <c r="H1495">
        <f t="shared" si="23"/>
        <v>3</v>
      </c>
      <c r="K1495" s="248">
        <v>0.95</v>
      </c>
      <c r="L1495" s="249">
        <v>225263157.89473686</v>
      </c>
    </row>
    <row r="1496" spans="1:12">
      <c r="A1496">
        <v>9931</v>
      </c>
      <c r="C1496">
        <v>0</v>
      </c>
      <c r="D1496">
        <v>1</v>
      </c>
      <c r="E1496">
        <v>0</v>
      </c>
      <c r="F1496">
        <v>1</v>
      </c>
      <c r="G1496">
        <v>0</v>
      </c>
      <c r="H1496">
        <f t="shared" si="23"/>
        <v>2</v>
      </c>
      <c r="K1496" s="248">
        <v>0.12</v>
      </c>
      <c r="L1496" s="249">
        <v>100000000</v>
      </c>
    </row>
    <row r="1497" spans="1:12">
      <c r="A1497">
        <v>9933</v>
      </c>
      <c r="C1497">
        <v>0</v>
      </c>
      <c r="D1497">
        <v>0</v>
      </c>
      <c r="E1497">
        <v>1</v>
      </c>
      <c r="F1497">
        <v>0</v>
      </c>
      <c r="G1497">
        <v>0</v>
      </c>
      <c r="H1497">
        <f t="shared" si="23"/>
        <v>1</v>
      </c>
      <c r="K1497" s="248">
        <v>0.6</v>
      </c>
      <c r="L1497" s="249">
        <v>753333333.33333337</v>
      </c>
    </row>
    <row r="1498" spans="1:12">
      <c r="A1498">
        <v>9934</v>
      </c>
      <c r="C1498">
        <v>0</v>
      </c>
      <c r="D1498">
        <v>1</v>
      </c>
      <c r="E1498">
        <v>1</v>
      </c>
      <c r="F1498">
        <v>1</v>
      </c>
      <c r="G1498">
        <v>0</v>
      </c>
      <c r="H1498">
        <f t="shared" si="23"/>
        <v>3</v>
      </c>
      <c r="K1498" s="248">
        <v>0.36</v>
      </c>
      <c r="L1498" s="249">
        <v>358333333.33333337</v>
      </c>
    </row>
    <row r="1499" spans="1:12">
      <c r="A1499">
        <v>9935</v>
      </c>
      <c r="C1499">
        <v>0</v>
      </c>
      <c r="D1499">
        <v>1</v>
      </c>
      <c r="E1499">
        <v>0</v>
      </c>
      <c r="F1499">
        <v>0</v>
      </c>
      <c r="G1499">
        <v>1</v>
      </c>
      <c r="H1499">
        <f t="shared" si="23"/>
        <v>2</v>
      </c>
      <c r="K1499" s="248">
        <v>0.01</v>
      </c>
      <c r="L1499" s="249">
        <v>200000000</v>
      </c>
    </row>
    <row r="1500" spans="1:12">
      <c r="A1500">
        <v>9937</v>
      </c>
      <c r="C1500">
        <v>0</v>
      </c>
      <c r="D1500">
        <v>1</v>
      </c>
      <c r="E1500">
        <v>2</v>
      </c>
      <c r="F1500">
        <v>0</v>
      </c>
      <c r="G1500">
        <v>0</v>
      </c>
      <c r="H1500">
        <f t="shared" si="23"/>
        <v>3</v>
      </c>
      <c r="K1500" s="248">
        <v>0.33</v>
      </c>
      <c r="L1500" s="249">
        <v>312121212.12121212</v>
      </c>
    </row>
    <row r="1501" spans="1:12">
      <c r="A1501">
        <v>9938</v>
      </c>
      <c r="C1501">
        <v>1</v>
      </c>
      <c r="D1501">
        <v>1</v>
      </c>
      <c r="E1501">
        <v>0</v>
      </c>
      <c r="F1501">
        <v>1</v>
      </c>
      <c r="G1501">
        <v>0</v>
      </c>
      <c r="H1501">
        <f t="shared" si="23"/>
        <v>3</v>
      </c>
      <c r="K1501" s="248">
        <v>1</v>
      </c>
      <c r="L1501" s="249">
        <v>297000000</v>
      </c>
    </row>
    <row r="1502" spans="1:12">
      <c r="A1502">
        <v>9939</v>
      </c>
      <c r="C1502">
        <v>0</v>
      </c>
      <c r="D1502">
        <v>0</v>
      </c>
      <c r="E1502">
        <v>0</v>
      </c>
      <c r="F1502">
        <v>1</v>
      </c>
      <c r="G1502">
        <v>0</v>
      </c>
      <c r="H1502">
        <f t="shared" si="23"/>
        <v>1</v>
      </c>
      <c r="K1502" s="248">
        <v>0.74</v>
      </c>
      <c r="L1502" s="249">
        <v>309459459.45945948</v>
      </c>
    </row>
    <row r="1503" spans="1:12">
      <c r="A1503">
        <v>9940</v>
      </c>
      <c r="C1503">
        <v>0</v>
      </c>
      <c r="D1503">
        <v>1</v>
      </c>
      <c r="E1503">
        <v>0</v>
      </c>
      <c r="F1503">
        <v>1</v>
      </c>
      <c r="G1503">
        <v>0</v>
      </c>
      <c r="H1503">
        <f t="shared" si="23"/>
        <v>2</v>
      </c>
      <c r="K1503" s="248">
        <v>0.17</v>
      </c>
      <c r="L1503" s="249">
        <v>647058823.52941167</v>
      </c>
    </row>
    <row r="1504" spans="1:12">
      <c r="A1504">
        <v>9941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f t="shared" si="23"/>
        <v>0</v>
      </c>
      <c r="K1504" s="248">
        <v>0.95</v>
      </c>
      <c r="L1504" s="249">
        <v>266315789.47368422</v>
      </c>
    </row>
    <row r="1505" spans="1:12">
      <c r="A1505">
        <v>9942</v>
      </c>
      <c r="C1505">
        <v>0</v>
      </c>
      <c r="D1505">
        <v>1</v>
      </c>
      <c r="E1505">
        <v>0</v>
      </c>
      <c r="F1505">
        <v>1</v>
      </c>
      <c r="G1505">
        <v>0</v>
      </c>
      <c r="H1505">
        <f t="shared" si="23"/>
        <v>2</v>
      </c>
      <c r="K1505" s="248">
        <v>1.56</v>
      </c>
      <c r="L1505" s="249">
        <v>83333333.333333328</v>
      </c>
    </row>
    <row r="1506" spans="1:12">
      <c r="A1506">
        <v>9943</v>
      </c>
      <c r="C1506">
        <v>0</v>
      </c>
      <c r="D1506">
        <v>1</v>
      </c>
      <c r="E1506">
        <v>0</v>
      </c>
      <c r="F1506">
        <v>1</v>
      </c>
      <c r="G1506">
        <v>0</v>
      </c>
      <c r="H1506">
        <f t="shared" si="23"/>
        <v>2</v>
      </c>
      <c r="K1506" s="248">
        <v>1.49</v>
      </c>
      <c r="L1506" s="249">
        <v>146979865.77181208</v>
      </c>
    </row>
    <row r="1507" spans="1:12">
      <c r="A1507">
        <v>9944</v>
      </c>
      <c r="C1507">
        <v>0</v>
      </c>
      <c r="D1507">
        <v>1</v>
      </c>
      <c r="E1507">
        <v>0</v>
      </c>
      <c r="F1507">
        <v>1</v>
      </c>
      <c r="G1507">
        <v>0</v>
      </c>
      <c r="H1507">
        <f t="shared" si="23"/>
        <v>2</v>
      </c>
      <c r="K1507" s="248">
        <v>0.16</v>
      </c>
      <c r="L1507" s="249">
        <v>112500000</v>
      </c>
    </row>
    <row r="1508" spans="1:12">
      <c r="A1508">
        <v>9945</v>
      </c>
      <c r="C1508">
        <v>1</v>
      </c>
      <c r="D1508">
        <v>1</v>
      </c>
      <c r="E1508">
        <v>2</v>
      </c>
      <c r="F1508">
        <v>1</v>
      </c>
      <c r="G1508">
        <v>0</v>
      </c>
      <c r="H1508">
        <f t="shared" si="23"/>
        <v>5</v>
      </c>
      <c r="K1508" s="248">
        <v>2.72</v>
      </c>
      <c r="L1508" s="249">
        <v>1285294117.6470587</v>
      </c>
    </row>
    <row r="1509" spans="1:12">
      <c r="A1509">
        <v>9946</v>
      </c>
      <c r="C1509">
        <v>1</v>
      </c>
      <c r="D1509">
        <v>1</v>
      </c>
      <c r="E1509">
        <v>2</v>
      </c>
      <c r="F1509">
        <v>1</v>
      </c>
      <c r="G1509">
        <v>0</v>
      </c>
      <c r="H1509">
        <f t="shared" si="23"/>
        <v>5</v>
      </c>
      <c r="K1509" s="248">
        <v>1.52</v>
      </c>
      <c r="L1509" s="249">
        <v>264473684.21052632</v>
      </c>
    </row>
    <row r="1510" spans="1:12">
      <c r="A1510">
        <v>9949</v>
      </c>
      <c r="C1510">
        <v>0</v>
      </c>
      <c r="D1510">
        <v>0</v>
      </c>
      <c r="E1510">
        <v>0</v>
      </c>
      <c r="F1510">
        <v>1</v>
      </c>
      <c r="G1510">
        <v>0</v>
      </c>
      <c r="H1510">
        <f t="shared" si="23"/>
        <v>1</v>
      </c>
      <c r="K1510" s="248">
        <v>-0.46</v>
      </c>
      <c r="L1510" s="249">
        <v>47826086.956521735</v>
      </c>
    </row>
    <row r="1511" spans="1:12">
      <c r="A1511">
        <v>9950</v>
      </c>
      <c r="C1511">
        <v>0</v>
      </c>
      <c r="D1511">
        <v>1</v>
      </c>
      <c r="E1511">
        <v>1</v>
      </c>
      <c r="F1511">
        <v>1</v>
      </c>
      <c r="G1511">
        <v>0</v>
      </c>
      <c r="H1511">
        <f t="shared" si="23"/>
        <v>3</v>
      </c>
      <c r="K1511" s="248">
        <v>0.49</v>
      </c>
      <c r="L1511" s="249">
        <v>65306122.448979594</v>
      </c>
    </row>
    <row r="1512" spans="1:12">
      <c r="A1512">
        <v>9951</v>
      </c>
      <c r="C1512">
        <v>1</v>
      </c>
      <c r="D1512">
        <v>1</v>
      </c>
      <c r="E1512">
        <v>0</v>
      </c>
      <c r="F1512">
        <v>1</v>
      </c>
      <c r="G1512">
        <v>0</v>
      </c>
      <c r="H1512">
        <f t="shared" si="23"/>
        <v>3</v>
      </c>
      <c r="K1512" s="248">
        <v>2.65</v>
      </c>
      <c r="L1512" s="249">
        <v>74716981.132075474</v>
      </c>
    </row>
    <row r="1513" spans="1:12">
      <c r="A1513">
        <v>9955</v>
      </c>
      <c r="C1513">
        <v>0</v>
      </c>
      <c r="D1513">
        <v>1</v>
      </c>
      <c r="E1513">
        <v>0</v>
      </c>
      <c r="F1513">
        <v>1</v>
      </c>
      <c r="G1513">
        <v>0</v>
      </c>
      <c r="H1513">
        <f t="shared" si="23"/>
        <v>2</v>
      </c>
      <c r="K1513" s="248">
        <v>-0.23</v>
      </c>
      <c r="L1513" s="249">
        <v>100000000</v>
      </c>
    </row>
    <row r="1514" spans="1:12">
      <c r="A1514">
        <v>9958</v>
      </c>
      <c r="C1514">
        <v>1</v>
      </c>
      <c r="D1514">
        <v>1</v>
      </c>
      <c r="E1514">
        <v>1</v>
      </c>
      <c r="F1514">
        <v>1</v>
      </c>
      <c r="G1514">
        <v>0</v>
      </c>
      <c r="H1514">
        <f t="shared" si="23"/>
        <v>4</v>
      </c>
      <c r="K1514" s="248">
        <v>0.48</v>
      </c>
      <c r="L1514" s="249">
        <v>185416666.66666669</v>
      </c>
    </row>
    <row r="1515" spans="1:12">
      <c r="A1515">
        <v>9960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f t="shared" si="23"/>
        <v>0</v>
      </c>
      <c r="K1515" s="248">
        <v>-7.0000000000000007E-2</v>
      </c>
      <c r="L1515" s="249">
        <v>28571428.571428567</v>
      </c>
    </row>
    <row r="1516" spans="1:12">
      <c r="A1516">
        <v>9962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f t="shared" si="23"/>
        <v>0</v>
      </c>
      <c r="K1516" s="248">
        <v>-0.23</v>
      </c>
      <c r="L1516" s="249">
        <v>91304347.826086953</v>
      </c>
    </row>
    <row r="1517" spans="1:12">
      <c r="A1517">
        <v>9906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f t="shared" ref="H1517" si="24">SUM(C1517:G1517)</f>
        <v>0</v>
      </c>
      <c r="K1517" s="248">
        <v>0</v>
      </c>
      <c r="L1517" s="249">
        <v>0</v>
      </c>
    </row>
  </sheetData>
  <sortState ref="A2:L1516">
    <sortCondition ref="A1:A1516"/>
  </sortState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0417" r:id="rId3" name="CommandButton1">
          <controlPr defaultSize="0" autoLine="0" r:id="rId4">
            <anchor moveWithCells="1">
              <from>
                <xdr:col>16</xdr:col>
                <xdr:colOff>514350</xdr:colOff>
                <xdr:row>0</xdr:row>
                <xdr:rowOff>47625</xdr:rowOff>
              </from>
              <to>
                <xdr:col>17</xdr:col>
                <xdr:colOff>428625</xdr:colOff>
                <xdr:row>0</xdr:row>
                <xdr:rowOff>295275</xdr:rowOff>
              </to>
            </anchor>
          </controlPr>
        </control>
      </mc:Choice>
      <mc:Fallback>
        <control shapeId="60417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評比系統"/>
  <dimension ref="A1:W56"/>
  <sheetViews>
    <sheetView zoomScale="85" zoomScaleNormal="85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I12" sqref="I12"/>
    </sheetView>
  </sheetViews>
  <sheetFormatPr defaultRowHeight="19.5"/>
  <cols>
    <col min="1" max="1" width="9.625" style="17" customWidth="1"/>
    <col min="2" max="2" width="11.25" style="20" customWidth="1"/>
    <col min="3" max="3" width="6.25" style="15" bestFit="1" customWidth="1"/>
    <col min="4" max="4" width="6.875" style="15" bestFit="1" customWidth="1"/>
    <col min="5" max="5" width="9.375" style="15" bestFit="1" customWidth="1"/>
    <col min="6" max="7" width="6.875" style="15" bestFit="1" customWidth="1"/>
    <col min="8" max="12" width="6.875" style="17" bestFit="1" customWidth="1"/>
    <col min="13" max="13" width="6.25" style="49" bestFit="1" customWidth="1"/>
    <col min="14" max="14" width="8.5" style="17" customWidth="1"/>
    <col min="15" max="15" width="11.375" style="16" bestFit="1" customWidth="1"/>
    <col min="16" max="16" width="13.375" style="16" customWidth="1"/>
    <col min="17" max="17" width="12.625" style="16" bestFit="1" customWidth="1"/>
    <col min="18" max="18" width="10.75" style="16" customWidth="1"/>
    <col min="19" max="19" width="8.5" style="140" customWidth="1"/>
    <col min="20" max="20" width="34.375" bestFit="1" customWidth="1"/>
  </cols>
  <sheetData>
    <row r="1" spans="1:23" ht="26.25" thickBot="1">
      <c r="A1" s="513">
        <f ca="1">NOW()</f>
        <v>42438.924778356479</v>
      </c>
      <c r="B1" s="514"/>
      <c r="C1" s="525" t="s">
        <v>1901</v>
      </c>
      <c r="D1" s="526"/>
      <c r="E1" s="526"/>
      <c r="F1" s="526"/>
      <c r="G1" s="527"/>
      <c r="H1" s="169"/>
      <c r="I1" s="167"/>
      <c r="J1" s="167"/>
      <c r="K1" s="167"/>
      <c r="L1" s="167"/>
      <c r="M1" s="170"/>
      <c r="N1" s="172"/>
      <c r="O1" s="168"/>
      <c r="P1" s="21"/>
      <c r="Q1" s="52"/>
      <c r="R1" s="52"/>
      <c r="S1" s="138"/>
      <c r="T1" s="26"/>
    </row>
    <row r="2" spans="1:23" s="50" customFormat="1" ht="28.5" customHeight="1">
      <c r="A2" s="515" t="s">
        <v>36</v>
      </c>
      <c r="B2" s="516"/>
      <c r="C2" s="517" t="s">
        <v>235</v>
      </c>
      <c r="D2" s="518"/>
      <c r="E2" s="518"/>
      <c r="F2" s="518"/>
      <c r="G2" s="519"/>
      <c r="H2" s="522" t="s">
        <v>238</v>
      </c>
      <c r="I2" s="523"/>
      <c r="J2" s="523"/>
      <c r="K2" s="523"/>
      <c r="L2" s="523"/>
      <c r="M2" s="524"/>
      <c r="N2" s="173" t="s">
        <v>1861</v>
      </c>
      <c r="O2" s="520" t="s">
        <v>1883</v>
      </c>
      <c r="P2" s="520"/>
      <c r="Q2" s="520"/>
      <c r="R2" s="520"/>
      <c r="S2" s="521"/>
      <c r="T2" s="26"/>
      <c r="U2"/>
      <c r="V2"/>
      <c r="W2"/>
    </row>
    <row r="3" spans="1:23" ht="20.25" thickBot="1">
      <c r="A3" s="18" t="s">
        <v>37</v>
      </c>
      <c r="B3" s="19" t="s">
        <v>38</v>
      </c>
      <c r="C3" s="12" t="s">
        <v>39</v>
      </c>
      <c r="D3" s="13" t="s">
        <v>40</v>
      </c>
      <c r="E3" s="13" t="s">
        <v>41</v>
      </c>
      <c r="F3" s="13" t="s">
        <v>42</v>
      </c>
      <c r="G3" s="171" t="s">
        <v>43</v>
      </c>
      <c r="H3" s="14" t="s">
        <v>35</v>
      </c>
      <c r="I3" s="127" t="s">
        <v>233</v>
      </c>
      <c r="J3" s="128" t="s">
        <v>234</v>
      </c>
      <c r="K3" s="128" t="s">
        <v>236</v>
      </c>
      <c r="L3" s="128" t="s">
        <v>239</v>
      </c>
      <c r="M3" s="129" t="s">
        <v>1860</v>
      </c>
      <c r="N3" s="174" t="s">
        <v>522</v>
      </c>
      <c r="O3" s="58" t="s">
        <v>240</v>
      </c>
      <c r="P3" s="51" t="s">
        <v>241</v>
      </c>
      <c r="Q3" s="51" t="s">
        <v>237</v>
      </c>
      <c r="R3" s="51" t="s">
        <v>1882</v>
      </c>
      <c r="S3" s="139" t="s">
        <v>518</v>
      </c>
      <c r="T3" s="26"/>
    </row>
    <row r="4" spans="1:23">
      <c r="A4" s="190"/>
      <c r="B4" s="190"/>
      <c r="T4" s="26"/>
    </row>
    <row r="5" spans="1:23">
      <c r="A5" s="190"/>
      <c r="B5" s="190"/>
      <c r="T5" s="26"/>
    </row>
    <row r="6" spans="1:23">
      <c r="A6" s="190"/>
      <c r="B6" s="190"/>
      <c r="T6" s="26"/>
    </row>
    <row r="7" spans="1:23">
      <c r="A7" s="190"/>
      <c r="B7" s="190"/>
      <c r="T7" s="26"/>
    </row>
    <row r="8" spans="1:23">
      <c r="A8" s="190"/>
      <c r="B8" s="190"/>
      <c r="T8" s="26"/>
    </row>
    <row r="9" spans="1:23">
      <c r="A9" s="190"/>
      <c r="B9" s="190"/>
      <c r="T9" s="26"/>
    </row>
    <row r="10" spans="1:23">
      <c r="A10" s="190"/>
      <c r="B10" s="190"/>
      <c r="T10" s="26"/>
    </row>
    <row r="11" spans="1:23">
      <c r="A11" s="190"/>
      <c r="B11" s="190"/>
      <c r="T11" s="26"/>
    </row>
    <row r="12" spans="1:23">
      <c r="A12" s="190"/>
      <c r="B12" s="190"/>
      <c r="T12" s="26"/>
    </row>
    <row r="13" spans="1:23">
      <c r="A13" s="190"/>
      <c r="B13" s="190"/>
      <c r="T13" s="26"/>
    </row>
    <row r="14" spans="1:23">
      <c r="A14" s="190"/>
      <c r="B14" s="190"/>
      <c r="T14" s="26"/>
    </row>
    <row r="15" spans="1:23">
      <c r="A15" s="190"/>
      <c r="B15" s="190"/>
      <c r="T15" s="26"/>
    </row>
    <row r="16" spans="1:23">
      <c r="A16" s="190"/>
      <c r="B16" s="190"/>
      <c r="T16" s="26"/>
    </row>
    <row r="17" spans="1:20">
      <c r="A17" s="190"/>
      <c r="B17" s="190"/>
      <c r="T17" s="26"/>
    </row>
    <row r="18" spans="1:20">
      <c r="A18" s="190"/>
      <c r="B18" s="190"/>
      <c r="T18" s="26"/>
    </row>
    <row r="19" spans="1:20">
      <c r="A19" s="190"/>
      <c r="B19" s="190"/>
      <c r="T19" s="26"/>
    </row>
    <row r="20" spans="1:20">
      <c r="A20" s="190"/>
      <c r="B20" s="190"/>
      <c r="T20" s="26"/>
    </row>
    <row r="21" spans="1:20">
      <c r="A21" s="190"/>
      <c r="B21" s="190"/>
      <c r="T21" s="26"/>
    </row>
    <row r="22" spans="1:20">
      <c r="A22" s="190"/>
      <c r="B22" s="190"/>
      <c r="T22" s="26"/>
    </row>
    <row r="23" spans="1:20">
      <c r="A23" s="190"/>
      <c r="B23" s="190"/>
      <c r="T23" s="26"/>
    </row>
    <row r="24" spans="1:20">
      <c r="A24" s="190"/>
      <c r="B24" s="190"/>
      <c r="T24" s="26"/>
    </row>
    <row r="25" spans="1:20">
      <c r="A25" s="190"/>
      <c r="B25" s="190"/>
      <c r="T25" s="26"/>
    </row>
    <row r="26" spans="1:20">
      <c r="A26" s="190"/>
      <c r="B26" s="190"/>
      <c r="T26" s="26"/>
    </row>
    <row r="27" spans="1:20">
      <c r="A27" s="190"/>
      <c r="B27" s="190"/>
      <c r="T27" s="26"/>
    </row>
    <row r="28" spans="1:20">
      <c r="A28"/>
      <c r="T28" s="26"/>
    </row>
    <row r="29" spans="1:20">
      <c r="A29"/>
      <c r="T29" s="26"/>
    </row>
    <row r="30" spans="1:20">
      <c r="A30"/>
      <c r="T30" s="26"/>
    </row>
    <row r="31" spans="1:20">
      <c r="A31"/>
      <c r="T31" s="26"/>
    </row>
    <row r="32" spans="1:20">
      <c r="A32"/>
      <c r="T32" s="26"/>
    </row>
    <row r="33" spans="1:20">
      <c r="A33"/>
      <c r="T33" s="26"/>
    </row>
    <row r="34" spans="1:20">
      <c r="A34"/>
      <c r="T34" s="26"/>
    </row>
    <row r="35" spans="1:20">
      <c r="A35"/>
      <c r="T35" s="26"/>
    </row>
    <row r="36" spans="1:20">
      <c r="A36"/>
      <c r="T36" s="26"/>
    </row>
    <row r="37" spans="1:20">
      <c r="A37"/>
      <c r="T37" s="26"/>
    </row>
    <row r="38" spans="1:20">
      <c r="A38"/>
      <c r="T38" s="26"/>
    </row>
    <row r="39" spans="1:20">
      <c r="A39"/>
      <c r="T39" s="26"/>
    </row>
    <row r="40" spans="1:20">
      <c r="A40"/>
      <c r="T40" s="26"/>
    </row>
    <row r="41" spans="1:20">
      <c r="A41"/>
      <c r="T41" s="26"/>
    </row>
    <row r="42" spans="1:20">
      <c r="A42"/>
      <c r="T42" s="26"/>
    </row>
    <row r="43" spans="1:20">
      <c r="A43"/>
      <c r="T43" s="26"/>
    </row>
    <row r="44" spans="1:20">
      <c r="A44"/>
      <c r="B44" s="190"/>
      <c r="T44" s="26"/>
    </row>
    <row r="45" spans="1:20">
      <c r="A45"/>
      <c r="B45" s="190"/>
      <c r="T45" s="26"/>
    </row>
    <row r="46" spans="1:20">
      <c r="A46"/>
      <c r="B46" s="190"/>
      <c r="T46" s="26"/>
    </row>
    <row r="47" spans="1:20">
      <c r="A47"/>
      <c r="T47" s="26"/>
    </row>
    <row r="48" spans="1:20">
      <c r="A48"/>
      <c r="T48" s="26"/>
    </row>
    <row r="49" spans="20:20">
      <c r="T49" s="26"/>
    </row>
    <row r="50" spans="20:20">
      <c r="T50" s="26"/>
    </row>
    <row r="51" spans="20:20">
      <c r="T51" s="26"/>
    </row>
    <row r="52" spans="20:20">
      <c r="T52" s="26"/>
    </row>
    <row r="53" spans="20:20">
      <c r="T53" s="26"/>
    </row>
    <row r="54" spans="20:20">
      <c r="T54" s="26"/>
    </row>
    <row r="55" spans="20:20">
      <c r="T55" s="26"/>
    </row>
    <row r="56" spans="20:20">
      <c r="T56" s="26"/>
    </row>
  </sheetData>
  <sortState ref="A4:S30">
    <sortCondition descending="1" ref="S3"/>
  </sortState>
  <mergeCells count="6">
    <mergeCell ref="A1:B1"/>
    <mergeCell ref="A2:B2"/>
    <mergeCell ref="C2:G2"/>
    <mergeCell ref="O2:S2"/>
    <mergeCell ref="H2:M2"/>
    <mergeCell ref="C1:G1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1" r:id="rId4" name="CommandButton16">
          <controlPr defaultSize="0" autoLine="0" autoPict="0" r:id="rId5">
            <anchor moveWithCells="1">
              <from>
                <xdr:col>6</xdr:col>
                <xdr:colOff>180975</xdr:colOff>
                <xdr:row>1</xdr:row>
                <xdr:rowOff>38100</xdr:rowOff>
              </from>
              <to>
                <xdr:col>6</xdr:col>
                <xdr:colOff>466725</xdr:colOff>
                <xdr:row>1</xdr:row>
                <xdr:rowOff>342900</xdr:rowOff>
              </to>
            </anchor>
          </controlPr>
        </control>
      </mc:Choice>
      <mc:Fallback>
        <control shapeId="2071" r:id="rId4" name="CommandButton16"/>
      </mc:Fallback>
    </mc:AlternateContent>
    <mc:AlternateContent xmlns:mc="http://schemas.openxmlformats.org/markup-compatibility/2006">
      <mc:Choice Requires="x14">
        <control shapeId="2070" r:id="rId6" name="CommandButton15">
          <controlPr defaultSize="0" autoLine="0" r:id="rId7">
            <anchor moveWithCells="1">
              <from>
                <xdr:col>17</xdr:col>
                <xdr:colOff>0</xdr:colOff>
                <xdr:row>1</xdr:row>
                <xdr:rowOff>28575</xdr:rowOff>
              </from>
              <to>
                <xdr:col>18</xdr:col>
                <xdr:colOff>47625</xdr:colOff>
                <xdr:row>1</xdr:row>
                <xdr:rowOff>342900</xdr:rowOff>
              </to>
            </anchor>
          </controlPr>
        </control>
      </mc:Choice>
      <mc:Fallback>
        <control shapeId="2070" r:id="rId6" name="CommandButton15"/>
      </mc:Fallback>
    </mc:AlternateContent>
    <mc:AlternateContent xmlns:mc="http://schemas.openxmlformats.org/markup-compatibility/2006">
      <mc:Choice Requires="x14">
        <control shapeId="2069" r:id="rId8" name="CommandButton14">
          <controlPr defaultSize="0" autoLine="0" r:id="rId9">
            <anchor moveWithCells="1">
              <from>
                <xdr:col>18</xdr:col>
                <xdr:colOff>38100</xdr:colOff>
                <xdr:row>0</xdr:row>
                <xdr:rowOff>28575</xdr:rowOff>
              </from>
              <to>
                <xdr:col>18</xdr:col>
                <xdr:colOff>581025</xdr:colOff>
                <xdr:row>0</xdr:row>
                <xdr:rowOff>285750</xdr:rowOff>
              </to>
            </anchor>
          </controlPr>
        </control>
      </mc:Choice>
      <mc:Fallback>
        <control shapeId="2069" r:id="rId8" name="CommandButton14"/>
      </mc:Fallback>
    </mc:AlternateContent>
    <mc:AlternateContent xmlns:mc="http://schemas.openxmlformats.org/markup-compatibility/2006">
      <mc:Choice Requires="x14">
        <control shapeId="2068" r:id="rId10" name="CommandButton13">
          <controlPr defaultSize="0" autoLine="0" autoPict="0" r:id="rId11">
            <anchor moveWithCells="1">
              <from>
                <xdr:col>16</xdr:col>
                <xdr:colOff>942975</xdr:colOff>
                <xdr:row>0</xdr:row>
                <xdr:rowOff>0</xdr:rowOff>
              </from>
              <to>
                <xdr:col>18</xdr:col>
                <xdr:colOff>9525</xdr:colOff>
                <xdr:row>0</xdr:row>
                <xdr:rowOff>276225</xdr:rowOff>
              </to>
            </anchor>
          </controlPr>
        </control>
      </mc:Choice>
      <mc:Fallback>
        <control shapeId="2068" r:id="rId10" name="CommandButton13"/>
      </mc:Fallback>
    </mc:AlternateContent>
    <mc:AlternateContent xmlns:mc="http://schemas.openxmlformats.org/markup-compatibility/2006">
      <mc:Choice Requires="x14">
        <control shapeId="2062" r:id="rId12" name="CommandButton9">
          <controlPr defaultSize="0" autoLine="0" autoPict="0" r:id="rId13">
            <anchor moveWithCells="1">
              <from>
                <xdr:col>14</xdr:col>
                <xdr:colOff>19050</xdr:colOff>
                <xdr:row>1</xdr:row>
                <xdr:rowOff>19050</xdr:rowOff>
              </from>
              <to>
                <xdr:col>15</xdr:col>
                <xdr:colOff>609600</xdr:colOff>
                <xdr:row>1</xdr:row>
                <xdr:rowOff>342900</xdr:rowOff>
              </to>
            </anchor>
          </controlPr>
        </control>
      </mc:Choice>
      <mc:Fallback>
        <control shapeId="2062" r:id="rId12" name="CommandButton9"/>
      </mc:Fallback>
    </mc:AlternateContent>
    <mc:AlternateContent xmlns:mc="http://schemas.openxmlformats.org/markup-compatibility/2006">
      <mc:Choice Requires="x14">
        <control shapeId="2059" r:id="rId14" name="CommandButton7">
          <controlPr defaultSize="0" autoLine="0" r:id="rId15">
            <anchor moveWithCells="1">
              <from>
                <xdr:col>7</xdr:col>
                <xdr:colOff>47625</xdr:colOff>
                <xdr:row>0</xdr:row>
                <xdr:rowOff>38100</xdr:rowOff>
              </from>
              <to>
                <xdr:col>7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59" r:id="rId14" name="CommandButton7"/>
      </mc:Fallback>
    </mc:AlternateContent>
    <mc:AlternateContent xmlns:mc="http://schemas.openxmlformats.org/markup-compatibility/2006">
      <mc:Choice Requires="x14">
        <control shapeId="2053" r:id="rId16" name="CommandButton6">
          <controlPr defaultSize="0" autoLine="0" r:id="rId17">
            <anchor moveWithCells="1">
              <from>
                <xdr:col>1</xdr:col>
                <xdr:colOff>28575</xdr:colOff>
                <xdr:row>1</xdr:row>
                <xdr:rowOff>28575</xdr:rowOff>
              </from>
              <to>
                <xdr:col>1</xdr:col>
                <xdr:colOff>800100</xdr:colOff>
                <xdr:row>1</xdr:row>
                <xdr:rowOff>342900</xdr:rowOff>
              </to>
            </anchor>
          </controlPr>
        </control>
      </mc:Choice>
      <mc:Fallback>
        <control shapeId="2053" r:id="rId16" name="CommandButton6"/>
      </mc:Fallback>
    </mc:AlternateContent>
    <mc:AlternateContent xmlns:mc="http://schemas.openxmlformats.org/markup-compatibility/2006">
      <mc:Choice Requires="x14">
        <control shapeId="2052" r:id="rId18" name="CommandButton5">
          <controlPr defaultSize="0" autoLine="0" autoPict="0" r:id="rId19">
            <anchor moveWithCells="1">
              <from>
                <xdr:col>8</xdr:col>
                <xdr:colOff>38100</xdr:colOff>
                <xdr:row>0</xdr:row>
                <xdr:rowOff>38100</xdr:rowOff>
              </from>
              <to>
                <xdr:col>8</xdr:col>
                <xdr:colOff>381000</xdr:colOff>
                <xdr:row>0</xdr:row>
                <xdr:rowOff>295275</xdr:rowOff>
              </to>
            </anchor>
          </controlPr>
        </control>
      </mc:Choice>
      <mc:Fallback>
        <control shapeId="2052" r:id="rId18" name="CommandButton5"/>
      </mc:Fallback>
    </mc:AlternateContent>
    <mc:AlternateContent xmlns:mc="http://schemas.openxmlformats.org/markup-compatibility/2006">
      <mc:Choice Requires="x14">
        <control shapeId="2051" r:id="rId20" name="CommandButton4">
          <controlPr defaultSize="0" autoLine="0" autoPict="0" r:id="rId21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371475</xdr:colOff>
                <xdr:row>0</xdr:row>
                <xdr:rowOff>295275</xdr:rowOff>
              </to>
            </anchor>
          </controlPr>
        </control>
      </mc:Choice>
      <mc:Fallback>
        <control shapeId="2051" r:id="rId20" name="CommandButton4"/>
      </mc:Fallback>
    </mc:AlternateContent>
    <mc:AlternateContent xmlns:mc="http://schemas.openxmlformats.org/markup-compatibility/2006">
      <mc:Choice Requires="x14">
        <control shapeId="2050" r:id="rId22" name="CommandButton3">
          <controlPr defaultSize="0" autoLine="0" autoPict="0" r:id="rId23">
            <anchor moveWithCells="1">
              <from>
                <xdr:col>11</xdr:col>
                <xdr:colOff>57150</xdr:colOff>
                <xdr:row>0</xdr:row>
                <xdr:rowOff>38100</xdr:rowOff>
              </from>
              <to>
                <xdr:col>11</xdr:col>
                <xdr:colOff>419100</xdr:colOff>
                <xdr:row>0</xdr:row>
                <xdr:rowOff>295275</xdr:rowOff>
              </to>
            </anchor>
          </controlPr>
        </control>
      </mc:Choice>
      <mc:Fallback>
        <control shapeId="2050" r:id="rId22" name="CommandButton3"/>
      </mc:Fallback>
    </mc:AlternateContent>
    <mc:AlternateContent xmlns:mc="http://schemas.openxmlformats.org/markup-compatibility/2006">
      <mc:Choice Requires="x14">
        <control shapeId="2049" r:id="rId24" name="CommandButton2">
          <controlPr defaultSize="0" autoLine="0" autoPict="0" r:id="rId25">
            <anchor moveWithCells="1">
              <from>
                <xdr:col>4</xdr:col>
                <xdr:colOff>419100</xdr:colOff>
                <xdr:row>1</xdr:row>
                <xdr:rowOff>19050</xdr:rowOff>
              </from>
              <to>
                <xdr:col>6</xdr:col>
                <xdr:colOff>180975</xdr:colOff>
                <xdr:row>1</xdr:row>
                <xdr:rowOff>342900</xdr:rowOff>
              </to>
            </anchor>
          </controlPr>
        </control>
      </mc:Choice>
      <mc:Fallback>
        <control shapeId="2049" r:id="rId24" name="CommandButton2"/>
      </mc:Fallback>
    </mc:AlternateContent>
    <mc:AlternateContent xmlns:mc="http://schemas.openxmlformats.org/markup-compatibility/2006">
      <mc:Choice Requires="x14">
        <control shapeId="2057" r:id="rId26" name="CommandButton1">
          <controlPr defaultSize="0" autoLine="0" autoPict="0" r:id="rId27">
            <anchor moveWithCells="1">
              <from>
                <xdr:col>10</xdr:col>
                <xdr:colOff>66675</xdr:colOff>
                <xdr:row>0</xdr:row>
                <xdr:rowOff>38100</xdr:rowOff>
              </from>
              <to>
                <xdr:col>10</xdr:col>
                <xdr:colOff>419100</xdr:colOff>
                <xdr:row>0</xdr:row>
                <xdr:rowOff>295275</xdr:rowOff>
              </to>
            </anchor>
          </controlPr>
        </control>
      </mc:Choice>
      <mc:Fallback>
        <control shapeId="2057" r:id="rId26" name="CommandButton1"/>
      </mc:Fallback>
    </mc:AlternateContent>
    <mc:AlternateContent xmlns:mc="http://schemas.openxmlformats.org/markup-compatibility/2006">
      <mc:Choice Requires="x14">
        <control shapeId="2063" r:id="rId28" name="CommandButton8">
          <controlPr defaultSize="0" autoLine="0" autoPict="0" r:id="rId29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0</xdr:col>
                <xdr:colOff>695325</xdr:colOff>
                <xdr:row>1</xdr:row>
                <xdr:rowOff>342900</xdr:rowOff>
              </to>
            </anchor>
          </controlPr>
        </control>
      </mc:Choice>
      <mc:Fallback>
        <control shapeId="2063" r:id="rId28" name="CommandButton8"/>
      </mc:Fallback>
    </mc:AlternateContent>
    <mc:AlternateContent xmlns:mc="http://schemas.openxmlformats.org/markup-compatibility/2006">
      <mc:Choice Requires="x14">
        <control shapeId="2064" r:id="rId30" name="CommandButton10">
          <controlPr defaultSize="0" autoLine="0" autoPict="0" r:id="rId31">
            <anchor moveWithCells="1">
              <from>
                <xdr:col>12</xdr:col>
                <xdr:colOff>38100</xdr:colOff>
                <xdr:row>0</xdr:row>
                <xdr:rowOff>38100</xdr:rowOff>
              </from>
              <to>
                <xdr:col>12</xdr:col>
                <xdr:colOff>390525</xdr:colOff>
                <xdr:row>0</xdr:row>
                <xdr:rowOff>295275</xdr:rowOff>
              </to>
            </anchor>
          </controlPr>
        </control>
      </mc:Choice>
      <mc:Fallback>
        <control shapeId="2064" r:id="rId30" name="CommandButton10"/>
      </mc:Fallback>
    </mc:AlternateContent>
    <mc:AlternateContent xmlns:mc="http://schemas.openxmlformats.org/markup-compatibility/2006">
      <mc:Choice Requires="x14">
        <control shapeId="2065" r:id="rId32" name="CommandButton11">
          <controlPr defaultSize="0" autoLine="0" autoPict="0" r:id="rId33">
            <anchor moveWithCells="1">
              <from>
                <xdr:col>18</xdr:col>
                <xdr:colOff>19050</xdr:colOff>
                <xdr:row>1</xdr:row>
                <xdr:rowOff>19050</xdr:rowOff>
              </from>
              <to>
                <xdr:col>18</xdr:col>
                <xdr:colOff>561975</xdr:colOff>
                <xdr:row>1</xdr:row>
                <xdr:rowOff>342900</xdr:rowOff>
              </to>
            </anchor>
          </controlPr>
        </control>
      </mc:Choice>
      <mc:Fallback>
        <control shapeId="2065" r:id="rId32" name="CommandButton11"/>
      </mc:Fallback>
    </mc:AlternateContent>
    <mc:AlternateContent xmlns:mc="http://schemas.openxmlformats.org/markup-compatibility/2006">
      <mc:Choice Requires="x14">
        <control shapeId="2067" r:id="rId34" name="CommandButton12">
          <controlPr defaultSize="0" autoLine="0" r:id="rId35">
            <anchor moveWithCells="1">
              <from>
                <xdr:col>10</xdr:col>
                <xdr:colOff>171450</xdr:colOff>
                <xdr:row>1</xdr:row>
                <xdr:rowOff>19050</xdr:rowOff>
              </from>
              <to>
                <xdr:col>12</xdr:col>
                <xdr:colOff>428625</xdr:colOff>
                <xdr:row>1</xdr:row>
                <xdr:rowOff>342900</xdr:rowOff>
              </to>
            </anchor>
          </controlPr>
        </control>
      </mc:Choice>
      <mc:Fallback>
        <control shapeId="2067" r:id="rId34" name="CommandButton1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203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204</v>
      </c>
      <c r="L1" t="s">
        <v>204</v>
      </c>
    </row>
    <row r="2" spans="1:12">
      <c r="A2" s="73">
        <v>3324</v>
      </c>
      <c r="B2" s="73" t="s">
        <v>8</v>
      </c>
      <c r="C2" s="73">
        <f>VLOOKUP("營業收入淨額",PKA!$B$1:$L$500,9,0)</f>
        <v>1090</v>
      </c>
      <c r="D2" s="73">
        <f>VLOOKUP("營業收入淨額",PKA!$B$1:$L$500,8,0)</f>
        <v>980</v>
      </c>
      <c r="E2" s="73">
        <f>VLOOKUP("營業收入淨額",PKA!$B$1:$L$500,7,0)</f>
        <v>994</v>
      </c>
      <c r="F2" s="73">
        <f>VLOOKUP("營業收入淨額",PKA!$B$1:$L$500,6,0)</f>
        <v>1005</v>
      </c>
      <c r="G2" s="73">
        <f>VLOOKUP("營業收入淨額",PKA!$B$1:$L$500,5,0)</f>
        <v>1265</v>
      </c>
      <c r="H2" s="73">
        <f>VLOOKUP("營業收入淨額",PKA!$B$1:$L$500,4,0)</f>
        <v>1032</v>
      </c>
      <c r="I2" s="73">
        <f>VLOOKUP("營業收入淨額",PKA!$B$1:$L$500,3,0)</f>
        <v>959</v>
      </c>
      <c r="J2" s="73">
        <f>VLOOKUP("營業收入淨額",PKA!$B$1:$L$500,2,0)</f>
        <v>1389</v>
      </c>
      <c r="K2" s="73">
        <f>IF(ISNA(C4),MIN(C2:J3),MIN(C2:J4))</f>
        <v>959</v>
      </c>
      <c r="L2" s="73">
        <f>IF(ISNA(C4),MAX(C2:J3),MAX(C2:J3))</f>
        <v>6838</v>
      </c>
    </row>
    <row r="3" spans="1:12">
      <c r="A3" s="73">
        <v>3017</v>
      </c>
      <c r="B3" s="73" t="s">
        <v>8</v>
      </c>
      <c r="C3" s="73">
        <f>VLOOKUP("營業收入淨額",PKB!$B$1:$L$500,9,0)</f>
        <v>5769</v>
      </c>
      <c r="D3" s="73">
        <f>VLOOKUP("營業收入淨額",PKB!$B$1:$L$500,8,0)</f>
        <v>5598</v>
      </c>
      <c r="E3" s="73">
        <f>VLOOKUP("營業收入淨額",PKB!$B$1:$L$500,7,0)</f>
        <v>6240</v>
      </c>
      <c r="F3" s="73">
        <f>VLOOKUP("營業收入淨額",PKB!$B$1:$L$500,6,0)</f>
        <v>6131</v>
      </c>
      <c r="G3" s="73">
        <f>VLOOKUP("營業收入淨額",PKB!$B$1:$L$500,5,0)</f>
        <v>6077</v>
      </c>
      <c r="H3" s="73">
        <f>VLOOKUP("營業收入淨額",PKB!$B$1:$L$500,4,0)</f>
        <v>5887</v>
      </c>
      <c r="I3" s="73">
        <f>VLOOKUP("營業收入淨額",PKB!$B$1:$L$500,3,0)</f>
        <v>6222</v>
      </c>
      <c r="J3" s="73">
        <f>VLOOKUP("營業收入淨額",PKB!$B$1:$L$500,2,0)</f>
        <v>6838</v>
      </c>
      <c r="K3" s="73"/>
      <c r="L3" s="73"/>
    </row>
    <row r="4" spans="1:12">
      <c r="A4" s="73">
        <v>6230</v>
      </c>
      <c r="B4" s="73" t="s">
        <v>8</v>
      </c>
      <c r="C4" s="73">
        <f>VLOOKUP("營業收入淨額",PKC!$B$1:$L$500,9,0)</f>
        <v>1499</v>
      </c>
      <c r="D4" s="73">
        <f>VLOOKUP("營業收入淨額",PKC!$B$1:$L$500,8,0)</f>
        <v>1269</v>
      </c>
      <c r="E4" s="73">
        <f>VLOOKUP("營業收入淨額",PKC!$B$1:$L$500,7,0)</f>
        <v>1612</v>
      </c>
      <c r="F4" s="73">
        <f>VLOOKUP("營業收入淨額",PKC!$B$1:$L$500,6,0)</f>
        <v>1536</v>
      </c>
      <c r="G4" s="73">
        <f>VLOOKUP("營業收入淨額",PKC!$B$1:$L$500,5,0)</f>
        <v>1523</v>
      </c>
      <c r="H4" s="73">
        <f>VLOOKUP("營業收入淨額",PKC!$B$1:$L$500,4,0)</f>
        <v>1314</v>
      </c>
      <c r="I4" s="73">
        <f>VLOOKUP("營業收入淨額",PKC!$B$1:$L$500,3,0)</f>
        <v>1434</v>
      </c>
      <c r="J4" s="73">
        <f>VLOOKUP("營業收入淨額",PKC!$B$1:$L$500,2,0)</f>
        <v>1530</v>
      </c>
      <c r="K4" s="73"/>
      <c r="L4" s="73"/>
    </row>
    <row r="5" spans="1:12">
      <c r="A5" s="74">
        <v>3324</v>
      </c>
      <c r="B5" s="74" t="s">
        <v>9</v>
      </c>
      <c r="C5" s="74">
        <f>VLOOKUP("營業成本",PKA!$B$1:$L$500,9,0)</f>
        <v>939</v>
      </c>
      <c r="D5" s="74">
        <f>VLOOKUP("營業成本",PKA!$B$1:$L$500,8,0)</f>
        <v>861</v>
      </c>
      <c r="E5" s="74">
        <f>VLOOKUP("營業成本",PKA!$B$1:$L$500,7,0)</f>
        <v>857</v>
      </c>
      <c r="F5" s="74">
        <f>VLOOKUP("營業成本",PKA!$B$1:$L$500,6,0)</f>
        <v>879</v>
      </c>
      <c r="G5" s="74">
        <f>VLOOKUP("營業成本",PKA!$B$1:$L$500,5,0)</f>
        <v>1103</v>
      </c>
      <c r="H5" s="74">
        <f>VLOOKUP("營業成本",PKA!$B$1:$L$500,4,0)</f>
        <v>918</v>
      </c>
      <c r="I5" s="74">
        <f>VLOOKUP("營業成本",PKA!$B$1:$L$500,3,0)</f>
        <v>845</v>
      </c>
      <c r="J5" s="74">
        <f>VLOOKUP("營業成本",PKA!$B$1:$L$500,2,0)</f>
        <v>1121</v>
      </c>
      <c r="K5" s="74"/>
      <c r="L5" s="74"/>
    </row>
    <row r="6" spans="1:12">
      <c r="A6" s="74">
        <v>3017</v>
      </c>
      <c r="B6" s="74" t="s">
        <v>9</v>
      </c>
      <c r="C6" s="74">
        <f>VLOOKUP("營業成本",PKB!$B$1:$L$500,9,0)</f>
        <v>5178</v>
      </c>
      <c r="D6" s="74">
        <f>VLOOKUP("營業成本",PKB!$B$1:$L$500,8,0)</f>
        <v>5011</v>
      </c>
      <c r="E6" s="74">
        <f>VLOOKUP("營業成本",PKB!$B$1:$L$500,7,0)</f>
        <v>5421</v>
      </c>
      <c r="F6" s="74">
        <f>VLOOKUP("營業成本",PKB!$B$1:$L$500,6,0)</f>
        <v>5383</v>
      </c>
      <c r="G6" s="74">
        <f>VLOOKUP("營業成本",PKB!$B$1:$L$500,5,0)</f>
        <v>5301</v>
      </c>
      <c r="H6" s="74">
        <f>VLOOKUP("營業成本",PKB!$B$1:$L$500,4,0)</f>
        <v>5162</v>
      </c>
      <c r="I6" s="74">
        <f>VLOOKUP("營業成本",PKB!$B$1:$L$500,3,0)</f>
        <v>5549</v>
      </c>
      <c r="J6" s="74">
        <f>VLOOKUP("營業成本",PKB!$B$1:$L$500,2,0)</f>
        <v>5962</v>
      </c>
      <c r="K6" s="74"/>
      <c r="L6" s="74"/>
    </row>
    <row r="7" spans="1:12">
      <c r="A7" s="74">
        <v>6230</v>
      </c>
      <c r="B7" s="74" t="s">
        <v>9</v>
      </c>
      <c r="C7" s="74">
        <f>VLOOKUP("營業成本",PKC!$B$1:$L$500,9,0)</f>
        <v>1186</v>
      </c>
      <c r="D7" s="74">
        <f>VLOOKUP("營業成本",PKC!$B$1:$L$500,8,0)</f>
        <v>981</v>
      </c>
      <c r="E7" s="74">
        <f>VLOOKUP("營業成本",PKC!$B$1:$L$500,7,0)</f>
        <v>1200</v>
      </c>
      <c r="F7" s="74">
        <f>VLOOKUP("營業成本",PKC!$B$1:$L$500,6,0)</f>
        <v>1181</v>
      </c>
      <c r="G7" s="74">
        <f>VLOOKUP("營業成本",PKC!$B$1:$L$500,5,0)</f>
        <v>1149</v>
      </c>
      <c r="H7" s="74">
        <f>VLOOKUP("營業成本",PKC!$B$1:$L$500,4,0)</f>
        <v>1007</v>
      </c>
      <c r="I7" s="74">
        <f>VLOOKUP("營業成本",PKC!$B$1:$L$500,3,0)</f>
        <v>1114</v>
      </c>
      <c r="J7" s="74">
        <f>VLOOKUP("營業成本",PKC!$B$1:$L$500,2,0)</f>
        <v>1150</v>
      </c>
      <c r="K7" s="74"/>
      <c r="L7" s="74"/>
    </row>
    <row r="8" spans="1:12">
      <c r="A8" s="75">
        <v>3324</v>
      </c>
      <c r="B8" s="75" t="s">
        <v>11</v>
      </c>
      <c r="C8" s="75">
        <f>VLOOKUP("本期稅後淨利",PKA!$B$1:$L$500,9,0)</f>
        <v>31</v>
      </c>
      <c r="D8" s="75">
        <f>VLOOKUP("本期稅後淨利",PKA!$B$1:$L$500,8,0)</f>
        <v>3</v>
      </c>
      <c r="E8" s="75">
        <f>VLOOKUP("本期稅後淨利",PKA!$B$1:$L$500,7,0)</f>
        <v>3</v>
      </c>
      <c r="F8" s="75">
        <f>VLOOKUP("本期稅後淨利",PKA!$B$1:$L$500,6,0)</f>
        <v>-23</v>
      </c>
      <c r="G8" s="75">
        <f>VLOOKUP("本期稅後淨利",PKA!$B$1:$L$500,5,0)</f>
        <v>33</v>
      </c>
      <c r="H8" s="75">
        <f>VLOOKUP("本期稅後淨利",PKA!$B$1:$L$500,4,0)</f>
        <v>-29</v>
      </c>
      <c r="I8" s="75">
        <f>VLOOKUP("本期稅後淨利",PKA!$B$1:$L$500,3,0)</f>
        <v>-3</v>
      </c>
      <c r="J8" s="75">
        <f>VLOOKUP("本期稅後淨利",PKA!$B$1:$L$500,2,0)</f>
        <v>141</v>
      </c>
      <c r="K8" s="75"/>
      <c r="L8" s="75"/>
    </row>
    <row r="9" spans="1:12">
      <c r="A9" s="75">
        <v>3017</v>
      </c>
      <c r="B9" s="75" t="s">
        <v>11</v>
      </c>
      <c r="C9" s="75">
        <f>VLOOKUP("本期稅後淨利",PKB!$B$1:$L$500,9,0)</f>
        <v>66</v>
      </c>
      <c r="D9" s="75">
        <f>VLOOKUP("本期稅後淨利",PKB!$B$1:$L$500,8,0)</f>
        <v>64</v>
      </c>
      <c r="E9" s="75">
        <f>VLOOKUP("本期稅後淨利",PKB!$B$1:$L$500,7,0)</f>
        <v>150</v>
      </c>
      <c r="F9" s="75">
        <f>VLOOKUP("本期稅後淨利",PKB!$B$1:$L$500,6,0)</f>
        <v>360</v>
      </c>
      <c r="G9" s="75">
        <f>VLOOKUP("本期稅後淨利",PKB!$B$1:$L$500,5,0)</f>
        <v>154</v>
      </c>
      <c r="H9" s="75">
        <f>VLOOKUP("本期稅後淨利",PKB!$B$1:$L$500,4,0)</f>
        <v>155</v>
      </c>
      <c r="I9" s="75">
        <f>VLOOKUP("本期稅後淨利",PKB!$B$1:$L$500,3,0)</f>
        <v>152</v>
      </c>
      <c r="J9" s="75">
        <f>VLOOKUP("本期稅後淨利",PKB!$B$1:$L$500,2,0)</f>
        <v>219</v>
      </c>
      <c r="K9" s="75"/>
      <c r="L9" s="75"/>
    </row>
    <row r="10" spans="1:12">
      <c r="A10" s="75">
        <v>6230</v>
      </c>
      <c r="B10" s="75" t="s">
        <v>11</v>
      </c>
      <c r="C10" s="75">
        <f>VLOOKUP("本期稅後淨利",PKC!$B$1:$L$500,9,0)</f>
        <v>131</v>
      </c>
      <c r="D10" s="75">
        <f>VLOOKUP("本期稅後淨利",PKC!$B$1:$L$500,8,0)</f>
        <v>107</v>
      </c>
      <c r="E10" s="75">
        <f>VLOOKUP("本期稅後淨利",PKC!$B$1:$L$500,7,0)</f>
        <v>171</v>
      </c>
      <c r="F10" s="75">
        <f>VLOOKUP("本期稅後淨利",PKC!$B$1:$L$500,6,0)</f>
        <v>162</v>
      </c>
      <c r="G10" s="75">
        <f>VLOOKUP("本期稅後淨利",PKC!$B$1:$L$500,5,0)</f>
        <v>130</v>
      </c>
      <c r="H10" s="75">
        <f>VLOOKUP("本期稅後淨利",PKC!$B$1:$L$500,4,0)</f>
        <v>131</v>
      </c>
      <c r="I10" s="75">
        <f>VLOOKUP("本期稅後淨利",PKC!$B$1:$L$500,3,0)</f>
        <v>102</v>
      </c>
      <c r="J10" s="75">
        <f>VLOOKUP("本期稅後淨利",PKC!$B$1:$L$500,2,0)</f>
        <v>221</v>
      </c>
      <c r="K10" s="75"/>
      <c r="L10" s="75"/>
    </row>
    <row r="11" spans="1:12">
      <c r="A11" s="76">
        <v>3324</v>
      </c>
      <c r="B11" s="76" t="s">
        <v>205</v>
      </c>
      <c r="C11" s="76">
        <f>VLOOKUP("每股盈餘 (元)",PKA!$B$1:$L$500,9,0)</f>
        <v>0.48</v>
      </c>
      <c r="D11" s="76">
        <f>VLOOKUP("每股盈餘 (元)",PKA!$B$1:$L$500,8,0)</f>
        <v>0.04</v>
      </c>
      <c r="E11" s="76">
        <f>VLOOKUP("每股盈餘 (元)",PKA!$B$1:$L$500,7,0)</f>
        <v>0.04</v>
      </c>
      <c r="F11" s="76">
        <f>VLOOKUP("每股盈餘 (元)",PKA!$B$1:$L$500,6,0)</f>
        <v>-0.32</v>
      </c>
      <c r="G11" s="76">
        <f>VLOOKUP("每股盈餘 (元)",PKA!$B$1:$L$500,5,0)</f>
        <v>0.46</v>
      </c>
      <c r="H11" s="76">
        <f>VLOOKUP("每股盈餘 (元)",PKA!$B$1:$L$500,4,0)</f>
        <v>-0.4</v>
      </c>
      <c r="I11" s="76">
        <f>VLOOKUP("每股盈餘 (元)",PKA!$B$1:$L$500,3,0)</f>
        <v>-0.04</v>
      </c>
      <c r="J11" s="76">
        <f>VLOOKUP("每股盈餘 (元)",PKA!$B$1:$L$500,2,0)</f>
        <v>1.99</v>
      </c>
      <c r="K11" s="76"/>
      <c r="L11" s="76">
        <f>(SUM(G11:J11)/2)+(J11+I11)/2+(((G11-F11)/F11)+1)*J11</f>
        <v>-0.88062500000000021</v>
      </c>
    </row>
    <row r="12" spans="1:12">
      <c r="A12" s="76">
        <v>3017</v>
      </c>
      <c r="B12" s="76" t="s">
        <v>205</v>
      </c>
      <c r="C12" s="76">
        <f>VLOOKUP("每股盈餘 (元)",PKB!$B$1:$L$500,9,0)</f>
        <v>0.19</v>
      </c>
      <c r="D12" s="76">
        <f>VLOOKUP("每股盈餘 (元)",PKB!$B$1:$L$500,8,0)</f>
        <v>0.18</v>
      </c>
      <c r="E12" s="76">
        <f>VLOOKUP("每股盈餘 (元)",PKB!$B$1:$L$500,7,0)</f>
        <v>0.42</v>
      </c>
      <c r="F12" s="76">
        <f>VLOOKUP("每股盈餘 (元)",PKB!$B$1:$L$500,6,0)</f>
        <v>1.02</v>
      </c>
      <c r="G12" s="76">
        <f>VLOOKUP("每股盈餘 (元)",PKB!$B$1:$L$500,5,0)</f>
        <v>0.44</v>
      </c>
      <c r="H12" s="76">
        <f>VLOOKUP("每股盈餘 (元)",PKB!$B$1:$L$500,4,0)</f>
        <v>0.44</v>
      </c>
      <c r="I12" s="76">
        <f>VLOOKUP("每股盈餘 (元)",PKB!$B$1:$L$500,3,0)</f>
        <v>0.43</v>
      </c>
      <c r="J12" s="76">
        <f>VLOOKUP("每股盈餘 (元)",PKB!$B$1:$L$500,2,0)</f>
        <v>0.62</v>
      </c>
      <c r="K12" s="76"/>
      <c r="L12" s="76">
        <f>(SUM(G12:J12)/2)+(J12+I12)/2+(((G12-F12)/F12)+1)*J12</f>
        <v>1.757450980392157</v>
      </c>
    </row>
    <row r="13" spans="1:12">
      <c r="A13" s="76">
        <v>6230</v>
      </c>
      <c r="B13" s="76" t="s">
        <v>205</v>
      </c>
      <c r="C13" s="76">
        <f>VLOOKUP("每股盈餘 (元)",PKC!$B$1:$L$500,9,0)</f>
        <v>1.52</v>
      </c>
      <c r="D13" s="76">
        <f>VLOOKUP("每股盈餘 (元)",PKC!$B$1:$L$500,8,0)</f>
        <v>1.24</v>
      </c>
      <c r="E13" s="76">
        <f>VLOOKUP("每股盈餘 (元)",PKC!$B$1:$L$500,7,0)</f>
        <v>1.99</v>
      </c>
      <c r="F13" s="76">
        <f>VLOOKUP("每股盈餘 (元)",PKC!$B$1:$L$500,6,0)</f>
        <v>1.88</v>
      </c>
      <c r="G13" s="76">
        <f>VLOOKUP("每股盈餘 (元)",PKC!$B$1:$L$500,5,0)</f>
        <v>1.5</v>
      </c>
      <c r="H13" s="76">
        <f>VLOOKUP("每股盈餘 (元)",PKC!$B$1:$L$500,4,0)</f>
        <v>1.52</v>
      </c>
      <c r="I13" s="76">
        <f>VLOOKUP("每股盈餘 (元)",PKC!$B$1:$L$500,3,0)</f>
        <v>1.18</v>
      </c>
      <c r="J13" s="76">
        <f>VLOOKUP("每股盈餘 (元)",PKC!$B$1:$L$500,2,0)</f>
        <v>2.56</v>
      </c>
      <c r="K13" s="76"/>
      <c r="L13" s="76">
        <f>(SUM(G13:J13)/2)+(J13+I13)/2+(((G13-F13)/F13)+1)*J13</f>
        <v>7.2925531914893611</v>
      </c>
    </row>
    <row r="14" spans="1:12">
      <c r="A14" s="77">
        <v>3324</v>
      </c>
      <c r="B14" s="77" t="s">
        <v>187</v>
      </c>
      <c r="C14" s="77">
        <f>VLOOKUP(" 應收帳款及票據",PKA!$B$1:$L$500,9,0)</f>
        <v>915</v>
      </c>
      <c r="D14" s="77">
        <f>VLOOKUP(" 應收帳款及票據",PKA!$B$1:$L$500,8,0)</f>
        <v>902</v>
      </c>
      <c r="E14" s="77">
        <f>VLOOKUP(" 應收帳款及票據",PKA!$B$1:$L$500,7,0)</f>
        <v>927</v>
      </c>
      <c r="F14" s="77">
        <f>VLOOKUP(" 應收帳款及票據",PKA!$B$1:$L$500,6,0)</f>
        <v>916</v>
      </c>
      <c r="G14" s="77">
        <f>VLOOKUP(" 應收帳款及票據",PKA!$B$1:$L$500,5,0)</f>
        <v>1123</v>
      </c>
      <c r="H14" s="77">
        <f>VLOOKUP(" 應收帳款及票據",PKA!$B$1:$L$500,4,0)</f>
        <v>1075</v>
      </c>
      <c r="I14" s="77">
        <f>VLOOKUP(" 應收帳款及票據",PKA!$B$1:$L$500,3,0)</f>
        <v>777</v>
      </c>
      <c r="J14" s="77">
        <f>VLOOKUP(" 應收帳款及票據",PKA!$B$1:$L$500,2,0)</f>
        <v>1392</v>
      </c>
      <c r="K14" s="77"/>
      <c r="L14" s="77"/>
    </row>
    <row r="15" spans="1:12">
      <c r="A15" s="77">
        <v>3017</v>
      </c>
      <c r="B15" s="77" t="s">
        <v>187</v>
      </c>
      <c r="C15" s="77">
        <f>VLOOKUP(" 應收帳款及票據",PKB!$B$1:$L$500,9,0)</f>
        <v>6049</v>
      </c>
      <c r="D15" s="77">
        <f>VLOOKUP(" 應收帳款及票據",PKB!$B$1:$L$500,8,0)</f>
        <v>5524</v>
      </c>
      <c r="E15" s="77">
        <f>VLOOKUP(" 應收帳款及票據",PKB!$B$1:$L$500,7,0)</f>
        <v>5838</v>
      </c>
      <c r="F15" s="77">
        <f>VLOOKUP(" 應收帳款及票據",PKB!$B$1:$L$500,6,0)</f>
        <v>5818</v>
      </c>
      <c r="G15" s="77">
        <f>VLOOKUP(" 應收帳款及票據",PKB!$B$1:$L$500,5,0)</f>
        <v>6004</v>
      </c>
      <c r="H15" s="77">
        <f>VLOOKUP(" 應收帳款及票據",PKB!$B$1:$L$500,4,0)</f>
        <v>5326</v>
      </c>
      <c r="I15" s="77">
        <f>VLOOKUP(" 應收帳款及票據",PKB!$B$1:$L$500,3,0)</f>
        <v>5948</v>
      </c>
      <c r="J15" s="77">
        <f>VLOOKUP(" 應收帳款及票據",PKB!$B$1:$L$500,2,0)</f>
        <v>6889</v>
      </c>
      <c r="K15" s="77"/>
      <c r="L15" s="77"/>
    </row>
    <row r="16" spans="1:12">
      <c r="A16" s="77">
        <v>6230</v>
      </c>
      <c r="B16" s="77" t="s">
        <v>187</v>
      </c>
      <c r="C16" s="77">
        <f>VLOOKUP(" 應收帳款及票據",PKC!$B$1:$L$500,9,0)</f>
        <v>1735</v>
      </c>
      <c r="D16" s="77">
        <f>VLOOKUP(" 應收帳款及票據",PKC!$B$1:$L$500,8,0)</f>
        <v>1522</v>
      </c>
      <c r="E16" s="77">
        <f>VLOOKUP(" 應收帳款及票據",PKC!$B$1:$L$500,7,0)</f>
        <v>1757</v>
      </c>
      <c r="F16" s="77">
        <f>VLOOKUP(" 應收帳款及票據",PKC!$B$1:$L$500,6,0)</f>
        <v>1784</v>
      </c>
      <c r="G16" s="77">
        <f>VLOOKUP(" 應收帳款及票據",PKC!$B$1:$L$500,5,0)</f>
        <v>1819</v>
      </c>
      <c r="H16" s="77">
        <f>VLOOKUP(" 應收帳款及票據",PKC!$B$1:$L$500,4,0)</f>
        <v>1545</v>
      </c>
      <c r="I16" s="77">
        <f>VLOOKUP(" 應收帳款及票據",PKC!$B$1:$L$500,3,0)</f>
        <v>1503</v>
      </c>
      <c r="J16" s="77">
        <f>VLOOKUP(" 應收帳款及票據",PKC!$B$1:$L$500,2,0)</f>
        <v>1722</v>
      </c>
      <c r="K16" s="77"/>
      <c r="L16" s="77"/>
    </row>
    <row r="17" spans="1:12">
      <c r="A17" s="73">
        <v>3324</v>
      </c>
      <c r="B17" s="73" t="s">
        <v>13</v>
      </c>
      <c r="C17" s="73">
        <f>VLOOKUP(" 存貨",PKA!$B$1:$L$500,9,0)</f>
        <v>482</v>
      </c>
      <c r="D17" s="73">
        <f>VLOOKUP(" 存貨",PKA!$B$1:$L$500,8,0)</f>
        <v>430</v>
      </c>
      <c r="E17" s="73">
        <f>VLOOKUP(" 存貨",PKA!$B$1:$L$500,7,0)</f>
        <v>365</v>
      </c>
      <c r="F17" s="73">
        <f>VLOOKUP(" 存貨",PKA!$B$1:$L$500,6,0)</f>
        <v>370</v>
      </c>
      <c r="G17" s="73">
        <f>VLOOKUP(" 存貨",PKA!$B$1:$L$500,5,0)</f>
        <v>454</v>
      </c>
      <c r="H17" s="73">
        <f>VLOOKUP(" 存貨",PKA!$B$1:$L$500,4,0)</f>
        <v>462</v>
      </c>
      <c r="I17" s="73">
        <f>VLOOKUP(" 存貨",PKA!$B$1:$L$500,3,0)</f>
        <v>381</v>
      </c>
      <c r="J17" s="73">
        <f>VLOOKUP(" 存貨",PKA!$B$1:$L$500,2,0)</f>
        <v>475</v>
      </c>
      <c r="K17" s="73"/>
      <c r="L17" s="73"/>
    </row>
    <row r="18" spans="1:12">
      <c r="A18" s="73">
        <v>3017</v>
      </c>
      <c r="B18" s="73" t="s">
        <v>13</v>
      </c>
      <c r="C18" s="73">
        <f>VLOOKUP(" 存貨",PKB!$B$1:$L$500,9,0)</f>
        <v>3521</v>
      </c>
      <c r="D18" s="73">
        <f>VLOOKUP(" 存貨",PKB!$B$1:$L$500,8,0)</f>
        <v>3377</v>
      </c>
      <c r="E18" s="73">
        <f>VLOOKUP(" 存貨",PKB!$B$1:$L$500,7,0)</f>
        <v>3547</v>
      </c>
      <c r="F18" s="73">
        <f>VLOOKUP(" 存貨",PKB!$B$1:$L$500,6,0)</f>
        <v>3769</v>
      </c>
      <c r="G18" s="73">
        <f>VLOOKUP(" 存貨",PKB!$B$1:$L$500,5,0)</f>
        <v>4208</v>
      </c>
      <c r="H18" s="73">
        <f>VLOOKUP(" 存貨",PKB!$B$1:$L$500,4,0)</f>
        <v>4071</v>
      </c>
      <c r="I18" s="73">
        <f>VLOOKUP(" 存貨",PKB!$B$1:$L$500,3,0)</f>
        <v>3629</v>
      </c>
      <c r="J18" s="73">
        <f>VLOOKUP(" 存貨",PKB!$B$1:$L$500,2,0)</f>
        <v>3566</v>
      </c>
      <c r="K18" s="73"/>
      <c r="L18" s="73"/>
    </row>
    <row r="19" spans="1:12">
      <c r="A19" s="73">
        <v>6230</v>
      </c>
      <c r="B19" s="73" t="s">
        <v>13</v>
      </c>
      <c r="C19" s="73">
        <f>VLOOKUP(" 存貨",PKC!$B$1:$L$500,9,0)</f>
        <v>728</v>
      </c>
      <c r="D19" s="73">
        <f>VLOOKUP(" 存貨",PKC!$B$1:$L$500,8,0)</f>
        <v>697</v>
      </c>
      <c r="E19" s="73">
        <f>VLOOKUP(" 存貨",PKC!$B$1:$L$500,7,0)</f>
        <v>695</v>
      </c>
      <c r="F19" s="73">
        <f>VLOOKUP(" 存貨",PKC!$B$1:$L$500,6,0)</f>
        <v>741</v>
      </c>
      <c r="G19" s="73">
        <f>VLOOKUP(" 存貨",PKC!$B$1:$L$500,5,0)</f>
        <v>773</v>
      </c>
      <c r="H19" s="73">
        <f>VLOOKUP(" 存貨",PKC!$B$1:$L$500,4,0)</f>
        <v>818</v>
      </c>
      <c r="I19" s="73">
        <f>VLOOKUP(" 存貨",PKC!$B$1:$L$500,3,0)</f>
        <v>670</v>
      </c>
      <c r="J19" s="73">
        <f>VLOOKUP(" 存貨",PKC!$B$1:$L$500,2,0)</f>
        <v>840</v>
      </c>
      <c r="K19" s="73"/>
      <c r="L19" s="73"/>
    </row>
    <row r="20" spans="1:12">
      <c r="A20" s="74">
        <v>3324</v>
      </c>
      <c r="B20" s="74" t="s">
        <v>15</v>
      </c>
      <c r="C20" s="74">
        <f>VLOOKUP("負債總額",PKA!$B$1:$L$500,9,0)</f>
        <v>2095</v>
      </c>
      <c r="D20" s="74">
        <f>VLOOKUP("負債總額",PKA!$B$1:$L$500,8,0)</f>
        <v>1944</v>
      </c>
      <c r="E20" s="74">
        <f>VLOOKUP("負債總額",PKA!$B$1:$L$500,7,0)</f>
        <v>1597</v>
      </c>
      <c r="F20" s="74">
        <f>VLOOKUP("負債總額",PKA!$B$1:$L$500,6,0)</f>
        <v>1639</v>
      </c>
      <c r="G20" s="74">
        <f>VLOOKUP("負債總額",PKA!$B$1:$L$500,5,0)</f>
        <v>2083</v>
      </c>
      <c r="H20" s="74">
        <f>VLOOKUP("負債總額",PKA!$B$1:$L$500,4,0)</f>
        <v>2043</v>
      </c>
      <c r="I20" s="74">
        <f>VLOOKUP("負債總額",PKA!$B$1:$L$500,3,0)</f>
        <v>1693</v>
      </c>
      <c r="J20" s="74">
        <f>VLOOKUP("負債總額",PKA!$B$1:$L$500,2,0)</f>
        <v>2256</v>
      </c>
      <c r="K20" s="74"/>
      <c r="L20" s="74"/>
    </row>
    <row r="21" spans="1:12">
      <c r="A21" s="74">
        <v>3017</v>
      </c>
      <c r="B21" s="74" t="s">
        <v>15</v>
      </c>
      <c r="C21" s="74">
        <f>VLOOKUP("負債總額",PKB!$B$1:$L$500,9,0)</f>
        <v>14479</v>
      </c>
      <c r="D21" s="74">
        <f>VLOOKUP("負債總額",PKB!$B$1:$L$500,8,0)</f>
        <v>14361</v>
      </c>
      <c r="E21" s="74">
        <f>VLOOKUP("負債總額",PKB!$B$1:$L$500,7,0)</f>
        <v>14387</v>
      </c>
      <c r="F21" s="74">
        <f>VLOOKUP("負債總額",PKB!$B$1:$L$500,6,0)</f>
        <v>15068</v>
      </c>
      <c r="G21" s="74">
        <f>VLOOKUP("負債總額",PKB!$B$1:$L$500,5,0)</f>
        <v>15120</v>
      </c>
      <c r="H21" s="74">
        <f>VLOOKUP("負債總額",PKB!$B$1:$L$500,4,0)</f>
        <v>15559</v>
      </c>
      <c r="I21" s="74">
        <f>VLOOKUP("負債總額",PKB!$B$1:$L$500,3,0)</f>
        <v>15463</v>
      </c>
      <c r="J21" s="74">
        <f>VLOOKUP("負債總額",PKB!$B$1:$L$500,2,0)</f>
        <v>17064</v>
      </c>
      <c r="K21" s="74"/>
      <c r="L21" s="74"/>
    </row>
    <row r="22" spans="1:12">
      <c r="A22" s="74">
        <v>6230</v>
      </c>
      <c r="B22" s="74" t="s">
        <v>15</v>
      </c>
      <c r="C22" s="74">
        <f>VLOOKUP("負債總額",PKC!$B$1:$L$500,9,0)</f>
        <v>2669</v>
      </c>
      <c r="D22" s="74">
        <f>VLOOKUP("負債總額",PKC!$B$1:$L$500,8,0)</f>
        <v>2412</v>
      </c>
      <c r="E22" s="74">
        <f>VLOOKUP("負債總額",PKC!$B$1:$L$500,7,0)</f>
        <v>2697</v>
      </c>
      <c r="F22" s="74">
        <f>VLOOKUP("負債總額",PKC!$B$1:$L$500,6,0)</f>
        <v>2446</v>
      </c>
      <c r="G22" s="74">
        <f>VLOOKUP("負債總額",PKC!$B$1:$L$500,5,0)</f>
        <v>2333</v>
      </c>
      <c r="H22" s="74">
        <f>VLOOKUP("負債總額",PKC!$B$1:$L$500,4,0)</f>
        <v>2535</v>
      </c>
      <c r="I22" s="74">
        <f>VLOOKUP("負債總額",PKC!$B$1:$L$500,3,0)</f>
        <v>2430</v>
      </c>
      <c r="J22" s="74">
        <f>VLOOKUP("負債總額",PKC!$B$1:$L$500,2,0)</f>
        <v>2555</v>
      </c>
      <c r="K22" s="74"/>
      <c r="L22" s="74"/>
    </row>
    <row r="23" spans="1:12">
      <c r="A23" s="75">
        <v>3324</v>
      </c>
      <c r="B23" s="75" t="s">
        <v>16</v>
      </c>
      <c r="C23" s="75">
        <f>VLOOKUP("資產總額",PKA!$B$1:$L$500,9,0)</f>
        <v>3336</v>
      </c>
      <c r="D23" s="75">
        <f>VLOOKUP("資產總額",PKA!$B$1:$L$500,8,0)</f>
        <v>3184</v>
      </c>
      <c r="E23" s="75">
        <f>VLOOKUP("資產總額",PKA!$B$1:$L$500,7,0)</f>
        <v>2806</v>
      </c>
      <c r="F23" s="75">
        <f>VLOOKUP("資產總額",PKA!$B$1:$L$500,6,0)</f>
        <v>2849</v>
      </c>
      <c r="G23" s="75">
        <f>VLOOKUP("資產總額",PKA!$B$1:$L$500,5,0)</f>
        <v>3344</v>
      </c>
      <c r="H23" s="75">
        <f>VLOOKUP("資產總額",PKA!$B$1:$L$500,4,0)</f>
        <v>3267</v>
      </c>
      <c r="I23" s="75">
        <f>VLOOKUP("資產總額",PKA!$B$1:$L$500,3,0)</f>
        <v>2892</v>
      </c>
      <c r="J23" s="75">
        <f>VLOOKUP("資產總額",PKA!$B$1:$L$500,2,0)</f>
        <v>3641</v>
      </c>
      <c r="K23" s="75"/>
      <c r="L23" s="75"/>
    </row>
    <row r="24" spans="1:12">
      <c r="A24" s="75">
        <v>3017</v>
      </c>
      <c r="B24" s="75" t="s">
        <v>16</v>
      </c>
      <c r="C24" s="75">
        <f>VLOOKUP("資產總額",PKB!$B$1:$L$500,9,0)</f>
        <v>21896</v>
      </c>
      <c r="D24" s="75">
        <f>VLOOKUP("資產總額",PKB!$B$1:$L$500,8,0)</f>
        <v>21855</v>
      </c>
      <c r="E24" s="75">
        <f>VLOOKUP("資產總額",PKB!$B$1:$L$500,7,0)</f>
        <v>21737</v>
      </c>
      <c r="F24" s="75">
        <f>VLOOKUP("資產總額",PKB!$B$1:$L$500,6,0)</f>
        <v>23051</v>
      </c>
      <c r="G24" s="75">
        <f>VLOOKUP("資產總額",PKB!$B$1:$L$500,5,0)</f>
        <v>23603</v>
      </c>
      <c r="H24" s="75">
        <f>VLOOKUP("資產總額",PKB!$B$1:$L$500,4,0)</f>
        <v>24121</v>
      </c>
      <c r="I24" s="75">
        <f>VLOOKUP("資產總額",PKB!$B$1:$L$500,3,0)</f>
        <v>23668</v>
      </c>
      <c r="J24" s="75">
        <f>VLOOKUP("資產總額",PKB!$B$1:$L$500,2,0)</f>
        <v>25930</v>
      </c>
      <c r="K24" s="75"/>
      <c r="L24" s="75"/>
    </row>
    <row r="25" spans="1:12">
      <c r="A25" s="75">
        <v>6230</v>
      </c>
      <c r="B25" s="75" t="s">
        <v>16</v>
      </c>
      <c r="C25" s="75">
        <f>VLOOKUP("資產總額",PKC!$B$1:$L$500,9,0)</f>
        <v>5511</v>
      </c>
      <c r="D25" s="75">
        <f>VLOOKUP("資產總額",PKC!$B$1:$L$500,8,0)</f>
        <v>5356</v>
      </c>
      <c r="E25" s="75">
        <f>VLOOKUP("資產總額",PKC!$B$1:$L$500,7,0)</f>
        <v>5502</v>
      </c>
      <c r="F25" s="75">
        <f>VLOOKUP("資產總額",PKC!$B$1:$L$500,6,0)</f>
        <v>5460</v>
      </c>
      <c r="G25" s="75">
        <f>VLOOKUP("資產總額",PKC!$B$1:$L$500,5,0)</f>
        <v>5536</v>
      </c>
      <c r="H25" s="75">
        <f>VLOOKUP("資產總額",PKC!$B$1:$L$500,4,0)</f>
        <v>5850</v>
      </c>
      <c r="I25" s="75">
        <f>VLOOKUP("資產總額",PKC!$B$1:$L$500,3,0)</f>
        <v>5474</v>
      </c>
      <c r="J25" s="75">
        <f>VLOOKUP("資產總額",PKC!$B$1:$L$500,2,0)</f>
        <v>5904</v>
      </c>
      <c r="K25" s="75"/>
      <c r="L25" s="75"/>
    </row>
    <row r="26" spans="1:12">
      <c r="A26" s="76">
        <v>3324</v>
      </c>
      <c r="B26" s="76" t="s">
        <v>206</v>
      </c>
      <c r="C26" s="76">
        <f>VLOOKUP("來自營運之現金流量",PKA!$B$1:$L$500,9,0)</f>
        <v>114</v>
      </c>
      <c r="D26" s="76">
        <f>VLOOKUP("來自營運之現金流量",PKA!$B$1:$L$500,8,0)</f>
        <v>69</v>
      </c>
      <c r="E26" s="76">
        <f>VLOOKUP("來自營運之現金流量",PKA!$B$1:$L$500,7,0)</f>
        <v>-18</v>
      </c>
      <c r="F26" s="76">
        <f>VLOOKUP("來自營運之現金流量",PKA!$B$1:$L$500,6,0)</f>
        <v>91</v>
      </c>
      <c r="G26" s="76">
        <f>VLOOKUP("來自營運之現金流量",PKA!$B$1:$L$500,5,0)</f>
        <v>187</v>
      </c>
      <c r="H26" s="76">
        <f>VLOOKUP("來自營運之現金流量",PKA!$B$1:$L$500,4,0)</f>
        <v>-92</v>
      </c>
      <c r="I26" s="76">
        <f>VLOOKUP("來自營運之現金流量",PKA!$B$1:$L$500,3,0)</f>
        <v>147</v>
      </c>
      <c r="J26" s="76">
        <f>VLOOKUP("來自營運之現金流量",PKA!$B$1:$L$500,2,0)</f>
        <v>8</v>
      </c>
      <c r="K26" s="76">
        <f>IF(ISNA(C28),MIN(C26:J27),MIN(C26:J28))</f>
        <v>-93</v>
      </c>
      <c r="L26" s="76">
        <f>IF(ISNA(C28),MAX(C26:J27),MAX(C26:J28))</f>
        <v>1248</v>
      </c>
    </row>
    <row r="27" spans="1:12">
      <c r="A27" s="76">
        <v>3017</v>
      </c>
      <c r="B27" s="76" t="s">
        <v>207</v>
      </c>
      <c r="C27" s="76">
        <f>VLOOKUP("來自營運之現金流量",PKB!$B$1:$L$500,9,0)</f>
        <v>580</v>
      </c>
      <c r="D27" s="76">
        <f>VLOOKUP("來自營運之現金流量",PKB!$B$1:$L$500,8,0)</f>
        <v>512</v>
      </c>
      <c r="E27" s="76">
        <f>VLOOKUP("來自營運之現金流量",PKB!$B$1:$L$500,7,0)</f>
        <v>30</v>
      </c>
      <c r="F27" s="76">
        <f>VLOOKUP("來自營運之現金流量",PKB!$B$1:$L$500,6,0)</f>
        <v>1248</v>
      </c>
      <c r="G27" s="76">
        <f>VLOOKUP("來自營運之現金流量",PKB!$B$1:$L$500,5,0)</f>
        <v>173</v>
      </c>
      <c r="H27" s="76">
        <f>VLOOKUP("來自營運之現金流量",PKB!$B$1:$L$500,4,0)</f>
        <v>571</v>
      </c>
      <c r="I27" s="76">
        <f>VLOOKUP("來自營運之現金流量",PKB!$B$1:$L$500,3,0)</f>
        <v>-93</v>
      </c>
      <c r="J27" s="76">
        <f>VLOOKUP("來自營運之現金流量",PKB!$B$1:$L$500,2,0)</f>
        <v>473</v>
      </c>
      <c r="K27" s="76"/>
      <c r="L27" s="76"/>
    </row>
    <row r="28" spans="1:12">
      <c r="A28" s="76">
        <v>6230</v>
      </c>
      <c r="B28" s="76" t="s">
        <v>207</v>
      </c>
      <c r="C28" s="76">
        <f>VLOOKUP("來自營運之現金流量",PKC!$B$1:$L$500,9,0)</f>
        <v>13</v>
      </c>
      <c r="D28" s="76">
        <f>VLOOKUP("來自營運之現金流量",PKC!$B$1:$L$500,8,0)</f>
        <v>131</v>
      </c>
      <c r="E28" s="76">
        <f>VLOOKUP("來自營運之現金流量",PKC!$B$1:$L$500,7,0)</f>
        <v>39</v>
      </c>
      <c r="F28" s="76">
        <f>VLOOKUP("來自營運之現金流量",PKC!$B$1:$L$500,6,0)</f>
        <v>236</v>
      </c>
      <c r="G28" s="76">
        <f>VLOOKUP("來自營運之現金流量",PKC!$B$1:$L$500,5,0)</f>
        <v>100</v>
      </c>
      <c r="H28" s="76">
        <f>VLOOKUP("來自營運之現金流量",PKC!$B$1:$L$500,4,0)</f>
        <v>335</v>
      </c>
      <c r="I28" s="76">
        <f>VLOOKUP("來自營運之現金流量",PKC!$B$1:$L$500,3,0)</f>
        <v>96</v>
      </c>
      <c r="J28" s="76">
        <f>VLOOKUP("來自營運之現金流量",PKC!$B$1:$L$500,2,0)</f>
        <v>224</v>
      </c>
      <c r="K28" s="76"/>
      <c r="L28" s="76"/>
    </row>
    <row r="29" spans="1:12">
      <c r="A29" s="77">
        <v>3324</v>
      </c>
      <c r="B29" s="77" t="s">
        <v>129</v>
      </c>
      <c r="C29" s="77">
        <f>VLOOKUP("投資活動之現金流量",PKA!$B$1:$L$500,9,0)</f>
        <v>-56</v>
      </c>
      <c r="D29" s="77">
        <f>VLOOKUP("投資活動之現金流量",PKA!$B$1:$L$500,8,0)</f>
        <v>-39</v>
      </c>
      <c r="E29" s="77">
        <f>VLOOKUP("投資活動之現金流量",PKA!$B$1:$L$500,7,0)</f>
        <v>-42</v>
      </c>
      <c r="F29" s="77">
        <f>VLOOKUP("投資活動之現金流量",PKA!$B$1:$L$500,6,0)</f>
        <v>-61</v>
      </c>
      <c r="G29" s="77">
        <f>VLOOKUP("投資活動之現金流量",PKA!$B$1:$L$500,5,0)</f>
        <v>-89</v>
      </c>
      <c r="H29" s="77">
        <f>VLOOKUP("投資活動之現金流量",PKA!$B$1:$L$500,4,0)</f>
        <v>-34</v>
      </c>
      <c r="I29" s="77">
        <f>VLOOKUP("投資活動之現金流量",PKA!$B$1:$L$500,3,0)</f>
        <v>-14</v>
      </c>
      <c r="J29" s="77">
        <f>VLOOKUP("投資活動之現金流量",PKA!$B$1:$L$500,2,0)</f>
        <v>-35</v>
      </c>
      <c r="K29" s="77"/>
      <c r="L29" s="77"/>
    </row>
    <row r="30" spans="1:12">
      <c r="A30" s="77">
        <v>3017</v>
      </c>
      <c r="B30" s="77" t="s">
        <v>129</v>
      </c>
      <c r="C30" s="77">
        <f>VLOOKUP("投資活動之現金流量",PKB!$B$1:$L$500,9,0)</f>
        <v>-303</v>
      </c>
      <c r="D30" s="77">
        <f>VLOOKUP("投資活動之現金流量",PKB!$B$1:$L$500,8,0)</f>
        <v>-260</v>
      </c>
      <c r="E30" s="77">
        <f>VLOOKUP("投資活動之現金流量",PKB!$B$1:$L$500,7,0)</f>
        <v>-134</v>
      </c>
      <c r="F30" s="77">
        <f>VLOOKUP("投資活動之現金流量",PKB!$B$1:$L$500,6,0)</f>
        <v>-932</v>
      </c>
      <c r="G30" s="77">
        <f>VLOOKUP("投資活動之現金流量",PKB!$B$1:$L$500,5,0)</f>
        <v>-382</v>
      </c>
      <c r="H30" s="77">
        <f>VLOOKUP("投資活動之現金流量",PKB!$B$1:$L$500,4,0)</f>
        <v>-543</v>
      </c>
      <c r="I30" s="77">
        <f>VLOOKUP("投資活動之現金流量",PKB!$B$1:$L$500,3,0)</f>
        <v>-60</v>
      </c>
      <c r="J30" s="77">
        <f>VLOOKUP("投資活動之現金流量",PKB!$B$1:$L$500,2,0)</f>
        <v>-197</v>
      </c>
      <c r="K30" s="77"/>
      <c r="L30" s="77"/>
    </row>
    <row r="31" spans="1:12">
      <c r="A31" s="77">
        <v>6230</v>
      </c>
      <c r="B31" s="77" t="s">
        <v>129</v>
      </c>
      <c r="C31" s="77">
        <f>VLOOKUP("投資活動之現金流量",PKC!$B$1:$L$500,9,0)</f>
        <v>-14</v>
      </c>
      <c r="D31" s="77">
        <f>VLOOKUP("投資活動之現金流量",PKC!$B$1:$L$500,8,0)</f>
        <v>-160</v>
      </c>
      <c r="E31" s="77">
        <f>VLOOKUP("投資活動之現金流量",PKC!$B$1:$L$500,7,0)</f>
        <v>-36</v>
      </c>
      <c r="F31" s="77">
        <f>VLOOKUP("投資活動之現金流量",PKC!$B$1:$L$500,6,0)</f>
        <v>-28</v>
      </c>
      <c r="G31" s="77">
        <f>VLOOKUP("投資活動之現金流量",PKC!$B$1:$L$500,5,0)</f>
        <v>-16</v>
      </c>
      <c r="H31" s="77">
        <f>VLOOKUP("投資活動之現金流量",PKC!$B$1:$L$500,4,0)</f>
        <v>-15</v>
      </c>
      <c r="I31" s="77">
        <f>VLOOKUP("投資活動之現金流量",PKC!$B$1:$L$500,3,0)</f>
        <v>-28</v>
      </c>
      <c r="J31" s="77">
        <f>VLOOKUP("投資活動之現金流量",PKC!$B$1:$L$500,2,0)</f>
        <v>-59</v>
      </c>
      <c r="K31" s="77"/>
      <c r="L31" s="77"/>
    </row>
    <row r="32" spans="1:12">
      <c r="A32" s="73">
        <v>3324</v>
      </c>
      <c r="B32" s="73" t="s">
        <v>18</v>
      </c>
      <c r="C32" s="73">
        <f>VLOOKUP(" 固定資產(購置)",PKA!$B$1:$L$500,9,0)</f>
        <v>-25</v>
      </c>
      <c r="D32" s="73">
        <f>VLOOKUP(" 固定資產(購置)",PKA!$B$1:$L$500,8,0)</f>
        <v>-20</v>
      </c>
      <c r="E32" s="73">
        <f>VLOOKUP(" 固定資產(購置)",PKA!$B$1:$L$500,7,0)</f>
        <v>-32</v>
      </c>
      <c r="F32" s="73">
        <f>VLOOKUP(" 固定資產(購置)",PKA!$B$1:$L$500,6,0)</f>
        <v>-34</v>
      </c>
      <c r="G32" s="73">
        <f>VLOOKUP(" 固定資產(購置)",PKA!$B$1:$L$500,5,0)</f>
        <v>-33</v>
      </c>
      <c r="H32" s="73">
        <f>VLOOKUP(" 固定資產(購置)",PKA!$B$1:$L$500,4,0)</f>
        <v>-20</v>
      </c>
      <c r="I32" s="73">
        <f>VLOOKUP(" 固定資產(購置)",PKA!$B$1:$L$500,3,0)</f>
        <v>-23</v>
      </c>
      <c r="J32" s="73">
        <f>VLOOKUP(" 固定資產(購置)",PKA!$B$1:$L$500,2,0)</f>
        <v>-27</v>
      </c>
      <c r="K32" s="73"/>
      <c r="L32" s="73"/>
    </row>
    <row r="33" spans="1:12">
      <c r="A33" s="73">
        <v>3017</v>
      </c>
      <c r="B33" s="73" t="s">
        <v>18</v>
      </c>
      <c r="C33" s="73">
        <f>VLOOKUP(" 固定資產(購置)",PKB!$B$1:$L$500,9,0)</f>
        <v>-254</v>
      </c>
      <c r="D33" s="73">
        <f>VLOOKUP(" 固定資產(購置)",PKB!$B$1:$L$500,8,0)</f>
        <v>-330</v>
      </c>
      <c r="E33" s="73">
        <f>VLOOKUP(" 固定資產(購置)",PKB!$B$1:$L$500,7,0)</f>
        <v>-143</v>
      </c>
      <c r="F33" s="73">
        <f>VLOOKUP(" 固定資產(購置)",PKB!$B$1:$L$500,6,0)</f>
        <v>-386</v>
      </c>
      <c r="G33" s="73">
        <f>VLOOKUP(" 固定資產(購置)",PKB!$B$1:$L$500,5,0)</f>
        <v>-490</v>
      </c>
      <c r="H33" s="73">
        <f>VLOOKUP(" 固定資產(購置)",PKB!$B$1:$L$500,4,0)</f>
        <v>-464</v>
      </c>
      <c r="I33" s="73">
        <f>VLOOKUP(" 固定資產(購置)",PKB!$B$1:$L$500,3,0)</f>
        <v>-274</v>
      </c>
      <c r="J33" s="73">
        <f>VLOOKUP(" 固定資產(購置)",PKB!$B$1:$L$500,2,0)</f>
        <v>-246</v>
      </c>
      <c r="K33" s="73"/>
      <c r="L33" s="73"/>
    </row>
    <row r="34" spans="1:12">
      <c r="A34" s="73">
        <v>6230</v>
      </c>
      <c r="B34" s="73" t="s">
        <v>18</v>
      </c>
      <c r="C34" s="73">
        <f>VLOOKUP(" 固定資產(購置)",PKC!$B$1:$L$500,9,0)</f>
        <v>-15</v>
      </c>
      <c r="D34" s="73">
        <f>VLOOKUP(" 固定資產(購置)",PKC!$B$1:$L$500,8,0)</f>
        <v>-121</v>
      </c>
      <c r="E34" s="73">
        <f>VLOOKUP(" 固定資產(購置)",PKC!$B$1:$L$500,7,0)</f>
        <v>-36</v>
      </c>
      <c r="F34" s="73">
        <f>VLOOKUP(" 固定資產(購置)",PKC!$B$1:$L$500,6,0)</f>
        <v>-29</v>
      </c>
      <c r="G34" s="73">
        <f>VLOOKUP(" 固定資產(購置)",PKC!$B$1:$L$500,5,0)</f>
        <v>-18</v>
      </c>
      <c r="H34" s="73">
        <f>VLOOKUP(" 固定資產(購置)",PKC!$B$1:$L$500,4,0)</f>
        <v>-15</v>
      </c>
      <c r="I34" s="73">
        <f>VLOOKUP(" 固定資產(購置)",PKC!$B$1:$L$500,3,0)</f>
        <v>-18</v>
      </c>
      <c r="J34" s="73">
        <f>VLOOKUP(" 固定資產(購置)",PKC!$B$1:$L$500,2,0)</f>
        <v>-54</v>
      </c>
      <c r="K34" s="73"/>
      <c r="L34" s="73"/>
    </row>
    <row r="35" spans="1:12">
      <c r="A35" s="74">
        <v>3324</v>
      </c>
      <c r="B35" s="74" t="s">
        <v>19</v>
      </c>
      <c r="C35" s="74">
        <f>VLOOKUP(" 長期投資(新增)",PKA!$B$1:$L$500,9,0)</f>
        <v>0</v>
      </c>
      <c r="D35" s="74">
        <f>VLOOKUP(" 長期投資(新增)",PKA!$B$1:$L$500,8,0)</f>
        <v>0</v>
      </c>
      <c r="E35" s="74">
        <f>VLOOKUP(" 長期投資(新增)",PKA!$B$1:$L$500,7,0)</f>
        <v>0</v>
      </c>
      <c r="F35" s="74">
        <f>VLOOKUP(" 長期投資(新增)",PKA!$B$1:$L$500,6,0)</f>
        <v>0</v>
      </c>
      <c r="G35" s="74">
        <f>VLOOKUP(" 長期投資(新增)",PKA!$B$1:$L$500,5,0)</f>
        <v>-52</v>
      </c>
      <c r="H35" s="74">
        <f>VLOOKUP(" 長期投資(新增)",PKA!$B$1:$L$500,4,0)</f>
        <v>0</v>
      </c>
      <c r="I35" s="74">
        <f>VLOOKUP(" 長期投資(新增)",PKA!$B$1:$L$500,3,0)</f>
        <v>0</v>
      </c>
      <c r="J35" s="74">
        <f>VLOOKUP(" 長期投資(新增)",PKA!$B$1:$L$500,2,0)</f>
        <v>0</v>
      </c>
      <c r="K35" s="74"/>
      <c r="L35" s="74"/>
    </row>
    <row r="36" spans="1:12">
      <c r="A36" s="74">
        <v>3017</v>
      </c>
      <c r="B36" s="74" t="s">
        <v>19</v>
      </c>
      <c r="C36" s="74">
        <f>VLOOKUP(" 長期投資(新增)",PKB!$B$1:$L$500,9,0)</f>
        <v>-15</v>
      </c>
      <c r="D36" s="74">
        <f>VLOOKUP(" 長期投資(新增)",PKB!$B$1:$L$500,8,0)</f>
        <v>0</v>
      </c>
      <c r="E36" s="74">
        <f>VLOOKUP(" 長期投資(新增)",PKB!$B$1:$L$500,7,0)</f>
        <v>0</v>
      </c>
      <c r="F36" s="74">
        <f>VLOOKUP(" 長期投資(新增)",PKB!$B$1:$L$500,6,0)</f>
        <v>0</v>
      </c>
      <c r="G36" s="74">
        <f>VLOOKUP(" 長期投資(新增)",PKB!$B$1:$L$500,5,0)</f>
        <v>0</v>
      </c>
      <c r="H36" s="74">
        <f>VLOOKUP(" 長期投資(新增)",PKB!$B$1:$L$500,4,0)</f>
        <v>-15</v>
      </c>
      <c r="I36" s="74">
        <f>VLOOKUP(" 長期投資(新增)",PKB!$B$1:$L$500,3,0)</f>
        <v>-30</v>
      </c>
      <c r="J36" s="74">
        <f>VLOOKUP(" 長期投資(新增)",PKB!$B$1:$L$500,2,0)</f>
        <v>30</v>
      </c>
      <c r="K36" s="74"/>
      <c r="L36" s="74"/>
    </row>
    <row r="37" spans="1:12">
      <c r="A37" s="74">
        <v>6230</v>
      </c>
      <c r="B37" s="74" t="s">
        <v>19</v>
      </c>
      <c r="C37" s="74">
        <f>VLOOKUP(" 長期投資(新增)",PKC!$B$1:$L$500,9,0)</f>
        <v>0</v>
      </c>
      <c r="D37" s="74">
        <f>VLOOKUP(" 長期投資(新增)",PKC!$B$1:$L$500,8,0)</f>
        <v>0</v>
      </c>
      <c r="E37" s="74">
        <f>VLOOKUP(" 長期投資(新增)",PKC!$B$1:$L$500,7,0)</f>
        <v>0</v>
      </c>
      <c r="F37" s="74">
        <f>VLOOKUP(" 長期投資(新增)",PKC!$B$1:$L$500,6,0)</f>
        <v>0</v>
      </c>
      <c r="G37" s="74">
        <f>VLOOKUP(" 長期投資(新增)",PKC!$B$1:$L$500,5,0)</f>
        <v>0</v>
      </c>
      <c r="H37" s="74">
        <f>VLOOKUP(" 長期投資(新增)",PKC!$B$1:$L$500,4,0)</f>
        <v>0</v>
      </c>
      <c r="I37" s="74">
        <f>VLOOKUP(" 長期投資(新增)",PKC!$B$1:$L$500,3,0)</f>
        <v>0</v>
      </c>
      <c r="J37" s="74">
        <f>VLOOKUP(" 長期投資(新增)",PKC!$B$1:$L$500,2,0)</f>
        <v>0</v>
      </c>
      <c r="K37" s="74"/>
      <c r="L37" s="74"/>
    </row>
    <row r="38" spans="1:12">
      <c r="A38" s="75">
        <v>3324</v>
      </c>
      <c r="B38" s="75" t="s">
        <v>112</v>
      </c>
      <c r="C38" s="75">
        <f>VLOOKUP(" 折舊",PKA!$B$1:$L$500,9,0)</f>
        <v>28</v>
      </c>
      <c r="D38" s="75">
        <f>VLOOKUP(" 折舊",PKA!$B$1:$L$500,8,0)</f>
        <v>30</v>
      </c>
      <c r="E38" s="75">
        <f>VLOOKUP(" 折舊",PKA!$B$1:$L$500,7,0)</f>
        <v>29</v>
      </c>
      <c r="F38" s="75">
        <f>VLOOKUP(" 折舊",PKA!$B$1:$L$500,6,0)</f>
        <v>27</v>
      </c>
      <c r="G38" s="75">
        <f>VLOOKUP(" 折舊",PKA!$B$1:$L$500,5,0)</f>
        <v>36</v>
      </c>
      <c r="H38" s="75">
        <f>VLOOKUP(" 折舊",PKA!$B$1:$L$500,4,0)</f>
        <v>31</v>
      </c>
      <c r="I38" s="75">
        <f>VLOOKUP(" 折舊",PKA!$B$1:$L$500,3,0)</f>
        <v>34</v>
      </c>
      <c r="J38" s="75">
        <f>VLOOKUP(" 折舊",PKA!$B$1:$L$500,2,0)</f>
        <v>36</v>
      </c>
      <c r="K38" s="75"/>
      <c r="L38" s="75"/>
    </row>
    <row r="39" spans="1:12">
      <c r="A39" s="75">
        <v>3017</v>
      </c>
      <c r="B39" s="75" t="s">
        <v>112</v>
      </c>
      <c r="C39" s="75">
        <f>VLOOKUP(" 折舊",PKB!$B$1:$L$500,9,0)</f>
        <v>177</v>
      </c>
      <c r="D39" s="75">
        <f>VLOOKUP(" 折舊",PKB!$B$1:$L$500,8,0)</f>
        <v>176</v>
      </c>
      <c r="E39" s="75">
        <f>VLOOKUP(" 折舊",PKB!$B$1:$L$500,7,0)</f>
        <v>161</v>
      </c>
      <c r="F39" s="75">
        <f>VLOOKUP(" 折舊",PKB!$B$1:$L$500,6,0)</f>
        <v>169</v>
      </c>
      <c r="G39" s="75">
        <f>VLOOKUP(" 折舊",PKB!$B$1:$L$500,5,0)</f>
        <v>177</v>
      </c>
      <c r="H39" s="75">
        <f>VLOOKUP(" 折舊",PKB!$B$1:$L$500,4,0)</f>
        <v>175</v>
      </c>
      <c r="I39" s="75">
        <f>VLOOKUP(" 折舊",PKB!$B$1:$L$500,3,0)</f>
        <v>174</v>
      </c>
      <c r="J39" s="75">
        <f>VLOOKUP(" 折舊",PKB!$B$1:$L$500,2,0)</f>
        <v>177</v>
      </c>
      <c r="K39" s="75"/>
      <c r="L39" s="75"/>
    </row>
    <row r="40" spans="1:12">
      <c r="A40" s="75">
        <v>6230</v>
      </c>
      <c r="B40" s="75" t="s">
        <v>112</v>
      </c>
      <c r="C40" s="75">
        <f>VLOOKUP(" 折舊",PKC!$B$1:$L$500,9,0)</f>
        <v>22</v>
      </c>
      <c r="D40" s="75">
        <f>VLOOKUP(" 折舊",PKC!$B$1:$L$500,8,0)</f>
        <v>23</v>
      </c>
      <c r="E40" s="75">
        <f>VLOOKUP(" 折舊",PKC!$B$1:$L$500,7,0)</f>
        <v>24</v>
      </c>
      <c r="F40" s="75">
        <f>VLOOKUP(" 折舊",PKC!$B$1:$L$500,6,0)</f>
        <v>25</v>
      </c>
      <c r="G40" s="75">
        <f>VLOOKUP(" 折舊",PKC!$B$1:$L$500,5,0)</f>
        <v>26</v>
      </c>
      <c r="H40" s="75">
        <f>VLOOKUP(" 折舊",PKC!$B$1:$L$500,4,0)</f>
        <v>25</v>
      </c>
      <c r="I40" s="75">
        <f>VLOOKUP(" 折舊",PKC!$B$1:$L$500,3,0)</f>
        <v>25</v>
      </c>
      <c r="J40" s="75">
        <f>VLOOKUP(" 折舊",PKC!$B$1:$L$500,2,0)</f>
        <v>26</v>
      </c>
      <c r="K40" s="75"/>
      <c r="L40" s="75"/>
    </row>
    <row r="41" spans="1:12">
      <c r="A41" s="76">
        <v>3324</v>
      </c>
      <c r="B41" s="76" t="s">
        <v>208</v>
      </c>
      <c r="C41" s="76">
        <f>VLOOKUP("營業費用",PKA!$B$1:$L$500,9,0)</f>
        <v>122</v>
      </c>
      <c r="D41" s="76">
        <f>VLOOKUP("營業費用",PKA!$B$1:$L$500,8,0)</f>
        <v>107</v>
      </c>
      <c r="E41" s="76">
        <f>VLOOKUP("營業費用",PKA!$B$1:$L$500,7,0)</f>
        <v>112</v>
      </c>
      <c r="F41" s="76">
        <f>VLOOKUP("營業費用",PKA!$B$1:$L$500,6,0)</f>
        <v>118</v>
      </c>
      <c r="G41" s="76">
        <f>VLOOKUP("營業費用",PKA!$B$1:$L$500,5,0)</f>
        <v>150</v>
      </c>
      <c r="H41" s="76">
        <f>VLOOKUP("營業費用",PKA!$B$1:$L$500,4,0)</f>
        <v>121</v>
      </c>
      <c r="I41" s="76">
        <f>VLOOKUP("營業費用",PKA!$B$1:$L$500,3,0)</f>
        <v>124</v>
      </c>
      <c r="J41" s="76">
        <f>VLOOKUP("營業費用",PKA!$B$1:$L$500,2,0)</f>
        <v>143</v>
      </c>
      <c r="K41" s="76"/>
      <c r="L41" s="76"/>
    </row>
    <row r="42" spans="1:12">
      <c r="A42" s="76">
        <v>3017</v>
      </c>
      <c r="B42" s="76" t="s">
        <v>208</v>
      </c>
      <c r="C42" s="76">
        <f>VLOOKUP("營業費用",PKB!$B$1:$L$500,9,0)</f>
        <v>527</v>
      </c>
      <c r="D42" s="76">
        <f>VLOOKUP("營業費用",PKB!$B$1:$L$500,8,0)</f>
        <v>519</v>
      </c>
      <c r="E42" s="76">
        <f>VLOOKUP("營業費用",PKB!$B$1:$L$500,7,0)</f>
        <v>587</v>
      </c>
      <c r="F42" s="76">
        <f>VLOOKUP("營業費用",PKB!$B$1:$L$500,6,0)</f>
        <v>612</v>
      </c>
      <c r="G42" s="76">
        <f>VLOOKUP("營業費用",PKB!$B$1:$L$500,5,0)</f>
        <v>659</v>
      </c>
      <c r="H42" s="76">
        <f>VLOOKUP("營業費用",PKB!$B$1:$L$500,4,0)</f>
        <v>520</v>
      </c>
      <c r="I42" s="76">
        <f>VLOOKUP("營業費用",PKB!$B$1:$L$500,3,0)</f>
        <v>535</v>
      </c>
      <c r="J42" s="76">
        <f>VLOOKUP("營業費用",PKB!$B$1:$L$500,2,0)</f>
        <v>580</v>
      </c>
      <c r="K42" s="76"/>
      <c r="L42" s="76"/>
    </row>
    <row r="43" spans="1:12">
      <c r="A43" s="76">
        <v>6230</v>
      </c>
      <c r="B43" s="76" t="s">
        <v>208</v>
      </c>
      <c r="C43" s="76">
        <f>VLOOKUP("營業費用",PKC!$B$1:$L$500,9,0)</f>
        <v>171</v>
      </c>
      <c r="D43" s="76">
        <f>VLOOKUP("營業費用",PKC!$B$1:$L$500,8,0)</f>
        <v>168</v>
      </c>
      <c r="E43" s="76">
        <f>VLOOKUP("營業費用",PKC!$B$1:$L$500,7,0)</f>
        <v>167</v>
      </c>
      <c r="F43" s="76">
        <f>VLOOKUP("營業費用",PKC!$B$1:$L$500,6,0)</f>
        <v>169</v>
      </c>
      <c r="G43" s="76">
        <f>VLOOKUP("營業費用",PKC!$B$1:$L$500,5,0)</f>
        <v>176</v>
      </c>
      <c r="H43" s="76">
        <f>VLOOKUP("營業費用",PKC!$B$1:$L$500,4,0)</f>
        <v>153</v>
      </c>
      <c r="I43" s="76">
        <f>VLOOKUP("營業費用",PKC!$B$1:$L$500,3,0)</f>
        <v>169</v>
      </c>
      <c r="J43" s="76">
        <f>VLOOKUP("營業費用",PKC!$B$1:$L$500,2,0)</f>
        <v>175</v>
      </c>
      <c r="K43" s="76"/>
      <c r="L43" s="76"/>
    </row>
    <row r="44" spans="1:12">
      <c r="A44" s="78">
        <v>3324</v>
      </c>
      <c r="B44" s="78" t="s">
        <v>523</v>
      </c>
      <c r="C44" s="78">
        <f>VLOOKUP(" 普通股股本",PKA!$B$1:$L$500,9,0)</f>
        <v>707</v>
      </c>
      <c r="D44" s="78">
        <f>VLOOKUP(" 普通股股本",PKA!$B$1:$L$500,8,0)</f>
        <v>707</v>
      </c>
      <c r="E44" s="78">
        <f>VLOOKUP(" 普通股股本",PKA!$B$1:$L$500,7,0)</f>
        <v>707</v>
      </c>
      <c r="F44" s="78">
        <f>VLOOKUP(" 普通股股本",PKA!$B$1:$L$500,6,0)</f>
        <v>711</v>
      </c>
      <c r="G44" s="78">
        <f>VLOOKUP(" 普通股股本",PKA!$B$1:$L$500,5,0)</f>
        <v>711</v>
      </c>
      <c r="H44" s="78">
        <f>VLOOKUP(" 普通股股本",PKA!$B$1:$L$500,4,0)</f>
        <v>711</v>
      </c>
      <c r="I44" s="78">
        <f>VLOOKUP(" 普通股股本",PKA!$B$1:$L$500,3,0)</f>
        <v>711</v>
      </c>
      <c r="J44" s="78">
        <f>VLOOKUP(" 普通股股本",PKA!$B$1:$L$500,2,0)</f>
        <v>711</v>
      </c>
      <c r="K44" s="78"/>
      <c r="L44" s="78"/>
    </row>
    <row r="45" spans="1:12">
      <c r="A45" s="78">
        <v>3017</v>
      </c>
      <c r="B45" s="78" t="s">
        <v>523</v>
      </c>
      <c r="C45" s="78">
        <f>VLOOKUP(" 普通股股本",PKB!$B$1:$L$500,9,0)</f>
        <v>3533</v>
      </c>
      <c r="D45" s="78">
        <f>VLOOKUP(" 普通股股本",PKB!$B$1:$L$500,8,0)</f>
        <v>3533</v>
      </c>
      <c r="E45" s="78">
        <f>VLOOKUP(" 普通股股本",PKB!$B$1:$L$500,7,0)</f>
        <v>3533</v>
      </c>
      <c r="F45" s="78">
        <f>VLOOKUP(" 普通股股本",PKB!$B$1:$L$500,6,0)</f>
        <v>3533</v>
      </c>
      <c r="G45" s="78">
        <f>VLOOKUP(" 普通股股本",PKB!$B$1:$L$500,5,0)</f>
        <v>3533</v>
      </c>
      <c r="H45" s="78">
        <f>VLOOKUP(" 普通股股本",PKB!$B$1:$L$500,4,0)</f>
        <v>3533</v>
      </c>
      <c r="I45" s="78">
        <f>VLOOKUP(" 普通股股本",PKB!$B$1:$L$500,3,0)</f>
        <v>3533</v>
      </c>
      <c r="J45" s="78">
        <f>VLOOKUP(" 普通股股本",PKB!$B$1:$L$500,2,0)</f>
        <v>3533</v>
      </c>
      <c r="K45" s="78"/>
      <c r="L45" s="78"/>
    </row>
    <row r="46" spans="1:12">
      <c r="A46" s="78">
        <v>6230</v>
      </c>
      <c r="B46" s="78" t="s">
        <v>523</v>
      </c>
      <c r="C46" s="78">
        <f>VLOOKUP(" 普通股股本",PKC!$B$1:$L$500,9,0)</f>
        <v>863</v>
      </c>
      <c r="D46" s="78">
        <f>VLOOKUP(" 普通股股本",PKC!$B$1:$L$500,8,0)</f>
        <v>863</v>
      </c>
      <c r="E46" s="78">
        <f>VLOOKUP(" 普通股股本",PKC!$B$1:$L$500,7,0)</f>
        <v>863</v>
      </c>
      <c r="F46" s="78">
        <f>VLOOKUP(" 普通股股本",PKC!$B$1:$L$500,6,0)</f>
        <v>863</v>
      </c>
      <c r="G46" s="78">
        <f>VLOOKUP(" 普通股股本",PKC!$B$1:$L$500,5,0)</f>
        <v>863</v>
      </c>
      <c r="H46" s="78">
        <f>VLOOKUP(" 普通股股本",PKC!$B$1:$L$500,4,0)</f>
        <v>863</v>
      </c>
      <c r="I46" s="78">
        <f>VLOOKUP(" 普通股股本",PKC!$B$1:$L$500,3,0)</f>
        <v>863</v>
      </c>
      <c r="J46" s="78">
        <f>VLOOKUP(" 普通股股本",PKC!$B$1:$L$500,2,0)</f>
        <v>863</v>
      </c>
      <c r="K46" s="78"/>
      <c r="L46" s="78"/>
    </row>
    <row r="47" spans="1:12">
      <c r="A47" s="77">
        <v>3324</v>
      </c>
      <c r="B47" s="77" t="s">
        <v>23</v>
      </c>
      <c r="C47" s="79">
        <f>IF(ISNUMBER((C2-C5)/C2),(C2-C5)/C2,0)</f>
        <v>0.13853211009174313</v>
      </c>
      <c r="D47" s="79">
        <f t="shared" ref="D47:J47" si="0">IF(ISNUMBER((D2-D5)/D2),(D2-D5)/D2,0)</f>
        <v>0.12142857142857143</v>
      </c>
      <c r="E47" s="79">
        <f t="shared" si="0"/>
        <v>0.13782696177062373</v>
      </c>
      <c r="F47" s="79">
        <f t="shared" si="0"/>
        <v>0.1253731343283582</v>
      </c>
      <c r="G47" s="79">
        <f t="shared" si="0"/>
        <v>0.12806324110671938</v>
      </c>
      <c r="H47" s="79">
        <f t="shared" si="0"/>
        <v>0.11046511627906977</v>
      </c>
      <c r="I47" s="79">
        <f t="shared" si="0"/>
        <v>0.11887382690302398</v>
      </c>
      <c r="J47" s="79">
        <f t="shared" si="0"/>
        <v>0.1929445644348452</v>
      </c>
      <c r="K47" s="77">
        <f>MIN(C47:J49)</f>
        <v>0.10244409776391056</v>
      </c>
      <c r="L47" s="77">
        <f>MAX(C47:J49)</f>
        <v>0.25558312655086851</v>
      </c>
    </row>
    <row r="48" spans="1:12">
      <c r="A48" s="77">
        <v>3017</v>
      </c>
      <c r="B48" s="77" t="s">
        <v>23</v>
      </c>
      <c r="C48" s="79">
        <f>IF(ISNUMBER((C3-C6)/C3),(C3-C6)/C3,0)</f>
        <v>0.10244409776391056</v>
      </c>
      <c r="D48" s="79">
        <f t="shared" ref="D48:J49" si="1">IF(ISNUMBER((D3-D6)/D3),(D3-D6)/D3,0)</f>
        <v>0.10485887817077527</v>
      </c>
      <c r="E48" s="79">
        <f t="shared" si="1"/>
        <v>0.13125000000000001</v>
      </c>
      <c r="F48" s="79">
        <f t="shared" si="1"/>
        <v>0.12200293589952699</v>
      </c>
      <c r="G48" s="79">
        <f t="shared" si="1"/>
        <v>0.12769458614447918</v>
      </c>
      <c r="H48" s="79">
        <f t="shared" si="1"/>
        <v>0.12315270935960591</v>
      </c>
      <c r="I48" s="79">
        <f t="shared" si="1"/>
        <v>0.10816457730633237</v>
      </c>
      <c r="J48" s="79">
        <f t="shared" si="1"/>
        <v>0.12810763381105586</v>
      </c>
      <c r="K48" s="77"/>
      <c r="L48" s="77"/>
    </row>
    <row r="49" spans="1:12">
      <c r="A49" s="77">
        <v>6230</v>
      </c>
      <c r="B49" s="77" t="s">
        <v>23</v>
      </c>
      <c r="C49" s="79">
        <f>IF(ISNUMBER((C4-C7)/C4),(C4-C7)/C4,0)</f>
        <v>0.20880587058038694</v>
      </c>
      <c r="D49" s="79">
        <f t="shared" si="1"/>
        <v>0.22695035460992907</v>
      </c>
      <c r="E49" s="79">
        <f t="shared" si="1"/>
        <v>0.25558312655086851</v>
      </c>
      <c r="F49" s="79">
        <f t="shared" si="1"/>
        <v>0.23111979166666666</v>
      </c>
      <c r="G49" s="79">
        <f t="shared" si="1"/>
        <v>0.24556795797767564</v>
      </c>
      <c r="H49" s="79">
        <f t="shared" si="1"/>
        <v>0.23363774733637746</v>
      </c>
      <c r="I49" s="79">
        <f t="shared" si="1"/>
        <v>0.22315202231520223</v>
      </c>
      <c r="J49" s="79">
        <f t="shared" si="1"/>
        <v>0.24836601307189543</v>
      </c>
      <c r="K49" s="77"/>
      <c r="L49" s="77"/>
    </row>
    <row r="50" spans="1:12">
      <c r="A50" s="73">
        <v>3324</v>
      </c>
      <c r="B50" s="73" t="s">
        <v>209</v>
      </c>
      <c r="C50" s="80">
        <f t="shared" ref="C50:C55" si="2">D50</f>
        <v>84.592474489795919</v>
      </c>
      <c r="D50" s="80">
        <f t="shared" ref="D50:D55" si="3">IF(ISNUMBER(365/(D2*4/((C14+D14)/2))),365/(D2*4/((C14+D14)/2)),0)</f>
        <v>84.592474489795919</v>
      </c>
      <c r="E50" s="80">
        <f t="shared" ref="E50:J50" si="4">IF(ISNUMBER(365/(E2*4/((D14+E14)/2))),365/(E2*4/((D14+E14)/2)),0)</f>
        <v>83.951836016096578</v>
      </c>
      <c r="F50" s="80">
        <f t="shared" si="4"/>
        <v>83.668532338308452</v>
      </c>
      <c r="G50" s="80">
        <f t="shared" si="4"/>
        <v>73.541007905138343</v>
      </c>
      <c r="H50" s="80">
        <f t="shared" si="4"/>
        <v>97.174176356589143</v>
      </c>
      <c r="I50" s="80">
        <f t="shared" si="4"/>
        <v>88.110010427528678</v>
      </c>
      <c r="J50" s="80">
        <f t="shared" si="4"/>
        <v>71.245950323974085</v>
      </c>
      <c r="K50" s="73">
        <f>MIN(C50:J52)</f>
        <v>71.245950323974085</v>
      </c>
      <c r="L50" s="73">
        <f>MAX(C50:J52)</f>
        <v>117.10057131599685</v>
      </c>
    </row>
    <row r="51" spans="1:12">
      <c r="A51" s="73">
        <v>3017</v>
      </c>
      <c r="B51" s="73" t="s">
        <v>209</v>
      </c>
      <c r="C51" s="80">
        <f t="shared" si="2"/>
        <v>94.322637549124678</v>
      </c>
      <c r="D51" s="80">
        <f t="shared" si="3"/>
        <v>94.322637549124678</v>
      </c>
      <c r="E51" s="80">
        <f t="shared" ref="E51:J55" si="5">IF(ISNUMBER(365/(E3*4/((D15+E15)/2))),365/(E3*4/((D15+E15)/2)),0)</f>
        <v>83.075520833333329</v>
      </c>
      <c r="F51" s="80">
        <f t="shared" si="5"/>
        <v>86.740335997390318</v>
      </c>
      <c r="G51" s="80">
        <f t="shared" si="5"/>
        <v>88.757404969557356</v>
      </c>
      <c r="H51" s="80">
        <f t="shared" si="5"/>
        <v>87.808943434686597</v>
      </c>
      <c r="I51" s="80">
        <f t="shared" si="5"/>
        <v>82.670564127290262</v>
      </c>
      <c r="J51" s="80">
        <f t="shared" si="5"/>
        <v>85.651963293360623</v>
      </c>
      <c r="K51" s="73"/>
      <c r="L51" s="73">
        <f>AVERAGE(F51:J51)</f>
        <v>86.325842364457031</v>
      </c>
    </row>
    <row r="52" spans="1:12">
      <c r="A52" s="73">
        <v>6230</v>
      </c>
      <c r="B52" s="73" t="s">
        <v>209</v>
      </c>
      <c r="C52" s="80">
        <f t="shared" si="2"/>
        <v>117.10057131599685</v>
      </c>
      <c r="D52" s="80">
        <f t="shared" si="3"/>
        <v>117.10057131599685</v>
      </c>
      <c r="E52" s="80">
        <f t="shared" si="5"/>
        <v>92.806684243176178</v>
      </c>
      <c r="F52" s="80">
        <f t="shared" si="5"/>
        <v>105.18107096354166</v>
      </c>
      <c r="G52" s="80">
        <f t="shared" si="5"/>
        <v>107.93622783978988</v>
      </c>
      <c r="H52" s="80">
        <f t="shared" si="5"/>
        <v>116.80555555555556</v>
      </c>
      <c r="I52" s="80">
        <f t="shared" si="5"/>
        <v>96.976987447698747</v>
      </c>
      <c r="J52" s="80">
        <f t="shared" si="5"/>
        <v>96.170343137254903</v>
      </c>
      <c r="K52" s="73"/>
      <c r="L52" s="73">
        <f>AVERAGE(F52:J52)</f>
        <v>104.61403698876816</v>
      </c>
    </row>
    <row r="53" spans="1:12">
      <c r="A53" s="74">
        <v>3324</v>
      </c>
      <c r="B53" s="74" t="s">
        <v>210</v>
      </c>
      <c r="C53" s="81">
        <f t="shared" si="2"/>
        <v>48.327526132404181</v>
      </c>
      <c r="D53" s="81">
        <f t="shared" si="3"/>
        <v>48.327526132404181</v>
      </c>
      <c r="E53" s="81">
        <f t="shared" si="5"/>
        <v>42.324241540256708</v>
      </c>
      <c r="F53" s="81">
        <f t="shared" si="5"/>
        <v>38.150597269624576</v>
      </c>
      <c r="G53" s="81">
        <f t="shared" si="5"/>
        <v>34.084315503173165</v>
      </c>
      <c r="H53" s="81">
        <f t="shared" si="5"/>
        <v>45.525599128540307</v>
      </c>
      <c r="I53" s="81">
        <f t="shared" si="5"/>
        <v>45.517011834319526</v>
      </c>
      <c r="J53" s="81">
        <f t="shared" si="5"/>
        <v>34.839429081177521</v>
      </c>
      <c r="K53" s="74">
        <f>MIN(C53:J55)</f>
        <v>34.084315503173165</v>
      </c>
      <c r="L53" s="74">
        <f>MAX(C53:J55)</f>
        <v>73.175004843084082</v>
      </c>
    </row>
    <row r="54" spans="1:12">
      <c r="A54" s="74">
        <v>3017</v>
      </c>
      <c r="B54" s="74" t="s">
        <v>210</v>
      </c>
      <c r="C54" s="81">
        <f t="shared" si="2"/>
        <v>62.806076631410896</v>
      </c>
      <c r="D54" s="81">
        <f t="shared" si="3"/>
        <v>62.806076631410896</v>
      </c>
      <c r="E54" s="81">
        <f t="shared" si="5"/>
        <v>58.274764803541778</v>
      </c>
      <c r="F54" s="81">
        <f t="shared" si="5"/>
        <v>62.008638305777446</v>
      </c>
      <c r="G54" s="81">
        <f t="shared" si="5"/>
        <v>68.656975099037922</v>
      </c>
      <c r="H54" s="81">
        <f t="shared" si="5"/>
        <v>73.175004843084082</v>
      </c>
      <c r="I54" s="81">
        <f t="shared" si="5"/>
        <v>63.310956929176427</v>
      </c>
      <c r="J54" s="81">
        <f t="shared" si="5"/>
        <v>55.060696913787318</v>
      </c>
      <c r="K54" s="74"/>
      <c r="L54" s="74">
        <f>AVERAGE(F54:J54)</f>
        <v>64.44245441817263</v>
      </c>
    </row>
    <row r="55" spans="1:12">
      <c r="A55" s="74">
        <v>6230</v>
      </c>
      <c r="B55" s="74" t="s">
        <v>210</v>
      </c>
      <c r="C55" s="81">
        <f t="shared" si="2"/>
        <v>66.274847094801231</v>
      </c>
      <c r="D55" s="81">
        <f t="shared" si="3"/>
        <v>66.274847094801231</v>
      </c>
      <c r="E55" s="81">
        <f t="shared" si="5"/>
        <v>52.925000000000004</v>
      </c>
      <c r="F55" s="81">
        <f t="shared" si="5"/>
        <v>55.476291278577477</v>
      </c>
      <c r="G55" s="81">
        <f t="shared" si="5"/>
        <v>60.118581375108796</v>
      </c>
      <c r="H55" s="81">
        <f t="shared" si="5"/>
        <v>72.084781529294929</v>
      </c>
      <c r="I55" s="81">
        <f t="shared" si="5"/>
        <v>60.942549371633753</v>
      </c>
      <c r="J55" s="81">
        <f t="shared" si="5"/>
        <v>59.907608695652172</v>
      </c>
      <c r="K55" s="74"/>
      <c r="L55" s="74">
        <f>AVERAGE(F55:J55)</f>
        <v>61.705962450053427</v>
      </c>
    </row>
    <row r="56" spans="1:12">
      <c r="A56" s="75">
        <v>3324</v>
      </c>
      <c r="B56" s="75" t="s">
        <v>211</v>
      </c>
      <c r="C56" s="82">
        <f t="shared" ref="C56:J56" si="6">C20/C23</f>
        <v>0.62799760191846521</v>
      </c>
      <c r="D56" s="82">
        <f t="shared" si="6"/>
        <v>0.61055276381909551</v>
      </c>
      <c r="E56" s="82">
        <f t="shared" si="6"/>
        <v>0.56913756236635782</v>
      </c>
      <c r="F56" s="82">
        <f t="shared" si="6"/>
        <v>0.57528957528957525</v>
      </c>
      <c r="G56" s="82">
        <f t="shared" si="6"/>
        <v>0.62290669856459335</v>
      </c>
      <c r="H56" s="82">
        <f t="shared" si="6"/>
        <v>0.62534435261707988</v>
      </c>
      <c r="I56" s="82">
        <f t="shared" si="6"/>
        <v>0.58540802213001386</v>
      </c>
      <c r="J56" s="82">
        <f t="shared" si="6"/>
        <v>0.61960999725350174</v>
      </c>
      <c r="K56" s="75">
        <f>MIN(C56:J58)</f>
        <v>0.42142341040462428</v>
      </c>
      <c r="L56" s="75">
        <f>MAX(C56:J58)</f>
        <v>0.66186686295256936</v>
      </c>
    </row>
    <row r="57" spans="1:12">
      <c r="A57" s="75">
        <v>3017</v>
      </c>
      <c r="B57" s="75" t="s">
        <v>211</v>
      </c>
      <c r="C57" s="82">
        <f>IF(ISNUMBER(C21/C24),C21/C24,0)</f>
        <v>0.66126233101936427</v>
      </c>
      <c r="D57" s="82">
        <f t="shared" ref="D57:J57" si="7">D21/D24</f>
        <v>0.65710363761153057</v>
      </c>
      <c r="E57" s="82">
        <f t="shared" si="7"/>
        <v>0.66186686295256936</v>
      </c>
      <c r="F57" s="82">
        <f t="shared" si="7"/>
        <v>0.65368096828770983</v>
      </c>
      <c r="G57" s="82">
        <f t="shared" si="7"/>
        <v>0.64059653433885522</v>
      </c>
      <c r="H57" s="82">
        <f t="shared" si="7"/>
        <v>0.64503959205671402</v>
      </c>
      <c r="I57" s="82">
        <f t="shared" si="7"/>
        <v>0.65332938989352718</v>
      </c>
      <c r="J57" s="82">
        <f t="shared" si="7"/>
        <v>0.6580794446586965</v>
      </c>
      <c r="K57" s="75"/>
      <c r="L57" s="75"/>
    </row>
    <row r="58" spans="1:12">
      <c r="A58" s="75">
        <v>6230</v>
      </c>
      <c r="B58" s="75" t="s">
        <v>211</v>
      </c>
      <c r="C58" s="82">
        <f>IF(ISNUMBER(C22/C25),C22/C25,0)</f>
        <v>0.48430411903465798</v>
      </c>
      <c r="D58" s="82">
        <f t="shared" ref="D58:J58" si="8">IF(ISNUMBER(D22/D25),D22/D25,0)</f>
        <v>0.45033607169529499</v>
      </c>
      <c r="E58" s="82">
        <f t="shared" si="8"/>
        <v>0.49018538713195203</v>
      </c>
      <c r="F58" s="82">
        <f t="shared" si="8"/>
        <v>0.447985347985348</v>
      </c>
      <c r="G58" s="82">
        <f t="shared" si="8"/>
        <v>0.42142341040462428</v>
      </c>
      <c r="H58" s="82">
        <f t="shared" si="8"/>
        <v>0.43333333333333335</v>
      </c>
      <c r="I58" s="82">
        <f t="shared" si="8"/>
        <v>0.44391669711362808</v>
      </c>
      <c r="J58" s="82">
        <f t="shared" si="8"/>
        <v>0.43275745257452575</v>
      </c>
      <c r="K58" s="75"/>
      <c r="L58" s="75"/>
    </row>
    <row r="59" spans="1:12">
      <c r="A59" s="76">
        <v>3324</v>
      </c>
      <c r="B59" s="76" t="s">
        <v>212</v>
      </c>
      <c r="C59" s="83">
        <f>IF(C8&gt;0,IF(C26&gt;C8,IF(ISNUMBER(C26/C8),C26/C8,0),0),0)</f>
        <v>3.6774193548387095</v>
      </c>
      <c r="D59" s="83">
        <f t="shared" ref="D59:J59" si="9">IF(D8&gt;0,IF(D26&gt;D8,IF(ISNUMBER(D26/D8),D26/D8,0),0),0)</f>
        <v>23</v>
      </c>
      <c r="E59" s="83">
        <f t="shared" si="9"/>
        <v>0</v>
      </c>
      <c r="F59" s="83">
        <f t="shared" si="9"/>
        <v>0</v>
      </c>
      <c r="G59" s="83">
        <f t="shared" si="9"/>
        <v>5.666666666666667</v>
      </c>
      <c r="H59" s="83">
        <f t="shared" si="9"/>
        <v>0</v>
      </c>
      <c r="I59" s="83">
        <f t="shared" si="9"/>
        <v>0</v>
      </c>
      <c r="J59" s="83">
        <f t="shared" si="9"/>
        <v>0</v>
      </c>
      <c r="K59" s="76"/>
      <c r="L59" s="76">
        <f>AVERAGE(F59:J59)</f>
        <v>1.1333333333333333</v>
      </c>
    </row>
    <row r="60" spans="1:12">
      <c r="A60" s="76">
        <v>3017</v>
      </c>
      <c r="B60" s="76" t="s">
        <v>212</v>
      </c>
      <c r="C60" s="83">
        <f>IF(C9&gt;0,IF(C27&gt;C9,IF(ISNUMBER(C27/C9),C27/C9,0),0),0)</f>
        <v>8.7878787878787872</v>
      </c>
      <c r="D60" s="83">
        <f t="shared" ref="D60:J61" si="10">IF(D9&gt;0,IF(D27&gt;D9,IF(ISNUMBER(D27/D9),D27/D9,0),0),0)</f>
        <v>8</v>
      </c>
      <c r="E60" s="83">
        <f t="shared" si="10"/>
        <v>0</v>
      </c>
      <c r="F60" s="83">
        <f t="shared" si="10"/>
        <v>3.4666666666666668</v>
      </c>
      <c r="G60" s="83">
        <f t="shared" si="10"/>
        <v>1.1233766233766234</v>
      </c>
      <c r="H60" s="83">
        <f t="shared" si="10"/>
        <v>3.6838709677419357</v>
      </c>
      <c r="I60" s="83">
        <f t="shared" si="10"/>
        <v>0</v>
      </c>
      <c r="J60" s="83">
        <f t="shared" si="10"/>
        <v>2.1598173515981736</v>
      </c>
      <c r="K60" s="76"/>
      <c r="L60" s="76"/>
    </row>
    <row r="61" spans="1:12">
      <c r="A61" s="76">
        <v>6230</v>
      </c>
      <c r="B61" s="76" t="s">
        <v>212</v>
      </c>
      <c r="C61" s="83">
        <f>IF(C10&gt;0,IF(C28&gt;C10,IF(ISNUMBER(C28/C10),C28/C10,0),0),0)</f>
        <v>0</v>
      </c>
      <c r="D61" s="83">
        <f t="shared" si="10"/>
        <v>1.2242990654205608</v>
      </c>
      <c r="E61" s="83">
        <f t="shared" si="10"/>
        <v>0</v>
      </c>
      <c r="F61" s="83">
        <f t="shared" si="10"/>
        <v>1.4567901234567902</v>
      </c>
      <c r="G61" s="83">
        <f t="shared" si="10"/>
        <v>0</v>
      </c>
      <c r="H61" s="83">
        <f t="shared" si="10"/>
        <v>2.5572519083969465</v>
      </c>
      <c r="I61" s="83">
        <f t="shared" si="10"/>
        <v>0</v>
      </c>
      <c r="J61" s="83">
        <f t="shared" si="10"/>
        <v>1.0135746606334841</v>
      </c>
      <c r="K61" s="76"/>
      <c r="L61" s="76"/>
    </row>
    <row r="62" spans="1:12">
      <c r="A62" s="77">
        <v>3324</v>
      </c>
      <c r="B62" s="77" t="s">
        <v>213</v>
      </c>
      <c r="C62" s="84">
        <f>C38/C5</f>
        <v>2.9818956336528223E-2</v>
      </c>
      <c r="D62" s="84">
        <f t="shared" ref="D62:J62" si="11">D38/D5</f>
        <v>3.484320557491289E-2</v>
      </c>
      <c r="E62" s="84">
        <f t="shared" si="11"/>
        <v>3.3838973162193697E-2</v>
      </c>
      <c r="F62" s="84">
        <f t="shared" si="11"/>
        <v>3.0716723549488054E-2</v>
      </c>
      <c r="G62" s="84">
        <f t="shared" si="11"/>
        <v>3.2638259292837715E-2</v>
      </c>
      <c r="H62" s="84">
        <f t="shared" si="11"/>
        <v>3.3769063180827889E-2</v>
      </c>
      <c r="I62" s="84">
        <f t="shared" si="11"/>
        <v>4.0236686390532544E-2</v>
      </c>
      <c r="J62" s="84">
        <f t="shared" si="11"/>
        <v>3.2114183764495985E-2</v>
      </c>
      <c r="K62" s="77"/>
      <c r="L62" s="77"/>
    </row>
    <row r="63" spans="1:12">
      <c r="A63" s="77">
        <v>3017</v>
      </c>
      <c r="B63" s="77" t="s">
        <v>213</v>
      </c>
      <c r="C63" s="84">
        <f>C39/C6</f>
        <v>3.4183082271147164E-2</v>
      </c>
      <c r="D63" s="84">
        <f t="shared" ref="D63:J64" si="12">D39/D6</f>
        <v>3.5122729994013169E-2</v>
      </c>
      <c r="E63" s="84">
        <f t="shared" si="12"/>
        <v>2.9699317469101642E-2</v>
      </c>
      <c r="F63" s="84">
        <f t="shared" si="12"/>
        <v>3.1395132825561951E-2</v>
      </c>
      <c r="G63" s="84">
        <f t="shared" si="12"/>
        <v>3.3389926428975668E-2</v>
      </c>
      <c r="H63" s="84">
        <f t="shared" si="12"/>
        <v>3.3901588531576911E-2</v>
      </c>
      <c r="I63" s="84">
        <f t="shared" si="12"/>
        <v>3.1357001261488555E-2</v>
      </c>
      <c r="J63" s="84">
        <f t="shared" si="12"/>
        <v>2.9688024152968801E-2</v>
      </c>
      <c r="K63" s="77"/>
      <c r="L63" s="77"/>
    </row>
    <row r="64" spans="1:12">
      <c r="A64" s="77">
        <v>6230</v>
      </c>
      <c r="B64" s="77" t="s">
        <v>213</v>
      </c>
      <c r="C64" s="84">
        <f>C40/C7</f>
        <v>1.8549747048903879E-2</v>
      </c>
      <c r="D64" s="84">
        <f t="shared" si="12"/>
        <v>2.3445463812436288E-2</v>
      </c>
      <c r="E64" s="84">
        <f t="shared" si="12"/>
        <v>0.02</v>
      </c>
      <c r="F64" s="84">
        <f t="shared" si="12"/>
        <v>2.1168501270110076E-2</v>
      </c>
      <c r="G64" s="84">
        <f t="shared" si="12"/>
        <v>2.2628372497824196E-2</v>
      </c>
      <c r="H64" s="84">
        <f t="shared" si="12"/>
        <v>2.4826216484607744E-2</v>
      </c>
      <c r="I64" s="84">
        <f t="shared" si="12"/>
        <v>2.244165170556553E-2</v>
      </c>
      <c r="J64" s="84">
        <f t="shared" si="12"/>
        <v>2.2608695652173914E-2</v>
      </c>
      <c r="K64" s="77"/>
      <c r="L64" s="77"/>
    </row>
    <row r="65" spans="1:12">
      <c r="A65" s="73">
        <v>3324</v>
      </c>
      <c r="B65" s="73" t="s">
        <v>214</v>
      </c>
      <c r="C65" s="85">
        <f>C41/C2</f>
        <v>0.11192660550458716</v>
      </c>
      <c r="D65" s="85">
        <f t="shared" ref="D65:J65" si="13">D41/D2</f>
        <v>0.10918367346938776</v>
      </c>
      <c r="E65" s="85">
        <f t="shared" si="13"/>
        <v>0.11267605633802817</v>
      </c>
      <c r="F65" s="85">
        <f t="shared" si="13"/>
        <v>0.11741293532338308</v>
      </c>
      <c r="G65" s="85">
        <f t="shared" si="13"/>
        <v>0.11857707509881422</v>
      </c>
      <c r="H65" s="85">
        <f t="shared" si="13"/>
        <v>0.11724806201550388</v>
      </c>
      <c r="I65" s="85">
        <f t="shared" si="13"/>
        <v>0.12930135557872785</v>
      </c>
      <c r="J65" s="85">
        <f t="shared" si="13"/>
        <v>0.10295176385889129</v>
      </c>
      <c r="K65" s="73"/>
      <c r="L65" s="73"/>
    </row>
    <row r="66" spans="1:12">
      <c r="A66" s="73">
        <v>3017</v>
      </c>
      <c r="B66" s="73" t="s">
        <v>214</v>
      </c>
      <c r="C66" s="85">
        <f>C42/C3</f>
        <v>9.1350320679493849E-2</v>
      </c>
      <c r="D66" s="85">
        <f t="shared" ref="D66:J67" si="14">D42/D3</f>
        <v>9.2711682743837079E-2</v>
      </c>
      <c r="E66" s="85">
        <f t="shared" si="14"/>
        <v>9.4070512820512819E-2</v>
      </c>
      <c r="F66" s="85">
        <f t="shared" si="14"/>
        <v>9.9820583917794817E-2</v>
      </c>
      <c r="G66" s="85">
        <f t="shared" si="14"/>
        <v>0.10844166529537601</v>
      </c>
      <c r="H66" s="85">
        <f t="shared" si="14"/>
        <v>8.833021912688975E-2</v>
      </c>
      <c r="I66" s="85">
        <f t="shared" si="14"/>
        <v>8.5985213757634196E-2</v>
      </c>
      <c r="J66" s="85">
        <f t="shared" si="14"/>
        <v>8.4820122842936538E-2</v>
      </c>
      <c r="K66" s="73"/>
      <c r="L66" s="73"/>
    </row>
    <row r="67" spans="1:12">
      <c r="A67" s="73">
        <v>6230</v>
      </c>
      <c r="B67" s="73" t="s">
        <v>214</v>
      </c>
      <c r="C67" s="85">
        <f>C43/C4</f>
        <v>0.11407605070046697</v>
      </c>
      <c r="D67" s="85">
        <f t="shared" si="14"/>
        <v>0.13238770685579196</v>
      </c>
      <c r="E67" s="85">
        <f t="shared" si="14"/>
        <v>0.10359801488833748</v>
      </c>
      <c r="F67" s="85">
        <f t="shared" si="14"/>
        <v>0.11002604166666667</v>
      </c>
      <c r="G67" s="85">
        <f t="shared" si="14"/>
        <v>0.11556139198949442</v>
      </c>
      <c r="H67" s="85">
        <f t="shared" si="14"/>
        <v>0.11643835616438356</v>
      </c>
      <c r="I67" s="85">
        <f t="shared" si="14"/>
        <v>0.11785216178521618</v>
      </c>
      <c r="J67" s="85">
        <f t="shared" si="14"/>
        <v>0.11437908496732026</v>
      </c>
      <c r="K67" s="73"/>
      <c r="L67" s="73"/>
    </row>
    <row r="68" spans="1:12">
      <c r="A68" s="74">
        <v>3324</v>
      </c>
      <c r="B68" s="74" t="s">
        <v>525</v>
      </c>
      <c r="C68" s="86">
        <f t="shared" ref="C68:J70" si="15">ROUND((C2/C44)*10,2)</f>
        <v>15.42</v>
      </c>
      <c r="D68" s="86">
        <f t="shared" si="15"/>
        <v>13.86</v>
      </c>
      <c r="E68" s="86">
        <f t="shared" si="15"/>
        <v>14.06</v>
      </c>
      <c r="F68" s="86">
        <f t="shared" si="15"/>
        <v>14.14</v>
      </c>
      <c r="G68" s="86">
        <f t="shared" si="15"/>
        <v>17.79</v>
      </c>
      <c r="H68" s="86">
        <f t="shared" si="15"/>
        <v>14.51</v>
      </c>
      <c r="I68" s="86">
        <f t="shared" si="15"/>
        <v>13.49</v>
      </c>
      <c r="J68" s="86">
        <f t="shared" si="15"/>
        <v>19.54</v>
      </c>
      <c r="K68" s="74"/>
      <c r="L68" s="74"/>
    </row>
    <row r="69" spans="1:12">
      <c r="A69" s="74">
        <v>3017</v>
      </c>
      <c r="B69" s="74" t="s">
        <v>525</v>
      </c>
      <c r="C69" s="86">
        <f t="shared" si="15"/>
        <v>16.329999999999998</v>
      </c>
      <c r="D69" s="86">
        <f t="shared" si="15"/>
        <v>15.84</v>
      </c>
      <c r="E69" s="86">
        <f t="shared" si="15"/>
        <v>17.66</v>
      </c>
      <c r="F69" s="86">
        <f t="shared" si="15"/>
        <v>17.350000000000001</v>
      </c>
      <c r="G69" s="86">
        <f t="shared" si="15"/>
        <v>17.2</v>
      </c>
      <c r="H69" s="86">
        <f t="shared" si="15"/>
        <v>16.66</v>
      </c>
      <c r="I69" s="86">
        <f t="shared" si="15"/>
        <v>17.61</v>
      </c>
      <c r="J69" s="86">
        <f t="shared" si="15"/>
        <v>19.350000000000001</v>
      </c>
      <c r="K69" s="74"/>
      <c r="L69" s="74"/>
    </row>
    <row r="70" spans="1:12">
      <c r="A70" s="74">
        <v>6230</v>
      </c>
      <c r="B70" s="74" t="s">
        <v>525</v>
      </c>
      <c r="C70" s="74">
        <f t="shared" si="15"/>
        <v>17.37</v>
      </c>
      <c r="D70" s="74">
        <f t="shared" si="15"/>
        <v>14.7</v>
      </c>
      <c r="E70" s="74">
        <f t="shared" si="15"/>
        <v>18.68</v>
      </c>
      <c r="F70" s="74">
        <f t="shared" si="15"/>
        <v>17.8</v>
      </c>
      <c r="G70" s="74">
        <f t="shared" si="15"/>
        <v>17.649999999999999</v>
      </c>
      <c r="H70" s="74">
        <f t="shared" si="15"/>
        <v>15.23</v>
      </c>
      <c r="I70" s="74">
        <f t="shared" si="15"/>
        <v>16.62</v>
      </c>
      <c r="J70" s="74">
        <f t="shared" si="15"/>
        <v>17.73</v>
      </c>
      <c r="K70" s="74"/>
      <c r="L70" s="74"/>
    </row>
    <row r="71" spans="1:12">
      <c r="A71" s="87">
        <v>3324</v>
      </c>
      <c r="B71" s="87" t="s">
        <v>524</v>
      </c>
      <c r="C71" s="87">
        <f t="shared" ref="C71:J73" si="16">ROUND((C26/C44)*10,2)</f>
        <v>1.61</v>
      </c>
      <c r="D71" s="87">
        <f t="shared" si="16"/>
        <v>0.98</v>
      </c>
      <c r="E71" s="87">
        <f t="shared" si="16"/>
        <v>-0.25</v>
      </c>
      <c r="F71" s="87">
        <f t="shared" si="16"/>
        <v>1.28</v>
      </c>
      <c r="G71" s="87">
        <f t="shared" si="16"/>
        <v>2.63</v>
      </c>
      <c r="H71" s="87">
        <f t="shared" si="16"/>
        <v>-1.29</v>
      </c>
      <c r="I71" s="87">
        <f t="shared" si="16"/>
        <v>2.0699999999999998</v>
      </c>
      <c r="J71" s="87">
        <f t="shared" si="16"/>
        <v>0.11</v>
      </c>
      <c r="K71" s="87"/>
      <c r="L71" s="87"/>
    </row>
    <row r="72" spans="1:12">
      <c r="A72" s="87">
        <v>3017</v>
      </c>
      <c r="B72" s="87" t="s">
        <v>524</v>
      </c>
      <c r="C72" s="87">
        <f t="shared" si="16"/>
        <v>1.64</v>
      </c>
      <c r="D72" s="87">
        <f t="shared" si="16"/>
        <v>1.45</v>
      </c>
      <c r="E72" s="87">
        <f t="shared" si="16"/>
        <v>0.08</v>
      </c>
      <c r="F72" s="87">
        <f t="shared" si="16"/>
        <v>3.53</v>
      </c>
      <c r="G72" s="87">
        <f t="shared" si="16"/>
        <v>0.49</v>
      </c>
      <c r="H72" s="87">
        <f t="shared" si="16"/>
        <v>1.62</v>
      </c>
      <c r="I72" s="87">
        <f t="shared" si="16"/>
        <v>-0.26</v>
      </c>
      <c r="J72" s="87">
        <f t="shared" si="16"/>
        <v>1.34</v>
      </c>
      <c r="K72" s="87"/>
      <c r="L72" s="87"/>
    </row>
    <row r="73" spans="1:12">
      <c r="A73" s="87">
        <v>6230</v>
      </c>
      <c r="B73" s="87" t="s">
        <v>524</v>
      </c>
      <c r="C73" s="87">
        <f t="shared" si="16"/>
        <v>0.15</v>
      </c>
      <c r="D73" s="87">
        <f t="shared" si="16"/>
        <v>1.52</v>
      </c>
      <c r="E73" s="87">
        <f t="shared" si="16"/>
        <v>0.45</v>
      </c>
      <c r="F73" s="87">
        <f t="shared" si="16"/>
        <v>2.73</v>
      </c>
      <c r="G73" s="87">
        <f t="shared" si="16"/>
        <v>1.1599999999999999</v>
      </c>
      <c r="H73" s="87">
        <f t="shared" si="16"/>
        <v>3.88</v>
      </c>
      <c r="I73" s="87">
        <f t="shared" si="16"/>
        <v>1.1100000000000001</v>
      </c>
      <c r="J73" s="87">
        <f t="shared" si="16"/>
        <v>2.6</v>
      </c>
      <c r="K73" s="87"/>
      <c r="L73" s="87"/>
    </row>
    <row r="74" spans="1:12">
      <c r="A74" s="88">
        <v>3324</v>
      </c>
      <c r="B74" s="88" t="s">
        <v>1839</v>
      </c>
      <c r="C74" s="88">
        <f>IF(C32&lt;0,ROUND((-C32/C44)*10,2),0)</f>
        <v>0.35</v>
      </c>
      <c r="D74" s="88">
        <f t="shared" ref="D74:J74" si="17">IF(D32&lt;0,ROUND((-D32/D44)*10,2),0)</f>
        <v>0.28000000000000003</v>
      </c>
      <c r="E74" s="88">
        <f t="shared" si="17"/>
        <v>0.45</v>
      </c>
      <c r="F74" s="88">
        <f t="shared" si="17"/>
        <v>0.48</v>
      </c>
      <c r="G74" s="88">
        <f t="shared" si="17"/>
        <v>0.46</v>
      </c>
      <c r="H74" s="88">
        <f t="shared" si="17"/>
        <v>0.28000000000000003</v>
      </c>
      <c r="I74" s="88">
        <f t="shared" si="17"/>
        <v>0.32</v>
      </c>
      <c r="J74" s="88">
        <f t="shared" si="17"/>
        <v>0.38</v>
      </c>
      <c r="K74" s="88"/>
      <c r="L74" s="88"/>
    </row>
    <row r="75" spans="1:12">
      <c r="A75" s="88">
        <v>3017</v>
      </c>
      <c r="B75" s="88" t="s">
        <v>1839</v>
      </c>
      <c r="C75" s="88">
        <f>IF(C33&lt;0,ROUND((-C33/C45)*10,2),0)</f>
        <v>0.72</v>
      </c>
      <c r="D75" s="88">
        <f t="shared" ref="D75:J75" si="18">IF(D33&lt;0,ROUND((-D33/D45)*10,2),0)</f>
        <v>0.93</v>
      </c>
      <c r="E75" s="88">
        <f t="shared" si="18"/>
        <v>0.4</v>
      </c>
      <c r="F75" s="88">
        <f t="shared" si="18"/>
        <v>1.0900000000000001</v>
      </c>
      <c r="G75" s="88">
        <f t="shared" si="18"/>
        <v>1.39</v>
      </c>
      <c r="H75" s="88">
        <f t="shared" si="18"/>
        <v>1.31</v>
      </c>
      <c r="I75" s="88">
        <f t="shared" si="18"/>
        <v>0.78</v>
      </c>
      <c r="J75" s="88">
        <f t="shared" si="18"/>
        <v>0.7</v>
      </c>
      <c r="K75" s="88"/>
      <c r="L75" s="88"/>
    </row>
    <row r="76" spans="1:12">
      <c r="A76" s="88">
        <v>6230</v>
      </c>
      <c r="B76" s="88" t="s">
        <v>1839</v>
      </c>
      <c r="C76" s="88">
        <f>IF(C34&lt;0,ROUND((-C34/C46)*10,2),0)</f>
        <v>0.17</v>
      </c>
      <c r="D76" s="88">
        <f t="shared" ref="D76:J76" si="19">IF(D34&lt;0,ROUND((-D34/D46)*10,2),0)</f>
        <v>1.4</v>
      </c>
      <c r="E76" s="88">
        <f t="shared" si="19"/>
        <v>0.42</v>
      </c>
      <c r="F76" s="88">
        <f t="shared" si="19"/>
        <v>0.34</v>
      </c>
      <c r="G76" s="88">
        <f t="shared" si="19"/>
        <v>0.21</v>
      </c>
      <c r="H76" s="88">
        <f t="shared" si="19"/>
        <v>0.17</v>
      </c>
      <c r="I76" s="88">
        <f t="shared" si="19"/>
        <v>0.21</v>
      </c>
      <c r="J76" s="88">
        <f t="shared" si="19"/>
        <v>0.63</v>
      </c>
      <c r="K76" s="88"/>
      <c r="L76" s="88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2584</v>
      </c>
    </row>
    <row r="3" spans="2:10">
      <c r="B3" t="s">
        <v>45</v>
      </c>
    </row>
    <row r="4" spans="2:10">
      <c r="B4" t="s">
        <v>46</v>
      </c>
      <c r="C4" t="s">
        <v>1888</v>
      </c>
      <c r="D4" t="s">
        <v>220</v>
      </c>
      <c r="E4" t="s">
        <v>47</v>
      </c>
      <c r="F4" t="s">
        <v>48</v>
      </c>
      <c r="G4" t="s">
        <v>49</v>
      </c>
      <c r="H4" t="s">
        <v>50</v>
      </c>
      <c r="I4" t="s">
        <v>51</v>
      </c>
      <c r="J4" t="s">
        <v>52</v>
      </c>
    </row>
    <row r="5" spans="2:10">
      <c r="B5" t="s">
        <v>8</v>
      </c>
      <c r="C5" s="40">
        <v>1389</v>
      </c>
      <c r="D5">
        <v>959</v>
      </c>
      <c r="E5" s="40">
        <v>1032</v>
      </c>
      <c r="F5" s="40">
        <v>1265</v>
      </c>
      <c r="G5" s="40">
        <v>1005</v>
      </c>
      <c r="H5">
        <v>994</v>
      </c>
      <c r="I5">
        <v>980</v>
      </c>
      <c r="J5" s="40">
        <v>1090</v>
      </c>
    </row>
    <row r="6" spans="2:10">
      <c r="B6" t="s">
        <v>9</v>
      </c>
      <c r="C6" s="40">
        <v>1121</v>
      </c>
      <c r="D6">
        <v>845</v>
      </c>
      <c r="E6">
        <v>918</v>
      </c>
      <c r="F6" s="40">
        <v>1103</v>
      </c>
      <c r="G6">
        <v>879</v>
      </c>
      <c r="H6">
        <v>857</v>
      </c>
      <c r="I6">
        <v>861</v>
      </c>
      <c r="J6">
        <v>939</v>
      </c>
    </row>
    <row r="7" spans="2:10">
      <c r="B7" t="s">
        <v>53</v>
      </c>
      <c r="C7">
        <v>268</v>
      </c>
      <c r="D7">
        <v>114</v>
      </c>
      <c r="E7">
        <v>114</v>
      </c>
      <c r="F7">
        <v>162</v>
      </c>
      <c r="G7">
        <v>126</v>
      </c>
      <c r="H7">
        <v>137</v>
      </c>
      <c r="I7">
        <v>119</v>
      </c>
      <c r="J7">
        <v>151</v>
      </c>
    </row>
    <row r="8" spans="2:10">
      <c r="B8" t="s">
        <v>54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55</v>
      </c>
      <c r="C9">
        <v>268</v>
      </c>
      <c r="D9">
        <v>114</v>
      </c>
      <c r="E9">
        <v>114</v>
      </c>
      <c r="F9">
        <v>162</v>
      </c>
      <c r="G9">
        <v>126</v>
      </c>
      <c r="H9">
        <v>137</v>
      </c>
      <c r="I9">
        <v>119</v>
      </c>
      <c r="J9">
        <v>151</v>
      </c>
    </row>
    <row r="10" spans="2:10">
      <c r="B10" t="s">
        <v>56</v>
      </c>
      <c r="C10">
        <v>143</v>
      </c>
      <c r="D10">
        <v>124</v>
      </c>
      <c r="E10">
        <v>121</v>
      </c>
      <c r="F10">
        <v>150</v>
      </c>
      <c r="G10">
        <v>118</v>
      </c>
      <c r="H10">
        <v>112</v>
      </c>
      <c r="I10">
        <v>107</v>
      </c>
      <c r="J10">
        <v>122</v>
      </c>
    </row>
    <row r="11" spans="2:10">
      <c r="B11" t="s">
        <v>57</v>
      </c>
      <c r="C11">
        <v>48</v>
      </c>
      <c r="D11">
        <v>40</v>
      </c>
      <c r="E11">
        <v>38</v>
      </c>
      <c r="F11">
        <v>41</v>
      </c>
      <c r="G11">
        <v>39</v>
      </c>
      <c r="H11">
        <v>34</v>
      </c>
      <c r="I11">
        <v>36</v>
      </c>
      <c r="J11">
        <v>35</v>
      </c>
    </row>
    <row r="12" spans="2:10">
      <c r="B12" t="s">
        <v>58</v>
      </c>
      <c r="C12">
        <v>48</v>
      </c>
      <c r="D12">
        <v>41</v>
      </c>
      <c r="E12">
        <v>33</v>
      </c>
      <c r="F12">
        <v>61</v>
      </c>
      <c r="G12">
        <v>37</v>
      </c>
      <c r="H12">
        <v>36</v>
      </c>
      <c r="I12">
        <v>33</v>
      </c>
      <c r="J12">
        <v>35</v>
      </c>
    </row>
    <row r="13" spans="2:10">
      <c r="B13" t="s">
        <v>59</v>
      </c>
      <c r="C13">
        <v>47</v>
      </c>
      <c r="D13">
        <v>43</v>
      </c>
      <c r="E13">
        <v>49</v>
      </c>
      <c r="F13">
        <v>49</v>
      </c>
      <c r="G13">
        <v>42</v>
      </c>
      <c r="H13">
        <v>42</v>
      </c>
      <c r="I13">
        <v>38</v>
      </c>
      <c r="J13">
        <v>51</v>
      </c>
    </row>
    <row r="14" spans="2:10">
      <c r="B14" t="s">
        <v>60</v>
      </c>
      <c r="C14">
        <v>125</v>
      </c>
      <c r="D14">
        <v>-10</v>
      </c>
      <c r="E14">
        <v>-6</v>
      </c>
      <c r="F14">
        <v>12</v>
      </c>
      <c r="G14">
        <v>8</v>
      </c>
      <c r="H14">
        <v>25</v>
      </c>
      <c r="I14">
        <v>11</v>
      </c>
      <c r="J14">
        <v>30</v>
      </c>
    </row>
    <row r="15" spans="2:10">
      <c r="B15" t="s">
        <v>61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6</v>
      </c>
      <c r="J15">
        <v>4</v>
      </c>
    </row>
    <row r="16" spans="2:10">
      <c r="B16" t="s">
        <v>62</v>
      </c>
      <c r="C16">
        <v>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-1</v>
      </c>
    </row>
    <row r="19" spans="2:10">
      <c r="B19" t="s">
        <v>65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68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69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71</v>
      </c>
      <c r="C25">
        <v>40</v>
      </c>
      <c r="D25">
        <v>0</v>
      </c>
      <c r="E25">
        <v>0</v>
      </c>
      <c r="F25">
        <v>17</v>
      </c>
      <c r="G25">
        <v>1</v>
      </c>
      <c r="H25">
        <v>-4</v>
      </c>
      <c r="I25">
        <v>4</v>
      </c>
      <c r="J25">
        <v>6</v>
      </c>
    </row>
    <row r="26" spans="2:10">
      <c r="B26" t="s">
        <v>72</v>
      </c>
      <c r="C26">
        <v>8</v>
      </c>
      <c r="D26">
        <v>10</v>
      </c>
      <c r="E26">
        <v>2</v>
      </c>
      <c r="F26">
        <v>8</v>
      </c>
      <c r="G26">
        <v>3</v>
      </c>
      <c r="H26">
        <v>0</v>
      </c>
      <c r="I26">
        <v>5</v>
      </c>
      <c r="J26">
        <v>3</v>
      </c>
    </row>
    <row r="27" spans="2:10">
      <c r="B27" t="s">
        <v>73</v>
      </c>
      <c r="C27">
        <v>54</v>
      </c>
      <c r="D27">
        <v>10</v>
      </c>
      <c r="E27">
        <v>2</v>
      </c>
      <c r="F27">
        <v>26</v>
      </c>
      <c r="G27">
        <v>4</v>
      </c>
      <c r="H27">
        <v>-3</v>
      </c>
      <c r="I27">
        <v>15</v>
      </c>
      <c r="J27">
        <v>13</v>
      </c>
    </row>
    <row r="28" spans="2:10">
      <c r="B28" t="s">
        <v>74</v>
      </c>
      <c r="C28">
        <v>4</v>
      </c>
      <c r="D28">
        <v>4</v>
      </c>
      <c r="E28">
        <v>4</v>
      </c>
      <c r="F28">
        <v>4</v>
      </c>
      <c r="G28">
        <v>4</v>
      </c>
      <c r="H28">
        <v>4</v>
      </c>
      <c r="I28">
        <v>5</v>
      </c>
      <c r="J28">
        <v>5</v>
      </c>
    </row>
    <row r="29" spans="2:10">
      <c r="B29" t="s">
        <v>75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76</v>
      </c>
      <c r="C30">
        <v>-7</v>
      </c>
      <c r="D30">
        <v>-1</v>
      </c>
      <c r="E30">
        <v>7</v>
      </c>
      <c r="F30">
        <v>-3</v>
      </c>
      <c r="G30">
        <v>-4</v>
      </c>
      <c r="H30">
        <v>-1</v>
      </c>
      <c r="I30">
        <v>9</v>
      </c>
      <c r="J30">
        <v>-3</v>
      </c>
    </row>
    <row r="31" spans="2:10">
      <c r="B31" t="s">
        <v>77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78</v>
      </c>
      <c r="C32">
        <v>0</v>
      </c>
      <c r="D32">
        <v>0</v>
      </c>
      <c r="E32">
        <v>0</v>
      </c>
      <c r="F32">
        <v>0</v>
      </c>
      <c r="G32">
        <v>9</v>
      </c>
      <c r="H32">
        <v>1</v>
      </c>
      <c r="I32">
        <v>0</v>
      </c>
      <c r="J32">
        <v>0</v>
      </c>
    </row>
    <row r="33" spans="2:10">
      <c r="B33" t="s">
        <v>79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84</v>
      </c>
      <c r="C38">
        <v>-1</v>
      </c>
      <c r="D38">
        <v>1</v>
      </c>
      <c r="E38">
        <v>0</v>
      </c>
      <c r="F38">
        <v>0</v>
      </c>
      <c r="G38">
        <v>-8</v>
      </c>
      <c r="H38">
        <v>8</v>
      </c>
      <c r="I38">
        <v>0</v>
      </c>
      <c r="J38">
        <v>0</v>
      </c>
    </row>
    <row r="39" spans="2:10">
      <c r="B39" t="s">
        <v>85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86</v>
      </c>
      <c r="C40">
        <v>0</v>
      </c>
      <c r="D40">
        <v>-2</v>
      </c>
      <c r="E40">
        <v>2</v>
      </c>
      <c r="F40">
        <v>-2</v>
      </c>
      <c r="G40">
        <v>0</v>
      </c>
      <c r="H40">
        <v>6</v>
      </c>
      <c r="I40">
        <v>2</v>
      </c>
      <c r="J40">
        <v>0</v>
      </c>
    </row>
    <row r="41" spans="2:10">
      <c r="B41" t="s">
        <v>87</v>
      </c>
      <c r="C41">
        <v>-3</v>
      </c>
      <c r="D41">
        <v>2</v>
      </c>
      <c r="E41">
        <v>14</v>
      </c>
      <c r="F41">
        <v>-1</v>
      </c>
      <c r="G41">
        <v>1</v>
      </c>
      <c r="H41">
        <v>19</v>
      </c>
      <c r="I41">
        <v>16</v>
      </c>
      <c r="J41">
        <v>2</v>
      </c>
    </row>
    <row r="42" spans="2:10">
      <c r="B42" t="s">
        <v>88</v>
      </c>
      <c r="C42">
        <v>182</v>
      </c>
      <c r="D42">
        <v>-2</v>
      </c>
      <c r="E42">
        <v>-17</v>
      </c>
      <c r="F42">
        <v>39</v>
      </c>
      <c r="G42">
        <v>10</v>
      </c>
      <c r="H42">
        <v>3</v>
      </c>
      <c r="I42">
        <v>10</v>
      </c>
      <c r="J42">
        <v>41</v>
      </c>
    </row>
    <row r="43" spans="2:10">
      <c r="B43" t="s">
        <v>89</v>
      </c>
      <c r="C43">
        <v>34</v>
      </c>
      <c r="D43">
        <v>-3</v>
      </c>
      <c r="E43">
        <v>11</v>
      </c>
      <c r="F43">
        <v>6</v>
      </c>
      <c r="G43">
        <v>34</v>
      </c>
      <c r="H43">
        <v>0</v>
      </c>
      <c r="I43">
        <v>9</v>
      </c>
      <c r="J43">
        <v>11</v>
      </c>
    </row>
    <row r="44" spans="2:10">
      <c r="B44" t="s">
        <v>90</v>
      </c>
      <c r="C44">
        <v>147</v>
      </c>
      <c r="D44">
        <v>1</v>
      </c>
      <c r="E44">
        <v>-29</v>
      </c>
      <c r="F44">
        <v>33</v>
      </c>
      <c r="G44">
        <v>-23</v>
      </c>
      <c r="H44">
        <v>3</v>
      </c>
      <c r="I44">
        <v>1</v>
      </c>
      <c r="J44">
        <v>29</v>
      </c>
    </row>
    <row r="45" spans="2:10">
      <c r="B45" t="s">
        <v>91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94</v>
      </c>
      <c r="C48">
        <v>147</v>
      </c>
      <c r="D48">
        <v>1</v>
      </c>
      <c r="E48">
        <v>-29</v>
      </c>
      <c r="F48">
        <v>33</v>
      </c>
      <c r="G48">
        <v>-23</v>
      </c>
      <c r="H48">
        <v>3</v>
      </c>
      <c r="I48">
        <v>1</v>
      </c>
      <c r="J48">
        <v>29</v>
      </c>
    </row>
    <row r="49" spans="2:10">
      <c r="B49" t="s">
        <v>95</v>
      </c>
      <c r="C49" t="s">
        <v>96</v>
      </c>
      <c r="D49" t="s">
        <v>96</v>
      </c>
      <c r="E49" t="s">
        <v>96</v>
      </c>
      <c r="F49" t="s">
        <v>96</v>
      </c>
      <c r="G49" t="s">
        <v>96</v>
      </c>
      <c r="H49" t="s">
        <v>96</v>
      </c>
      <c r="I49" t="s">
        <v>96</v>
      </c>
      <c r="J49" t="s">
        <v>96</v>
      </c>
    </row>
    <row r="50" spans="2:10">
      <c r="B50" t="s">
        <v>97</v>
      </c>
      <c r="C50">
        <v>6</v>
      </c>
      <c r="D50">
        <v>4</v>
      </c>
      <c r="E50">
        <v>0</v>
      </c>
      <c r="F50">
        <v>1</v>
      </c>
      <c r="G50">
        <v>0</v>
      </c>
      <c r="H50">
        <v>0</v>
      </c>
      <c r="I50">
        <v>-2</v>
      </c>
      <c r="J50">
        <v>-2</v>
      </c>
    </row>
    <row r="51" spans="2:10">
      <c r="B51" t="s">
        <v>98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11</v>
      </c>
      <c r="C52">
        <v>141</v>
      </c>
      <c r="D52">
        <v>-3</v>
      </c>
      <c r="E52">
        <v>-29</v>
      </c>
      <c r="F52">
        <v>33</v>
      </c>
      <c r="G52">
        <v>-23</v>
      </c>
      <c r="H52">
        <v>3</v>
      </c>
      <c r="I52">
        <v>3</v>
      </c>
      <c r="J52">
        <v>31</v>
      </c>
    </row>
    <row r="53" spans="2:10">
      <c r="B53" t="s">
        <v>12</v>
      </c>
      <c r="C53">
        <v>1.99</v>
      </c>
      <c r="D53">
        <v>-0.04</v>
      </c>
      <c r="E53">
        <v>-0.4</v>
      </c>
      <c r="F53">
        <v>0.46</v>
      </c>
      <c r="G53">
        <v>-0.32</v>
      </c>
      <c r="H53">
        <v>0.04</v>
      </c>
      <c r="I53">
        <v>0.04</v>
      </c>
      <c r="J53">
        <v>0.48</v>
      </c>
    </row>
    <row r="54" spans="2:10">
      <c r="B54" t="s">
        <v>99</v>
      </c>
      <c r="C54">
        <v>1.97</v>
      </c>
      <c r="D54">
        <v>-0.04</v>
      </c>
      <c r="E54">
        <v>-0.4</v>
      </c>
      <c r="F54" t="s">
        <v>96</v>
      </c>
      <c r="G54">
        <v>-0.32</v>
      </c>
      <c r="H54">
        <v>0.04</v>
      </c>
      <c r="I54">
        <v>0.04</v>
      </c>
      <c r="J54" t="s">
        <v>96</v>
      </c>
    </row>
    <row r="55" spans="2:10">
      <c r="B55" t="s">
        <v>100</v>
      </c>
      <c r="C55">
        <v>711</v>
      </c>
      <c r="D55">
        <v>711</v>
      </c>
      <c r="E55">
        <v>711</v>
      </c>
      <c r="F55">
        <v>709</v>
      </c>
      <c r="G55">
        <v>711</v>
      </c>
      <c r="H55">
        <v>708</v>
      </c>
      <c r="I55">
        <v>707</v>
      </c>
      <c r="J55">
        <v>650</v>
      </c>
    </row>
    <row r="56" spans="2:10">
      <c r="B56" t="s">
        <v>101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102</v>
      </c>
      <c r="C57" t="s">
        <v>96</v>
      </c>
      <c r="D57" t="s">
        <v>96</v>
      </c>
      <c r="E57" t="s">
        <v>96</v>
      </c>
      <c r="F57">
        <v>0</v>
      </c>
      <c r="G57" t="s">
        <v>96</v>
      </c>
      <c r="H57" t="s">
        <v>96</v>
      </c>
      <c r="I57" t="s">
        <v>96</v>
      </c>
      <c r="J57">
        <v>0</v>
      </c>
    </row>
    <row r="58" spans="2:10">
      <c r="B58" t="s">
        <v>103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105</v>
      </c>
      <c r="C60">
        <v>186</v>
      </c>
      <c r="D60">
        <v>2</v>
      </c>
      <c r="E60">
        <v>-13</v>
      </c>
      <c r="F60">
        <v>43</v>
      </c>
      <c r="G60">
        <v>15</v>
      </c>
      <c r="H60">
        <v>8</v>
      </c>
      <c r="I60">
        <v>15</v>
      </c>
      <c r="J60">
        <v>45</v>
      </c>
    </row>
    <row r="61" spans="2:10">
      <c r="B61" t="s">
        <v>106</v>
      </c>
      <c r="C61">
        <v>227</v>
      </c>
      <c r="D61">
        <v>39</v>
      </c>
      <c r="E61">
        <v>24</v>
      </c>
      <c r="F61">
        <v>94</v>
      </c>
      <c r="G61">
        <v>46</v>
      </c>
      <c r="H61">
        <v>41</v>
      </c>
      <c r="I61">
        <v>49</v>
      </c>
      <c r="J61">
        <v>78</v>
      </c>
    </row>
    <row r="62" spans="2:10">
      <c r="B62" t="s">
        <v>107</v>
      </c>
      <c r="C62">
        <v>148</v>
      </c>
      <c r="D62">
        <v>1</v>
      </c>
      <c r="E62">
        <v>-29</v>
      </c>
      <c r="F62">
        <v>33</v>
      </c>
      <c r="G62">
        <v>-14</v>
      </c>
      <c r="H62">
        <v>3</v>
      </c>
      <c r="I62">
        <v>1</v>
      </c>
      <c r="J62">
        <v>30</v>
      </c>
    </row>
    <row r="63" spans="2:10">
      <c r="B63" t="s">
        <v>108</v>
      </c>
    </row>
    <row r="64" spans="2:10">
      <c r="B64" t="s">
        <v>109</v>
      </c>
    </row>
    <row r="101" spans="2:10">
      <c r="B101" t="s">
        <v>2585</v>
      </c>
    </row>
    <row r="102" spans="2:10">
      <c r="B102" t="s">
        <v>45</v>
      </c>
    </row>
    <row r="103" spans="2:10">
      <c r="B103" t="s">
        <v>46</v>
      </c>
      <c r="C103" t="s">
        <v>1888</v>
      </c>
      <c r="D103" t="s">
        <v>220</v>
      </c>
      <c r="E103" t="s">
        <v>47</v>
      </c>
      <c r="F103" t="s">
        <v>48</v>
      </c>
      <c r="G103" t="s">
        <v>49</v>
      </c>
      <c r="H103" t="s">
        <v>50</v>
      </c>
      <c r="I103" t="s">
        <v>51</v>
      </c>
      <c r="J103" t="s">
        <v>52</v>
      </c>
    </row>
    <row r="104" spans="2:10">
      <c r="B104" t="s">
        <v>149</v>
      </c>
      <c r="C104">
        <v>319</v>
      </c>
      <c r="D104">
        <v>311</v>
      </c>
      <c r="E104">
        <v>287</v>
      </c>
      <c r="F104">
        <v>234</v>
      </c>
      <c r="G104">
        <v>154</v>
      </c>
      <c r="H104">
        <v>176</v>
      </c>
      <c r="I104">
        <v>555</v>
      </c>
      <c r="J104">
        <v>522</v>
      </c>
    </row>
    <row r="105" spans="2:10">
      <c r="B105" t="s">
        <v>150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187</v>
      </c>
      <c r="C106" s="40">
        <v>1392</v>
      </c>
      <c r="D106">
        <v>777</v>
      </c>
      <c r="E106" s="40">
        <v>1075</v>
      </c>
      <c r="F106" s="40">
        <v>1123</v>
      </c>
      <c r="G106">
        <v>916</v>
      </c>
      <c r="H106">
        <v>927</v>
      </c>
      <c r="I106">
        <v>902</v>
      </c>
      <c r="J106">
        <v>915</v>
      </c>
    </row>
    <row r="107" spans="2:10">
      <c r="B107" t="s">
        <v>151</v>
      </c>
      <c r="C107">
        <v>128</v>
      </c>
      <c r="D107">
        <v>140</v>
      </c>
      <c r="E107">
        <v>165</v>
      </c>
      <c r="F107">
        <v>218</v>
      </c>
      <c r="G107">
        <v>160</v>
      </c>
      <c r="H107">
        <v>155</v>
      </c>
      <c r="I107">
        <v>121</v>
      </c>
      <c r="J107">
        <v>238</v>
      </c>
    </row>
    <row r="108" spans="2:10">
      <c r="B108" t="s">
        <v>188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13</v>
      </c>
      <c r="C109">
        <v>475</v>
      </c>
      <c r="D109">
        <v>381</v>
      </c>
      <c r="E109">
        <v>462</v>
      </c>
      <c r="F109">
        <v>454</v>
      </c>
      <c r="G109">
        <v>370</v>
      </c>
      <c r="H109">
        <v>365</v>
      </c>
      <c r="I109">
        <v>430</v>
      </c>
      <c r="J109">
        <v>482</v>
      </c>
    </row>
    <row r="110" spans="2:10">
      <c r="B110" t="s">
        <v>189</v>
      </c>
      <c r="C110" t="s">
        <v>96</v>
      </c>
      <c r="D110" t="s">
        <v>96</v>
      </c>
      <c r="E110" t="s">
        <v>96</v>
      </c>
      <c r="F110" t="s">
        <v>96</v>
      </c>
      <c r="G110" t="s">
        <v>96</v>
      </c>
      <c r="H110" t="s">
        <v>96</v>
      </c>
      <c r="I110" t="s">
        <v>96</v>
      </c>
      <c r="J110" t="s">
        <v>96</v>
      </c>
    </row>
    <row r="111" spans="2:10">
      <c r="B111" t="s">
        <v>152</v>
      </c>
      <c r="C111">
        <v>89</v>
      </c>
      <c r="D111">
        <v>96</v>
      </c>
      <c r="E111">
        <v>68</v>
      </c>
      <c r="F111">
        <v>80</v>
      </c>
      <c r="G111">
        <v>70</v>
      </c>
      <c r="H111">
        <v>55</v>
      </c>
      <c r="I111">
        <v>43</v>
      </c>
      <c r="J111">
        <v>34</v>
      </c>
    </row>
    <row r="112" spans="2:10">
      <c r="B112" t="s">
        <v>153</v>
      </c>
      <c r="C112">
        <v>40</v>
      </c>
      <c r="D112">
        <v>32</v>
      </c>
      <c r="E112">
        <v>31</v>
      </c>
      <c r="F112">
        <v>32</v>
      </c>
      <c r="G112">
        <v>44</v>
      </c>
      <c r="H112">
        <v>43</v>
      </c>
      <c r="I112">
        <v>34</v>
      </c>
      <c r="J112">
        <v>37</v>
      </c>
    </row>
    <row r="113" spans="2:10">
      <c r="B113" t="s">
        <v>154</v>
      </c>
      <c r="C113" s="40">
        <v>2443</v>
      </c>
      <c r="D113" s="40">
        <v>1736</v>
      </c>
      <c r="E113" s="40">
        <v>2088</v>
      </c>
      <c r="F113" s="40">
        <v>2142</v>
      </c>
      <c r="G113" s="40">
        <v>1713</v>
      </c>
      <c r="H113" s="40">
        <v>1721</v>
      </c>
      <c r="I113" s="40">
        <v>2085</v>
      </c>
      <c r="J113" s="40">
        <v>2230</v>
      </c>
    </row>
    <row r="114" spans="2:10">
      <c r="B114" t="s">
        <v>155</v>
      </c>
      <c r="C114">
        <v>187</v>
      </c>
      <c r="D114">
        <v>167</v>
      </c>
      <c r="E114">
        <v>169</v>
      </c>
      <c r="F114">
        <v>178</v>
      </c>
      <c r="G114">
        <v>129</v>
      </c>
      <c r="H114">
        <v>123</v>
      </c>
      <c r="I114">
        <v>125</v>
      </c>
      <c r="J114">
        <v>132</v>
      </c>
    </row>
    <row r="115" spans="2:10">
      <c r="B115" t="s">
        <v>156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157</v>
      </c>
      <c r="C116">
        <v>544</v>
      </c>
      <c r="D116">
        <v>523</v>
      </c>
      <c r="E116">
        <v>524</v>
      </c>
      <c r="F116">
        <v>346</v>
      </c>
      <c r="G116">
        <v>336</v>
      </c>
      <c r="H116">
        <v>327</v>
      </c>
      <c r="I116">
        <v>327</v>
      </c>
      <c r="J116">
        <v>329</v>
      </c>
    </row>
    <row r="117" spans="2:10">
      <c r="B117" t="s">
        <v>158</v>
      </c>
      <c r="C117">
        <v>488</v>
      </c>
      <c r="D117">
        <v>459</v>
      </c>
      <c r="E117">
        <v>437</v>
      </c>
      <c r="F117">
        <v>411</v>
      </c>
      <c r="G117">
        <v>393</v>
      </c>
      <c r="H117">
        <v>387</v>
      </c>
      <c r="I117">
        <v>388</v>
      </c>
      <c r="J117">
        <v>383</v>
      </c>
    </row>
    <row r="118" spans="2:10">
      <c r="B118" t="s">
        <v>159</v>
      </c>
      <c r="C118">
        <v>433</v>
      </c>
      <c r="D118">
        <v>526</v>
      </c>
      <c r="E118">
        <v>553</v>
      </c>
      <c r="F118">
        <v>729</v>
      </c>
      <c r="G118">
        <v>687</v>
      </c>
      <c r="H118">
        <v>644</v>
      </c>
      <c r="I118">
        <v>634</v>
      </c>
      <c r="J118">
        <v>619</v>
      </c>
    </row>
    <row r="119" spans="2:10">
      <c r="B119" t="s">
        <v>160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161</v>
      </c>
      <c r="C120">
        <v>-654</v>
      </c>
      <c r="D120">
        <v>-718</v>
      </c>
      <c r="E120">
        <v>-709</v>
      </c>
      <c r="F120">
        <v>-682</v>
      </c>
      <c r="G120">
        <v>-634</v>
      </c>
      <c r="H120">
        <v>-595</v>
      </c>
      <c r="I120">
        <v>-575</v>
      </c>
      <c r="J120">
        <v>-548</v>
      </c>
    </row>
    <row r="121" spans="2:10">
      <c r="B121" t="s">
        <v>162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163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164</v>
      </c>
      <c r="C123">
        <v>810</v>
      </c>
      <c r="D123">
        <v>791</v>
      </c>
      <c r="E123">
        <v>805</v>
      </c>
      <c r="F123">
        <v>804</v>
      </c>
      <c r="G123">
        <v>782</v>
      </c>
      <c r="H123">
        <v>762</v>
      </c>
      <c r="I123">
        <v>774</v>
      </c>
      <c r="J123">
        <v>783</v>
      </c>
    </row>
    <row r="124" spans="2:10">
      <c r="B124" t="s">
        <v>165</v>
      </c>
      <c r="C124">
        <v>3</v>
      </c>
      <c r="D124">
        <v>4</v>
      </c>
      <c r="E124">
        <v>3</v>
      </c>
      <c r="F124">
        <v>3</v>
      </c>
      <c r="G124">
        <v>2</v>
      </c>
      <c r="H124">
        <v>3</v>
      </c>
      <c r="I124">
        <v>3</v>
      </c>
      <c r="J124">
        <v>3</v>
      </c>
    </row>
    <row r="125" spans="2:10">
      <c r="B125" t="s">
        <v>166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2:10">
      <c r="B126" t="s">
        <v>167</v>
      </c>
      <c r="C126">
        <v>197</v>
      </c>
      <c r="D126">
        <v>193</v>
      </c>
      <c r="E126">
        <v>203</v>
      </c>
      <c r="F126">
        <v>217</v>
      </c>
      <c r="G126">
        <v>222</v>
      </c>
      <c r="H126">
        <v>196</v>
      </c>
      <c r="I126">
        <v>198</v>
      </c>
      <c r="J126">
        <v>189</v>
      </c>
    </row>
    <row r="127" spans="2:10">
      <c r="B127" t="s">
        <v>168</v>
      </c>
      <c r="C127">
        <v>200</v>
      </c>
      <c r="D127">
        <v>197</v>
      </c>
      <c r="E127">
        <v>206</v>
      </c>
      <c r="F127">
        <v>220</v>
      </c>
      <c r="G127">
        <v>224</v>
      </c>
      <c r="H127">
        <v>199</v>
      </c>
      <c r="I127">
        <v>201</v>
      </c>
      <c r="J127">
        <v>191</v>
      </c>
    </row>
    <row r="128" spans="2:10">
      <c r="B128" t="s">
        <v>16</v>
      </c>
      <c r="C128" s="40">
        <v>3641</v>
      </c>
      <c r="D128" s="40">
        <v>2892</v>
      </c>
      <c r="E128" s="40">
        <v>3267</v>
      </c>
      <c r="F128" s="40">
        <v>3344</v>
      </c>
      <c r="G128" s="40">
        <v>2849</v>
      </c>
      <c r="H128" s="40">
        <v>2806</v>
      </c>
      <c r="I128" s="40">
        <v>3184</v>
      </c>
      <c r="J128" s="40">
        <v>3336</v>
      </c>
    </row>
    <row r="129" spans="2:10">
      <c r="B129" t="s">
        <v>190</v>
      </c>
      <c r="C129">
        <v>504</v>
      </c>
      <c r="D129">
        <v>450</v>
      </c>
      <c r="E129">
        <v>545</v>
      </c>
      <c r="F129">
        <v>358</v>
      </c>
      <c r="G129">
        <v>354</v>
      </c>
      <c r="H129">
        <v>463</v>
      </c>
      <c r="I129">
        <v>797</v>
      </c>
      <c r="J129">
        <v>793</v>
      </c>
    </row>
    <row r="130" spans="2:10">
      <c r="B130" t="s">
        <v>191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14</v>
      </c>
      <c r="C131" s="40">
        <v>1347</v>
      </c>
      <c r="D131">
        <v>866</v>
      </c>
      <c r="E131" s="40">
        <v>1094</v>
      </c>
      <c r="F131" s="40">
        <v>1281</v>
      </c>
      <c r="G131">
        <v>909</v>
      </c>
      <c r="H131">
        <v>853</v>
      </c>
      <c r="I131">
        <v>874</v>
      </c>
      <c r="J131">
        <v>988</v>
      </c>
    </row>
    <row r="132" spans="2:10">
      <c r="B132" t="s">
        <v>169</v>
      </c>
      <c r="C132">
        <v>169</v>
      </c>
      <c r="D132">
        <v>130</v>
      </c>
      <c r="E132">
        <v>114</v>
      </c>
      <c r="F132">
        <v>170</v>
      </c>
      <c r="G132">
        <v>145</v>
      </c>
      <c r="H132">
        <v>114</v>
      </c>
      <c r="I132">
        <v>97</v>
      </c>
      <c r="J132">
        <v>153</v>
      </c>
    </row>
    <row r="133" spans="2:10">
      <c r="B133" t="s">
        <v>170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171</v>
      </c>
      <c r="C134">
        <v>108</v>
      </c>
      <c r="D134">
        <v>114</v>
      </c>
      <c r="E134">
        <v>130</v>
      </c>
      <c r="F134">
        <v>93</v>
      </c>
      <c r="G134">
        <v>60</v>
      </c>
      <c r="H134">
        <v>97</v>
      </c>
      <c r="I134">
        <v>91</v>
      </c>
      <c r="J134">
        <v>86</v>
      </c>
    </row>
    <row r="135" spans="2:10">
      <c r="B135" t="s">
        <v>172</v>
      </c>
      <c r="C135">
        <v>13</v>
      </c>
      <c r="D135">
        <v>6</v>
      </c>
      <c r="E135">
        <v>30</v>
      </c>
      <c r="F135">
        <v>24</v>
      </c>
      <c r="G135">
        <v>16</v>
      </c>
      <c r="H135">
        <v>15</v>
      </c>
      <c r="I135">
        <v>17</v>
      </c>
      <c r="J135">
        <v>9</v>
      </c>
    </row>
    <row r="136" spans="2:10">
      <c r="B136" t="s">
        <v>173</v>
      </c>
      <c r="C136">
        <v>50</v>
      </c>
      <c r="D136">
        <v>50</v>
      </c>
      <c r="E136">
        <v>50</v>
      </c>
      <c r="F136">
        <v>50</v>
      </c>
      <c r="G136">
        <v>50</v>
      </c>
      <c r="H136">
        <v>52</v>
      </c>
      <c r="I136">
        <v>62</v>
      </c>
      <c r="J136">
        <v>62</v>
      </c>
    </row>
    <row r="137" spans="2:10">
      <c r="B137" t="s">
        <v>174</v>
      </c>
      <c r="C137">
        <v>7</v>
      </c>
      <c r="D137">
        <v>15</v>
      </c>
      <c r="E137">
        <v>2</v>
      </c>
      <c r="F137">
        <v>15</v>
      </c>
      <c r="G137">
        <v>4</v>
      </c>
      <c r="H137">
        <v>2</v>
      </c>
      <c r="I137">
        <v>3</v>
      </c>
      <c r="J137">
        <v>2</v>
      </c>
    </row>
    <row r="138" spans="2:10">
      <c r="B138" t="s">
        <v>175</v>
      </c>
      <c r="C138" s="40">
        <v>2198</v>
      </c>
      <c r="D138" s="40">
        <v>1631</v>
      </c>
      <c r="E138" s="40">
        <v>1965</v>
      </c>
      <c r="F138" s="40">
        <v>1991</v>
      </c>
      <c r="G138" s="40">
        <v>1538</v>
      </c>
      <c r="H138" s="40">
        <v>1597</v>
      </c>
      <c r="I138" s="40">
        <v>1941</v>
      </c>
      <c r="J138" s="40">
        <v>2094</v>
      </c>
    </row>
    <row r="139" spans="2:10">
      <c r="B139" t="s">
        <v>176</v>
      </c>
      <c r="C139">
        <v>50</v>
      </c>
      <c r="D139">
        <v>63</v>
      </c>
      <c r="E139">
        <v>75</v>
      </c>
      <c r="F139">
        <v>88</v>
      </c>
      <c r="G139">
        <v>100</v>
      </c>
      <c r="H139">
        <v>0</v>
      </c>
      <c r="I139">
        <v>0</v>
      </c>
      <c r="J139">
        <v>0</v>
      </c>
    </row>
    <row r="140" spans="2:10">
      <c r="B140" t="s">
        <v>177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178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179</v>
      </c>
      <c r="C142">
        <v>8</v>
      </c>
      <c r="D142">
        <v>0</v>
      </c>
      <c r="E142">
        <v>3</v>
      </c>
      <c r="F142">
        <v>5</v>
      </c>
      <c r="G142">
        <v>1</v>
      </c>
      <c r="H142">
        <v>0</v>
      </c>
      <c r="I142">
        <v>3</v>
      </c>
      <c r="J142">
        <v>2</v>
      </c>
    </row>
    <row r="143" spans="2:10">
      <c r="B143" t="s">
        <v>180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182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183</v>
      </c>
      <c r="C146">
        <v>8</v>
      </c>
      <c r="D146">
        <v>0</v>
      </c>
      <c r="E146">
        <v>3</v>
      </c>
      <c r="F146">
        <v>5</v>
      </c>
      <c r="G146">
        <v>1</v>
      </c>
      <c r="H146">
        <v>0</v>
      </c>
      <c r="I146">
        <v>3</v>
      </c>
      <c r="J146">
        <v>2</v>
      </c>
    </row>
    <row r="147" spans="2:10">
      <c r="B147" t="s">
        <v>15</v>
      </c>
      <c r="C147" s="40">
        <v>2256</v>
      </c>
      <c r="D147" s="40">
        <v>1693</v>
      </c>
      <c r="E147" s="40">
        <v>2043</v>
      </c>
      <c r="F147" s="40">
        <v>2083</v>
      </c>
      <c r="G147" s="40">
        <v>1639</v>
      </c>
      <c r="H147" s="40">
        <v>1597</v>
      </c>
      <c r="I147" s="40">
        <v>1944</v>
      </c>
      <c r="J147" s="40">
        <v>2095</v>
      </c>
    </row>
    <row r="148" spans="2:10">
      <c r="B148" t="s">
        <v>184</v>
      </c>
      <c r="C148" s="40">
        <v>1385</v>
      </c>
      <c r="D148" s="40">
        <v>1198</v>
      </c>
      <c r="E148" s="40">
        <v>1224</v>
      </c>
      <c r="F148" s="40">
        <v>1261</v>
      </c>
      <c r="G148" s="40">
        <v>1210</v>
      </c>
      <c r="H148" s="40">
        <v>1208</v>
      </c>
      <c r="I148" s="40">
        <v>1240</v>
      </c>
      <c r="J148" s="40">
        <v>1241</v>
      </c>
    </row>
    <row r="149" spans="2:10">
      <c r="B149" t="s">
        <v>192</v>
      </c>
      <c r="C149">
        <v>711</v>
      </c>
      <c r="D149">
        <v>711</v>
      </c>
      <c r="E149">
        <v>711</v>
      </c>
      <c r="F149">
        <v>711</v>
      </c>
      <c r="G149">
        <v>711</v>
      </c>
      <c r="H149">
        <v>707</v>
      </c>
      <c r="I149">
        <v>707</v>
      </c>
      <c r="J149">
        <v>707</v>
      </c>
    </row>
    <row r="150" spans="2:10">
      <c r="B150" t="s">
        <v>193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194</v>
      </c>
      <c r="C151">
        <v>213</v>
      </c>
      <c r="D151">
        <v>211</v>
      </c>
      <c r="E151">
        <v>210</v>
      </c>
      <c r="F151">
        <v>208</v>
      </c>
      <c r="G151">
        <v>207</v>
      </c>
      <c r="H151">
        <v>206</v>
      </c>
      <c r="I151">
        <v>200</v>
      </c>
      <c r="J151">
        <v>200</v>
      </c>
    </row>
    <row r="152" spans="2:10">
      <c r="B152" t="s">
        <v>195</v>
      </c>
      <c r="C152">
        <v>36</v>
      </c>
      <c r="D152">
        <v>36</v>
      </c>
      <c r="E152">
        <v>35</v>
      </c>
      <c r="F152">
        <v>35</v>
      </c>
      <c r="G152">
        <v>35</v>
      </c>
      <c r="H152">
        <v>35</v>
      </c>
      <c r="I152">
        <v>31</v>
      </c>
      <c r="J152">
        <v>31</v>
      </c>
    </row>
    <row r="153" spans="2:10">
      <c r="B153" t="s">
        <v>196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197</v>
      </c>
      <c r="C154">
        <v>246</v>
      </c>
      <c r="D154">
        <v>105</v>
      </c>
      <c r="E154">
        <v>123</v>
      </c>
      <c r="F154">
        <v>152</v>
      </c>
      <c r="G154">
        <v>130</v>
      </c>
      <c r="H154">
        <v>152</v>
      </c>
      <c r="I154">
        <v>182</v>
      </c>
      <c r="J154">
        <v>179</v>
      </c>
    </row>
    <row r="155" spans="2:10">
      <c r="B155" t="s">
        <v>198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185</v>
      </c>
      <c r="C156">
        <v>24</v>
      </c>
      <c r="D156">
        <v>18</v>
      </c>
      <c r="E156">
        <v>16</v>
      </c>
      <c r="F156">
        <v>16</v>
      </c>
      <c r="G156">
        <v>15</v>
      </c>
      <c r="H156">
        <v>16</v>
      </c>
      <c r="I156">
        <v>17</v>
      </c>
      <c r="J156">
        <v>18</v>
      </c>
    </row>
    <row r="157" spans="2:10">
      <c r="B157" t="s">
        <v>186</v>
      </c>
      <c r="C157" s="40">
        <v>3641</v>
      </c>
      <c r="D157" s="40">
        <v>2892</v>
      </c>
      <c r="E157" s="40">
        <v>3267</v>
      </c>
      <c r="F157" s="40">
        <v>3344</v>
      </c>
      <c r="G157" s="40">
        <v>2849</v>
      </c>
      <c r="H157" s="40">
        <v>2806</v>
      </c>
      <c r="I157" s="40">
        <v>3184</v>
      </c>
      <c r="J157" s="40">
        <v>3336</v>
      </c>
    </row>
    <row r="158" spans="2:10">
      <c r="B158" t="s">
        <v>108</v>
      </c>
    </row>
    <row r="159" spans="2:10">
      <c r="B159" t="s">
        <v>109</v>
      </c>
    </row>
    <row r="201" spans="2:10">
      <c r="B201" t="s">
        <v>2584</v>
      </c>
    </row>
    <row r="202" spans="2:10">
      <c r="B202" t="s">
        <v>45</v>
      </c>
    </row>
    <row r="203" spans="2:10">
      <c r="B203" t="s">
        <v>46</v>
      </c>
      <c r="C203" t="s">
        <v>1888</v>
      </c>
      <c r="D203" t="s">
        <v>220</v>
      </c>
      <c r="E203" t="s">
        <v>47</v>
      </c>
      <c r="F203" t="s">
        <v>48</v>
      </c>
      <c r="G203" t="s">
        <v>49</v>
      </c>
      <c r="H203" t="s">
        <v>50</v>
      </c>
      <c r="I203" t="s">
        <v>51</v>
      </c>
      <c r="J203" t="s">
        <v>52</v>
      </c>
    </row>
    <row r="204" spans="2:10">
      <c r="B204" t="s">
        <v>110</v>
      </c>
      <c r="C204">
        <v>147</v>
      </c>
      <c r="D204">
        <v>1</v>
      </c>
      <c r="E204">
        <v>-29</v>
      </c>
      <c r="F204">
        <v>33</v>
      </c>
      <c r="G204">
        <v>-23</v>
      </c>
      <c r="H204">
        <v>3</v>
      </c>
      <c r="I204">
        <v>1</v>
      </c>
      <c r="J204">
        <v>29</v>
      </c>
    </row>
    <row r="205" spans="2:10">
      <c r="B205" t="s">
        <v>111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112</v>
      </c>
      <c r="C206">
        <v>36</v>
      </c>
      <c r="D206">
        <v>34</v>
      </c>
      <c r="E206">
        <v>31</v>
      </c>
      <c r="F206">
        <v>36</v>
      </c>
      <c r="G206">
        <v>27</v>
      </c>
      <c r="H206">
        <v>29</v>
      </c>
      <c r="I206">
        <v>30</v>
      </c>
      <c r="J206">
        <v>28</v>
      </c>
    </row>
    <row r="207" spans="2:10">
      <c r="B207" t="s">
        <v>113</v>
      </c>
      <c r="C207">
        <v>4</v>
      </c>
      <c r="D207">
        <v>2</v>
      </c>
      <c r="E207">
        <v>7</v>
      </c>
      <c r="F207">
        <v>15</v>
      </c>
      <c r="G207">
        <v>4</v>
      </c>
      <c r="H207">
        <v>5</v>
      </c>
      <c r="I207">
        <v>4</v>
      </c>
      <c r="J207">
        <v>4</v>
      </c>
    </row>
    <row r="208" spans="2:10">
      <c r="B208" t="s">
        <v>114</v>
      </c>
      <c r="C208">
        <v>-6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115</v>
      </c>
      <c r="C209">
        <v>-7</v>
      </c>
      <c r="D209">
        <v>-1</v>
      </c>
      <c r="E209">
        <v>7</v>
      </c>
      <c r="F209">
        <v>-3</v>
      </c>
      <c r="G209">
        <v>-4</v>
      </c>
      <c r="H209">
        <v>-1</v>
      </c>
      <c r="I209">
        <v>9</v>
      </c>
      <c r="J209">
        <v>-3</v>
      </c>
    </row>
    <row r="210" spans="2:10">
      <c r="B210" t="s">
        <v>116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117</v>
      </c>
      <c r="C211" t="s">
        <v>96</v>
      </c>
      <c r="D211" t="s">
        <v>96</v>
      </c>
      <c r="E211" t="s">
        <v>96</v>
      </c>
      <c r="F211" t="s">
        <v>96</v>
      </c>
      <c r="G211" t="s">
        <v>96</v>
      </c>
      <c r="H211" t="s">
        <v>96</v>
      </c>
      <c r="I211" t="s">
        <v>96</v>
      </c>
      <c r="J211" t="s">
        <v>96</v>
      </c>
    </row>
    <row r="212" spans="2:10">
      <c r="B212" t="s">
        <v>118</v>
      </c>
      <c r="C212">
        <v>0</v>
      </c>
      <c r="D212">
        <v>0</v>
      </c>
      <c r="E212">
        <v>0</v>
      </c>
      <c r="F212">
        <v>0</v>
      </c>
      <c r="G212">
        <v>9</v>
      </c>
      <c r="H212">
        <v>1</v>
      </c>
      <c r="I212">
        <v>0</v>
      </c>
      <c r="J212">
        <v>1</v>
      </c>
    </row>
    <row r="213" spans="2:10">
      <c r="B213" t="s">
        <v>119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121</v>
      </c>
      <c r="C215">
        <v>-615</v>
      </c>
      <c r="D215">
        <v>299</v>
      </c>
      <c r="E215">
        <v>48</v>
      </c>
      <c r="F215">
        <v>-208</v>
      </c>
      <c r="G215">
        <v>11</v>
      </c>
      <c r="H215">
        <v>-25</v>
      </c>
      <c r="I215">
        <v>13</v>
      </c>
      <c r="J215">
        <v>24</v>
      </c>
    </row>
    <row r="216" spans="2:10">
      <c r="B216" t="s">
        <v>122</v>
      </c>
      <c r="C216">
        <v>-94</v>
      </c>
      <c r="D216">
        <v>81</v>
      </c>
      <c r="E216">
        <v>-8</v>
      </c>
      <c r="F216">
        <v>-84</v>
      </c>
      <c r="G216">
        <v>-5</v>
      </c>
      <c r="H216">
        <v>65</v>
      </c>
      <c r="I216">
        <v>52</v>
      </c>
      <c r="J216">
        <v>19</v>
      </c>
    </row>
    <row r="217" spans="2:10">
      <c r="B217" t="s">
        <v>123</v>
      </c>
      <c r="C217">
        <v>481</v>
      </c>
      <c r="D217">
        <v>-228</v>
      </c>
      <c r="E217">
        <v>-188</v>
      </c>
      <c r="F217">
        <v>372</v>
      </c>
      <c r="G217">
        <v>56</v>
      </c>
      <c r="H217">
        <v>-21</v>
      </c>
      <c r="I217">
        <v>-115</v>
      </c>
      <c r="J217">
        <v>-131</v>
      </c>
    </row>
    <row r="218" spans="2:10">
      <c r="B218" t="s">
        <v>124</v>
      </c>
      <c r="C218">
        <v>58</v>
      </c>
      <c r="D218">
        <v>-44</v>
      </c>
      <c r="E218">
        <v>38</v>
      </c>
      <c r="F218">
        <v>25</v>
      </c>
      <c r="G218">
        <v>14</v>
      </c>
      <c r="H218">
        <v>-75</v>
      </c>
      <c r="I218">
        <v>74</v>
      </c>
      <c r="J218">
        <v>138</v>
      </c>
    </row>
    <row r="219" spans="2:10">
      <c r="B219" t="s">
        <v>17</v>
      </c>
      <c r="C219">
        <v>8</v>
      </c>
      <c r="D219">
        <v>147</v>
      </c>
      <c r="E219">
        <v>-92</v>
      </c>
      <c r="F219">
        <v>187</v>
      </c>
      <c r="G219">
        <v>91</v>
      </c>
      <c r="H219">
        <v>-18</v>
      </c>
      <c r="I219">
        <v>69</v>
      </c>
      <c r="J219">
        <v>114</v>
      </c>
    </row>
    <row r="220" spans="2:10">
      <c r="B220" t="s">
        <v>125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126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19</v>
      </c>
      <c r="C222">
        <v>0</v>
      </c>
      <c r="D222">
        <v>0</v>
      </c>
      <c r="E222">
        <v>0</v>
      </c>
      <c r="F222">
        <v>-52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127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</row>
    <row r="224" spans="2:10">
      <c r="B224" t="s">
        <v>18</v>
      </c>
      <c r="C224">
        <v>-27</v>
      </c>
      <c r="D224">
        <v>-23</v>
      </c>
      <c r="E224">
        <v>-20</v>
      </c>
      <c r="F224">
        <v>-33</v>
      </c>
      <c r="G224">
        <v>-34</v>
      </c>
      <c r="H224">
        <v>-32</v>
      </c>
      <c r="I224">
        <v>-20</v>
      </c>
      <c r="J224">
        <v>-25</v>
      </c>
    </row>
    <row r="225" spans="2:10">
      <c r="B225" t="s">
        <v>128</v>
      </c>
      <c r="C225">
        <v>-8</v>
      </c>
      <c r="D225">
        <v>8</v>
      </c>
      <c r="E225">
        <v>-13</v>
      </c>
      <c r="F225">
        <v>-4</v>
      </c>
      <c r="G225">
        <v>-27</v>
      </c>
      <c r="H225">
        <v>-11</v>
      </c>
      <c r="I225">
        <v>-19</v>
      </c>
      <c r="J225">
        <v>-31</v>
      </c>
    </row>
    <row r="226" spans="2:10">
      <c r="B226" t="s">
        <v>129</v>
      </c>
      <c r="C226">
        <v>-35</v>
      </c>
      <c r="D226">
        <v>-14</v>
      </c>
      <c r="E226">
        <v>-34</v>
      </c>
      <c r="F226">
        <v>-89</v>
      </c>
      <c r="G226">
        <v>-61</v>
      </c>
      <c r="H226">
        <v>-42</v>
      </c>
      <c r="I226">
        <v>-39</v>
      </c>
      <c r="J226">
        <v>-56</v>
      </c>
    </row>
    <row r="227" spans="2:10">
      <c r="B227" t="s">
        <v>130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86</v>
      </c>
    </row>
    <row r="228" spans="2:10">
      <c r="B228" t="s">
        <v>131</v>
      </c>
      <c r="C228">
        <v>-14</v>
      </c>
      <c r="D228">
        <v>0</v>
      </c>
      <c r="E228">
        <v>0</v>
      </c>
      <c r="F228">
        <v>-1</v>
      </c>
      <c r="G228">
        <v>-28</v>
      </c>
      <c r="H228">
        <v>0</v>
      </c>
      <c r="I228">
        <v>0</v>
      </c>
      <c r="J228">
        <v>-3</v>
      </c>
    </row>
    <row r="229" spans="2:10">
      <c r="B229" t="s">
        <v>132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133</v>
      </c>
      <c r="C230">
        <v>54</v>
      </c>
      <c r="D230">
        <v>-95</v>
      </c>
      <c r="E230">
        <v>187</v>
      </c>
      <c r="F230">
        <v>4</v>
      </c>
      <c r="G230">
        <v>-110</v>
      </c>
      <c r="H230">
        <v>-334</v>
      </c>
      <c r="I230">
        <v>4</v>
      </c>
      <c r="J230">
        <v>180</v>
      </c>
    </row>
    <row r="231" spans="2:10">
      <c r="B231" t="s">
        <v>134</v>
      </c>
      <c r="C231">
        <v>-13</v>
      </c>
      <c r="D231">
        <v>-13</v>
      </c>
      <c r="E231">
        <v>-13</v>
      </c>
      <c r="F231">
        <v>-13</v>
      </c>
      <c r="G231">
        <v>150</v>
      </c>
      <c r="H231">
        <v>0</v>
      </c>
      <c r="I231">
        <v>0</v>
      </c>
      <c r="J231">
        <v>0</v>
      </c>
    </row>
    <row r="232" spans="2:10">
      <c r="B232" t="s">
        <v>135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136</v>
      </c>
      <c r="C233">
        <v>0</v>
      </c>
      <c r="D233">
        <v>0</v>
      </c>
      <c r="E233">
        <v>0</v>
      </c>
      <c r="F233">
        <v>0</v>
      </c>
      <c r="G233">
        <v>-52</v>
      </c>
      <c r="H233">
        <v>0</v>
      </c>
      <c r="I233">
        <v>0</v>
      </c>
      <c r="J233">
        <v>0</v>
      </c>
    </row>
    <row r="234" spans="2:10">
      <c r="B234" t="s">
        <v>137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138</v>
      </c>
      <c r="C235">
        <v>-11</v>
      </c>
      <c r="D235">
        <v>1</v>
      </c>
      <c r="E235">
        <v>2</v>
      </c>
      <c r="F235">
        <v>1</v>
      </c>
      <c r="G235">
        <v>-8</v>
      </c>
      <c r="H235">
        <v>4</v>
      </c>
      <c r="I235">
        <v>1</v>
      </c>
      <c r="J235">
        <v>4</v>
      </c>
    </row>
    <row r="236" spans="2:10">
      <c r="B236" t="s">
        <v>139</v>
      </c>
      <c r="C236">
        <v>16</v>
      </c>
      <c r="D236">
        <v>-106</v>
      </c>
      <c r="E236">
        <v>177</v>
      </c>
      <c r="F236">
        <v>-8</v>
      </c>
      <c r="G236">
        <v>-48</v>
      </c>
      <c r="H236">
        <v>-330</v>
      </c>
      <c r="I236">
        <v>5</v>
      </c>
      <c r="J236">
        <v>267</v>
      </c>
    </row>
    <row r="237" spans="2:10">
      <c r="B237" t="s">
        <v>140</v>
      </c>
      <c r="C237">
        <v>19</v>
      </c>
      <c r="D237">
        <v>-2</v>
      </c>
      <c r="E237">
        <v>1</v>
      </c>
      <c r="F237">
        <v>-10</v>
      </c>
      <c r="G237">
        <v>-4</v>
      </c>
      <c r="H237">
        <v>12</v>
      </c>
      <c r="I237">
        <v>-2</v>
      </c>
      <c r="J237">
        <v>-2</v>
      </c>
    </row>
    <row r="238" spans="2:10">
      <c r="B238" t="s">
        <v>141</v>
      </c>
      <c r="C238">
        <v>8</v>
      </c>
      <c r="D238">
        <v>24</v>
      </c>
      <c r="E238">
        <v>52</v>
      </c>
      <c r="F238">
        <v>81</v>
      </c>
      <c r="G238">
        <v>-23</v>
      </c>
      <c r="H238">
        <v>-379</v>
      </c>
      <c r="I238">
        <v>33</v>
      </c>
      <c r="J238">
        <v>323</v>
      </c>
    </row>
    <row r="239" spans="2:10">
      <c r="B239" t="s">
        <v>142</v>
      </c>
      <c r="C239">
        <v>311</v>
      </c>
      <c r="D239">
        <v>287</v>
      </c>
      <c r="E239">
        <v>234</v>
      </c>
      <c r="F239">
        <v>154</v>
      </c>
      <c r="G239">
        <v>176</v>
      </c>
      <c r="H239">
        <v>555</v>
      </c>
      <c r="I239">
        <v>522</v>
      </c>
      <c r="J239">
        <v>199</v>
      </c>
    </row>
    <row r="240" spans="2:10">
      <c r="B240" t="s">
        <v>143</v>
      </c>
      <c r="C240">
        <v>319</v>
      </c>
      <c r="D240">
        <v>311</v>
      </c>
      <c r="E240">
        <v>287</v>
      </c>
      <c r="F240">
        <v>234</v>
      </c>
      <c r="G240">
        <v>154</v>
      </c>
      <c r="H240">
        <v>176</v>
      </c>
      <c r="I240">
        <v>555</v>
      </c>
      <c r="J240">
        <v>522</v>
      </c>
    </row>
    <row r="241" spans="2:10">
      <c r="B241" t="s">
        <v>144</v>
      </c>
      <c r="C241">
        <v>3</v>
      </c>
      <c r="D241">
        <v>4</v>
      </c>
      <c r="E241">
        <v>5</v>
      </c>
      <c r="F241">
        <v>7</v>
      </c>
      <c r="G241">
        <v>2</v>
      </c>
      <c r="H241">
        <v>5</v>
      </c>
      <c r="I241">
        <v>5</v>
      </c>
      <c r="J241">
        <v>8</v>
      </c>
    </row>
    <row r="242" spans="2:10">
      <c r="B242" t="s">
        <v>145</v>
      </c>
      <c r="C242" t="s">
        <v>96</v>
      </c>
      <c r="D242" t="s">
        <v>96</v>
      </c>
      <c r="E242" t="s">
        <v>96</v>
      </c>
      <c r="F242" t="s">
        <v>96</v>
      </c>
      <c r="G242" t="s">
        <v>96</v>
      </c>
      <c r="H242" t="s">
        <v>96</v>
      </c>
      <c r="I242" t="s">
        <v>96</v>
      </c>
      <c r="J242" t="s">
        <v>96</v>
      </c>
    </row>
    <row r="243" spans="2:10">
      <c r="B243" t="s">
        <v>146</v>
      </c>
    </row>
    <row r="244" spans="2:10">
      <c r="B244" t="s">
        <v>147</v>
      </c>
    </row>
    <row r="245" spans="2:10">
      <c r="B245" t="s">
        <v>108</v>
      </c>
    </row>
    <row r="246" spans="2:10">
      <c r="B246" t="s">
        <v>109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2586</v>
      </c>
    </row>
    <row r="3" spans="2:10">
      <c r="B3" t="s">
        <v>45</v>
      </c>
    </row>
    <row r="4" spans="2:10">
      <c r="B4" t="s">
        <v>46</v>
      </c>
      <c r="C4" t="s">
        <v>1888</v>
      </c>
      <c r="D4" t="s">
        <v>220</v>
      </c>
      <c r="E4" t="s">
        <v>47</v>
      </c>
      <c r="F4" t="s">
        <v>48</v>
      </c>
      <c r="G4" t="s">
        <v>49</v>
      </c>
      <c r="H4" t="s">
        <v>50</v>
      </c>
      <c r="I4" t="s">
        <v>51</v>
      </c>
      <c r="J4" t="s">
        <v>52</v>
      </c>
    </row>
    <row r="5" spans="2:10">
      <c r="B5" t="s">
        <v>8</v>
      </c>
      <c r="C5" s="40">
        <v>6838</v>
      </c>
      <c r="D5" s="40">
        <v>6222</v>
      </c>
      <c r="E5" s="40">
        <v>5887</v>
      </c>
      <c r="F5" s="40">
        <v>6077</v>
      </c>
      <c r="G5" s="40">
        <v>6131</v>
      </c>
      <c r="H5" s="40">
        <v>6240</v>
      </c>
      <c r="I5" s="40">
        <v>5598</v>
      </c>
      <c r="J5" s="40">
        <v>5769</v>
      </c>
    </row>
    <row r="6" spans="2:10">
      <c r="B6" t="s">
        <v>9</v>
      </c>
      <c r="C6" s="40">
        <v>5962</v>
      </c>
      <c r="D6" s="40">
        <v>5549</v>
      </c>
      <c r="E6" s="40">
        <v>5162</v>
      </c>
      <c r="F6" s="40">
        <v>5301</v>
      </c>
      <c r="G6" s="40">
        <v>5383</v>
      </c>
      <c r="H6" s="40">
        <v>5421</v>
      </c>
      <c r="I6" s="40">
        <v>5011</v>
      </c>
      <c r="J6" s="40">
        <v>5178</v>
      </c>
    </row>
    <row r="7" spans="2:10">
      <c r="B7" t="s">
        <v>53</v>
      </c>
      <c r="C7">
        <v>876</v>
      </c>
      <c r="D7">
        <v>672</v>
      </c>
      <c r="E7">
        <v>726</v>
      </c>
      <c r="F7">
        <v>775</v>
      </c>
      <c r="G7">
        <v>748</v>
      </c>
      <c r="H7">
        <v>819</v>
      </c>
      <c r="I7">
        <v>587</v>
      </c>
      <c r="J7">
        <v>590</v>
      </c>
    </row>
    <row r="8" spans="2:10">
      <c r="B8" t="s">
        <v>54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55</v>
      </c>
      <c r="C9">
        <v>876</v>
      </c>
      <c r="D9">
        <v>672</v>
      </c>
      <c r="E9">
        <v>726</v>
      </c>
      <c r="F9">
        <v>775</v>
      </c>
      <c r="G9">
        <v>748</v>
      </c>
      <c r="H9">
        <v>819</v>
      </c>
      <c r="I9">
        <v>587</v>
      </c>
      <c r="J9">
        <v>590</v>
      </c>
    </row>
    <row r="10" spans="2:10">
      <c r="B10" t="s">
        <v>56</v>
      </c>
      <c r="C10">
        <v>580</v>
      </c>
      <c r="D10">
        <v>535</v>
      </c>
      <c r="E10">
        <v>520</v>
      </c>
      <c r="F10">
        <v>659</v>
      </c>
      <c r="G10">
        <v>612</v>
      </c>
      <c r="H10">
        <v>587</v>
      </c>
      <c r="I10">
        <v>519</v>
      </c>
      <c r="J10">
        <v>527</v>
      </c>
    </row>
    <row r="11" spans="2:10">
      <c r="B11" t="s">
        <v>57</v>
      </c>
      <c r="C11">
        <v>154</v>
      </c>
      <c r="D11">
        <v>118</v>
      </c>
      <c r="E11">
        <v>125</v>
      </c>
      <c r="F11">
        <v>173</v>
      </c>
      <c r="G11">
        <v>168</v>
      </c>
      <c r="H11">
        <v>148</v>
      </c>
      <c r="I11">
        <v>139</v>
      </c>
      <c r="J11">
        <v>142</v>
      </c>
    </row>
    <row r="12" spans="2:10">
      <c r="B12" t="s">
        <v>58</v>
      </c>
      <c r="C12">
        <v>123</v>
      </c>
      <c r="D12">
        <v>117</v>
      </c>
      <c r="E12">
        <v>95</v>
      </c>
      <c r="F12">
        <v>106</v>
      </c>
      <c r="G12">
        <v>115</v>
      </c>
      <c r="H12">
        <v>115</v>
      </c>
      <c r="I12">
        <v>99</v>
      </c>
      <c r="J12">
        <v>93</v>
      </c>
    </row>
    <row r="13" spans="2:10">
      <c r="B13" t="s">
        <v>59</v>
      </c>
      <c r="C13">
        <v>302</v>
      </c>
      <c r="D13">
        <v>301</v>
      </c>
      <c r="E13">
        <v>299</v>
      </c>
      <c r="F13">
        <v>380</v>
      </c>
      <c r="G13">
        <v>329</v>
      </c>
      <c r="H13">
        <v>323</v>
      </c>
      <c r="I13">
        <v>281</v>
      </c>
      <c r="J13">
        <v>292</v>
      </c>
    </row>
    <row r="14" spans="2:10">
      <c r="B14" t="s">
        <v>60</v>
      </c>
      <c r="C14">
        <v>295</v>
      </c>
      <c r="D14">
        <v>137</v>
      </c>
      <c r="E14">
        <v>206</v>
      </c>
      <c r="F14">
        <v>116</v>
      </c>
      <c r="G14">
        <v>136</v>
      </c>
      <c r="H14">
        <v>232</v>
      </c>
      <c r="I14">
        <v>68</v>
      </c>
      <c r="J14">
        <v>63</v>
      </c>
    </row>
    <row r="15" spans="2:10">
      <c r="B15" t="s">
        <v>61</v>
      </c>
      <c r="C15">
        <v>5</v>
      </c>
      <c r="D15">
        <v>7</v>
      </c>
      <c r="E15">
        <v>6</v>
      </c>
      <c r="F15">
        <v>8</v>
      </c>
      <c r="G15">
        <v>7</v>
      </c>
      <c r="H15">
        <v>8</v>
      </c>
      <c r="I15">
        <v>8</v>
      </c>
      <c r="J15">
        <v>10</v>
      </c>
    </row>
    <row r="16" spans="2:10">
      <c r="B16" t="s">
        <v>62</v>
      </c>
      <c r="C16">
        <v>3</v>
      </c>
      <c r="D16">
        <v>4</v>
      </c>
      <c r="E16">
        <v>4</v>
      </c>
      <c r="F16">
        <v>14</v>
      </c>
      <c r="G16">
        <v>18</v>
      </c>
      <c r="H16">
        <v>5</v>
      </c>
      <c r="I16">
        <v>0</v>
      </c>
      <c r="J16">
        <v>-1</v>
      </c>
    </row>
    <row r="17" spans="2:10">
      <c r="B17" t="s">
        <v>63</v>
      </c>
      <c r="C17">
        <v>0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64</v>
      </c>
      <c r="C18">
        <v>-2</v>
      </c>
      <c r="D18">
        <v>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68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69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71</v>
      </c>
      <c r="C25">
        <v>27</v>
      </c>
      <c r="D25">
        <v>8</v>
      </c>
      <c r="E25">
        <v>14</v>
      </c>
      <c r="F25">
        <v>21</v>
      </c>
      <c r="G25">
        <v>17</v>
      </c>
      <c r="H25">
        <v>-5</v>
      </c>
      <c r="I25">
        <v>5</v>
      </c>
      <c r="J25">
        <v>28</v>
      </c>
    </row>
    <row r="26" spans="2:10">
      <c r="B26" t="s">
        <v>72</v>
      </c>
      <c r="C26">
        <v>34</v>
      </c>
      <c r="D26">
        <v>53</v>
      </c>
      <c r="E26">
        <v>39</v>
      </c>
      <c r="F26">
        <v>111</v>
      </c>
      <c r="G26">
        <v>565</v>
      </c>
      <c r="H26">
        <v>8</v>
      </c>
      <c r="I26">
        <v>45</v>
      </c>
      <c r="J26">
        <v>67</v>
      </c>
    </row>
    <row r="27" spans="2:10">
      <c r="B27" t="s">
        <v>73</v>
      </c>
      <c r="C27">
        <v>67</v>
      </c>
      <c r="D27">
        <v>75</v>
      </c>
      <c r="E27">
        <v>63</v>
      </c>
      <c r="F27">
        <v>155</v>
      </c>
      <c r="G27">
        <v>606</v>
      </c>
      <c r="H27">
        <v>17</v>
      </c>
      <c r="I27">
        <v>58</v>
      </c>
      <c r="J27">
        <v>103</v>
      </c>
    </row>
    <row r="28" spans="2:10">
      <c r="B28" t="s">
        <v>74</v>
      </c>
      <c r="C28">
        <v>26</v>
      </c>
      <c r="D28">
        <v>26</v>
      </c>
      <c r="E28">
        <v>26</v>
      </c>
      <c r="F28">
        <v>24</v>
      </c>
      <c r="G28">
        <v>25</v>
      </c>
      <c r="H28">
        <v>26</v>
      </c>
      <c r="I28">
        <v>26</v>
      </c>
      <c r="J28">
        <v>23</v>
      </c>
    </row>
    <row r="29" spans="2:10">
      <c r="B29" t="s">
        <v>75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76</v>
      </c>
      <c r="C30">
        <v>0</v>
      </c>
      <c r="D30">
        <v>0</v>
      </c>
      <c r="E30">
        <v>0</v>
      </c>
      <c r="F30">
        <v>0</v>
      </c>
      <c r="G30">
        <v>0</v>
      </c>
      <c r="H30">
        <v>-5</v>
      </c>
      <c r="I30">
        <v>5</v>
      </c>
      <c r="J30">
        <v>9</v>
      </c>
    </row>
    <row r="31" spans="2:10">
      <c r="B31" t="s">
        <v>77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78</v>
      </c>
      <c r="C32">
        <v>1</v>
      </c>
      <c r="D32">
        <v>0</v>
      </c>
      <c r="E32">
        <v>0</v>
      </c>
      <c r="F32">
        <v>0</v>
      </c>
      <c r="G32">
        <v>1</v>
      </c>
      <c r="H32">
        <v>0</v>
      </c>
      <c r="I32">
        <v>1</v>
      </c>
      <c r="J32">
        <v>10</v>
      </c>
    </row>
    <row r="33" spans="2:10">
      <c r="B33" t="s">
        <v>79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82</v>
      </c>
      <c r="C36">
        <v>0</v>
      </c>
      <c r="D36">
        <v>0</v>
      </c>
      <c r="E36">
        <v>0</v>
      </c>
      <c r="F36">
        <v>0</v>
      </c>
      <c r="G36">
        <v>270</v>
      </c>
      <c r="H36">
        <v>0</v>
      </c>
      <c r="I36">
        <v>0</v>
      </c>
      <c r="J36">
        <v>0</v>
      </c>
    </row>
    <row r="37" spans="2:10">
      <c r="B37" t="s">
        <v>83</v>
      </c>
      <c r="C37">
        <v>0</v>
      </c>
      <c r="D37">
        <v>0</v>
      </c>
      <c r="E37">
        <v>0</v>
      </c>
      <c r="F37">
        <v>0</v>
      </c>
      <c r="G37">
        <v>12</v>
      </c>
      <c r="H37">
        <v>0</v>
      </c>
      <c r="I37">
        <v>0</v>
      </c>
      <c r="J37">
        <v>0</v>
      </c>
    </row>
    <row r="38" spans="2:10">
      <c r="B38" t="s">
        <v>84</v>
      </c>
      <c r="C38">
        <v>0</v>
      </c>
      <c r="D38">
        <v>0</v>
      </c>
      <c r="E38">
        <v>0</v>
      </c>
      <c r="F38">
        <v>0</v>
      </c>
      <c r="G38">
        <v>-4</v>
      </c>
      <c r="H38">
        <v>4</v>
      </c>
      <c r="I38">
        <v>0</v>
      </c>
      <c r="J38">
        <v>0</v>
      </c>
    </row>
    <row r="39" spans="2:10">
      <c r="B39" t="s">
        <v>85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86</v>
      </c>
      <c r="C40">
        <v>6</v>
      </c>
      <c r="D40">
        <v>0</v>
      </c>
      <c r="E40">
        <v>0</v>
      </c>
      <c r="F40">
        <v>6</v>
      </c>
      <c r="G40">
        <v>21</v>
      </c>
      <c r="H40">
        <v>10</v>
      </c>
      <c r="I40">
        <v>0</v>
      </c>
      <c r="J40">
        <v>18</v>
      </c>
    </row>
    <row r="41" spans="2:10">
      <c r="B41" t="s">
        <v>87</v>
      </c>
      <c r="C41">
        <v>34</v>
      </c>
      <c r="D41">
        <v>25</v>
      </c>
      <c r="E41">
        <v>26</v>
      </c>
      <c r="F41">
        <v>30</v>
      </c>
      <c r="G41">
        <v>325</v>
      </c>
      <c r="H41">
        <v>33</v>
      </c>
      <c r="I41">
        <v>33</v>
      </c>
      <c r="J41">
        <v>61</v>
      </c>
    </row>
    <row r="42" spans="2:10">
      <c r="B42" t="s">
        <v>88</v>
      </c>
      <c r="C42">
        <v>328</v>
      </c>
      <c r="D42">
        <v>187</v>
      </c>
      <c r="E42">
        <v>242</v>
      </c>
      <c r="F42">
        <v>240</v>
      </c>
      <c r="G42">
        <v>417</v>
      </c>
      <c r="H42">
        <v>216</v>
      </c>
      <c r="I42">
        <v>93</v>
      </c>
      <c r="J42">
        <v>106</v>
      </c>
    </row>
    <row r="43" spans="2:10">
      <c r="B43" t="s">
        <v>89</v>
      </c>
      <c r="C43">
        <v>105</v>
      </c>
      <c r="D43">
        <v>55</v>
      </c>
      <c r="E43">
        <v>73</v>
      </c>
      <c r="F43">
        <v>48</v>
      </c>
      <c r="G43">
        <v>65</v>
      </c>
      <c r="H43">
        <v>78</v>
      </c>
      <c r="I43">
        <v>31</v>
      </c>
      <c r="J43">
        <v>39</v>
      </c>
    </row>
    <row r="44" spans="2:10">
      <c r="B44" t="s">
        <v>90</v>
      </c>
      <c r="C44">
        <v>224</v>
      </c>
      <c r="D44">
        <v>132</v>
      </c>
      <c r="E44">
        <v>169</v>
      </c>
      <c r="F44">
        <v>193</v>
      </c>
      <c r="G44">
        <v>351</v>
      </c>
      <c r="H44">
        <v>137</v>
      </c>
      <c r="I44">
        <v>62</v>
      </c>
      <c r="J44">
        <v>66</v>
      </c>
    </row>
    <row r="45" spans="2:10">
      <c r="B45" t="s">
        <v>91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94</v>
      </c>
      <c r="C48">
        <v>224</v>
      </c>
      <c r="D48">
        <v>132</v>
      </c>
      <c r="E48">
        <v>169</v>
      </c>
      <c r="F48">
        <v>193</v>
      </c>
      <c r="G48">
        <v>351</v>
      </c>
      <c r="H48">
        <v>137</v>
      </c>
      <c r="I48">
        <v>62</v>
      </c>
      <c r="J48">
        <v>66</v>
      </c>
    </row>
    <row r="49" spans="2:10">
      <c r="B49" t="s">
        <v>95</v>
      </c>
      <c r="C49" t="s">
        <v>96</v>
      </c>
      <c r="D49" t="s">
        <v>96</v>
      </c>
      <c r="E49" t="s">
        <v>96</v>
      </c>
      <c r="F49" t="s">
        <v>96</v>
      </c>
      <c r="G49" t="s">
        <v>96</v>
      </c>
      <c r="H49" t="s">
        <v>96</v>
      </c>
      <c r="I49" t="s">
        <v>96</v>
      </c>
      <c r="J49" t="s">
        <v>96</v>
      </c>
    </row>
    <row r="50" spans="2:10">
      <c r="B50" t="s">
        <v>97</v>
      </c>
      <c r="C50">
        <v>5</v>
      </c>
      <c r="D50">
        <v>-20</v>
      </c>
      <c r="E50">
        <v>14</v>
      </c>
      <c r="F50">
        <v>38</v>
      </c>
      <c r="G50">
        <v>-9</v>
      </c>
      <c r="H50">
        <v>-13</v>
      </c>
      <c r="I50">
        <v>-2</v>
      </c>
      <c r="J50">
        <v>1</v>
      </c>
    </row>
    <row r="51" spans="2:10">
      <c r="B51" t="s">
        <v>98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11</v>
      </c>
      <c r="C52">
        <v>219</v>
      </c>
      <c r="D52">
        <v>152</v>
      </c>
      <c r="E52">
        <v>155</v>
      </c>
      <c r="F52">
        <v>154</v>
      </c>
      <c r="G52">
        <v>360</v>
      </c>
      <c r="H52">
        <v>150</v>
      </c>
      <c r="I52">
        <v>64</v>
      </c>
      <c r="J52">
        <v>66</v>
      </c>
    </row>
    <row r="53" spans="2:10">
      <c r="B53" t="s">
        <v>12</v>
      </c>
      <c r="C53">
        <v>0.62</v>
      </c>
      <c r="D53">
        <v>0.43</v>
      </c>
      <c r="E53">
        <v>0.44</v>
      </c>
      <c r="F53">
        <v>0.44</v>
      </c>
      <c r="G53">
        <v>1.02</v>
      </c>
      <c r="H53">
        <v>0.42</v>
      </c>
      <c r="I53">
        <v>0.18</v>
      </c>
      <c r="J53">
        <v>0.19</v>
      </c>
    </row>
    <row r="54" spans="2:10">
      <c r="B54" t="s">
        <v>99</v>
      </c>
      <c r="C54">
        <v>0.61</v>
      </c>
      <c r="D54">
        <v>0.43</v>
      </c>
      <c r="E54">
        <v>0.44</v>
      </c>
      <c r="F54" t="s">
        <v>96</v>
      </c>
      <c r="G54">
        <v>1.01</v>
      </c>
      <c r="H54">
        <v>0.42</v>
      </c>
      <c r="I54">
        <v>0.18</v>
      </c>
      <c r="J54" t="s">
        <v>96</v>
      </c>
    </row>
    <row r="55" spans="2:10">
      <c r="B55" t="s">
        <v>100</v>
      </c>
      <c r="C55" s="40">
        <v>3533</v>
      </c>
      <c r="D55" s="40">
        <v>3533</v>
      </c>
      <c r="E55" s="40">
        <v>3533</v>
      </c>
      <c r="F55" s="40">
        <v>3533</v>
      </c>
      <c r="G55" s="40">
        <v>3533</v>
      </c>
      <c r="H55" s="40">
        <v>3533</v>
      </c>
      <c r="I55" s="40">
        <v>3533</v>
      </c>
      <c r="J55" s="40">
        <v>3533</v>
      </c>
    </row>
    <row r="56" spans="2:10">
      <c r="B56" t="s">
        <v>101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102</v>
      </c>
      <c r="C57" t="s">
        <v>96</v>
      </c>
      <c r="D57" t="s">
        <v>96</v>
      </c>
      <c r="E57" t="s">
        <v>96</v>
      </c>
      <c r="F57">
        <v>0</v>
      </c>
      <c r="G57" t="s">
        <v>96</v>
      </c>
      <c r="H57" t="s">
        <v>96</v>
      </c>
      <c r="I57" t="s">
        <v>96</v>
      </c>
      <c r="J57">
        <v>0</v>
      </c>
    </row>
    <row r="58" spans="2:10">
      <c r="B58" t="s">
        <v>103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105</v>
      </c>
      <c r="C60">
        <v>354</v>
      </c>
      <c r="D60">
        <v>212</v>
      </c>
      <c r="E60">
        <v>268</v>
      </c>
      <c r="F60">
        <v>265</v>
      </c>
      <c r="G60">
        <v>442</v>
      </c>
      <c r="H60">
        <v>241</v>
      </c>
      <c r="I60">
        <v>119</v>
      </c>
      <c r="J60">
        <v>129</v>
      </c>
    </row>
    <row r="61" spans="2:10">
      <c r="B61" t="s">
        <v>106</v>
      </c>
      <c r="C61">
        <v>543</v>
      </c>
      <c r="D61">
        <v>397</v>
      </c>
      <c r="E61">
        <v>454</v>
      </c>
      <c r="F61">
        <v>452</v>
      </c>
      <c r="G61">
        <v>619</v>
      </c>
      <c r="H61">
        <v>411</v>
      </c>
      <c r="I61">
        <v>304</v>
      </c>
      <c r="J61">
        <v>319</v>
      </c>
    </row>
    <row r="62" spans="2:10">
      <c r="B62" t="s">
        <v>107</v>
      </c>
      <c r="C62">
        <v>227</v>
      </c>
      <c r="D62">
        <v>129</v>
      </c>
      <c r="E62">
        <v>169</v>
      </c>
      <c r="F62">
        <v>192</v>
      </c>
      <c r="G62">
        <v>635</v>
      </c>
      <c r="H62">
        <v>137</v>
      </c>
      <c r="I62">
        <v>63</v>
      </c>
      <c r="J62">
        <v>77</v>
      </c>
    </row>
    <row r="63" spans="2:10">
      <c r="B63" t="s">
        <v>108</v>
      </c>
    </row>
    <row r="64" spans="2:10">
      <c r="B64" t="s">
        <v>109</v>
      </c>
    </row>
    <row r="101" spans="2:10">
      <c r="B101" t="s">
        <v>2587</v>
      </c>
    </row>
    <row r="102" spans="2:10">
      <c r="B102" t="s">
        <v>45</v>
      </c>
    </row>
    <row r="103" spans="2:10">
      <c r="B103" t="s">
        <v>46</v>
      </c>
      <c r="C103" t="s">
        <v>1888</v>
      </c>
      <c r="D103" t="s">
        <v>220</v>
      </c>
      <c r="E103" t="s">
        <v>47</v>
      </c>
      <c r="F103" t="s">
        <v>48</v>
      </c>
      <c r="G103" t="s">
        <v>49</v>
      </c>
      <c r="H103" t="s">
        <v>50</v>
      </c>
      <c r="I103" t="s">
        <v>51</v>
      </c>
      <c r="J103" t="s">
        <v>52</v>
      </c>
    </row>
    <row r="104" spans="2:10">
      <c r="B104" t="s">
        <v>149</v>
      </c>
      <c r="C104" s="40">
        <v>6538</v>
      </c>
      <c r="D104" s="40">
        <v>5800</v>
      </c>
      <c r="E104" s="40">
        <v>6354</v>
      </c>
      <c r="F104" s="40">
        <v>5592</v>
      </c>
      <c r="G104" s="40">
        <v>6110</v>
      </c>
      <c r="H104" s="40">
        <v>5931</v>
      </c>
      <c r="I104" s="40">
        <v>6171</v>
      </c>
      <c r="J104" s="40">
        <v>6058</v>
      </c>
    </row>
    <row r="105" spans="2:10">
      <c r="B105" t="s">
        <v>150</v>
      </c>
      <c r="C105">
        <v>331</v>
      </c>
      <c r="D105">
        <v>293</v>
      </c>
      <c r="E105">
        <v>337</v>
      </c>
      <c r="F105">
        <v>340</v>
      </c>
      <c r="G105">
        <v>252</v>
      </c>
      <c r="H105">
        <v>227</v>
      </c>
      <c r="I105">
        <v>322</v>
      </c>
      <c r="J105">
        <v>171</v>
      </c>
    </row>
    <row r="106" spans="2:10">
      <c r="B106" t="s">
        <v>187</v>
      </c>
      <c r="C106" s="40">
        <v>6889</v>
      </c>
      <c r="D106" s="40">
        <v>5948</v>
      </c>
      <c r="E106" s="40">
        <v>5326</v>
      </c>
      <c r="F106" s="40">
        <v>6004</v>
      </c>
      <c r="G106" s="40">
        <v>5818</v>
      </c>
      <c r="H106" s="40">
        <v>5838</v>
      </c>
      <c r="I106" s="40">
        <v>5524</v>
      </c>
      <c r="J106" s="40">
        <v>6049</v>
      </c>
    </row>
    <row r="107" spans="2:10">
      <c r="B107" t="s">
        <v>151</v>
      </c>
      <c r="C107">
        <v>339</v>
      </c>
      <c r="D107">
        <v>265</v>
      </c>
      <c r="E107">
        <v>268</v>
      </c>
      <c r="F107">
        <v>138</v>
      </c>
      <c r="G107">
        <v>232</v>
      </c>
      <c r="H107">
        <v>328</v>
      </c>
      <c r="I107">
        <v>240</v>
      </c>
      <c r="J107">
        <v>109</v>
      </c>
    </row>
    <row r="108" spans="2:10">
      <c r="B108" t="s">
        <v>188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13</v>
      </c>
      <c r="C109" s="40">
        <v>3566</v>
      </c>
      <c r="D109" s="40">
        <v>3629</v>
      </c>
      <c r="E109" s="40">
        <v>4071</v>
      </c>
      <c r="F109" s="40">
        <v>4208</v>
      </c>
      <c r="G109" s="40">
        <v>3769</v>
      </c>
      <c r="H109" s="40">
        <v>3547</v>
      </c>
      <c r="I109" s="40">
        <v>3377</v>
      </c>
      <c r="J109" s="40">
        <v>3521</v>
      </c>
    </row>
    <row r="110" spans="2:10">
      <c r="B110" t="s">
        <v>189</v>
      </c>
      <c r="C110" t="s">
        <v>96</v>
      </c>
      <c r="D110" t="s">
        <v>96</v>
      </c>
      <c r="E110" t="s">
        <v>96</v>
      </c>
      <c r="F110" t="s">
        <v>96</v>
      </c>
      <c r="G110" t="s">
        <v>96</v>
      </c>
      <c r="H110" t="s">
        <v>96</v>
      </c>
      <c r="I110" t="s">
        <v>96</v>
      </c>
      <c r="J110" t="s">
        <v>96</v>
      </c>
    </row>
    <row r="111" spans="2:10">
      <c r="B111" t="s">
        <v>152</v>
      </c>
      <c r="C111">
        <v>349</v>
      </c>
      <c r="D111">
        <v>327</v>
      </c>
      <c r="E111">
        <v>352</v>
      </c>
      <c r="F111">
        <v>146</v>
      </c>
      <c r="G111">
        <v>263</v>
      </c>
      <c r="H111">
        <v>179</v>
      </c>
      <c r="I111">
        <v>334</v>
      </c>
      <c r="J111">
        <v>167</v>
      </c>
    </row>
    <row r="112" spans="2:10">
      <c r="B112" t="s">
        <v>153</v>
      </c>
      <c r="C112">
        <v>512</v>
      </c>
      <c r="D112">
        <v>469</v>
      </c>
      <c r="E112">
        <v>527</v>
      </c>
      <c r="F112">
        <v>578</v>
      </c>
      <c r="G112">
        <v>498</v>
      </c>
      <c r="H112">
        <v>399</v>
      </c>
      <c r="I112">
        <v>462</v>
      </c>
      <c r="J112">
        <v>448</v>
      </c>
    </row>
    <row r="113" spans="2:10">
      <c r="B113" t="s">
        <v>154</v>
      </c>
      <c r="C113" s="40">
        <v>18525</v>
      </c>
      <c r="D113" s="40">
        <v>16730</v>
      </c>
      <c r="E113" s="40">
        <v>17236</v>
      </c>
      <c r="F113" s="40">
        <v>17006</v>
      </c>
      <c r="G113" s="40">
        <v>16942</v>
      </c>
      <c r="H113" s="40">
        <v>16449</v>
      </c>
      <c r="I113" s="40">
        <v>16430</v>
      </c>
      <c r="J113" s="40">
        <v>16522</v>
      </c>
    </row>
    <row r="114" spans="2:10">
      <c r="B114" t="s">
        <v>155</v>
      </c>
      <c r="C114">
        <v>737</v>
      </c>
      <c r="D114">
        <v>722</v>
      </c>
      <c r="E114">
        <v>701</v>
      </c>
      <c r="F114">
        <v>689</v>
      </c>
      <c r="G114">
        <v>666</v>
      </c>
      <c r="H114">
        <v>915</v>
      </c>
      <c r="I114">
        <v>908</v>
      </c>
      <c r="J114">
        <v>939</v>
      </c>
    </row>
    <row r="115" spans="2:10">
      <c r="B115" t="s">
        <v>156</v>
      </c>
      <c r="C115">
        <v>88</v>
      </c>
      <c r="D115">
        <v>88</v>
      </c>
      <c r="E115">
        <v>88</v>
      </c>
      <c r="F115">
        <v>88</v>
      </c>
      <c r="G115">
        <v>88</v>
      </c>
      <c r="H115">
        <v>88</v>
      </c>
      <c r="I115">
        <v>88</v>
      </c>
      <c r="J115">
        <v>88</v>
      </c>
    </row>
    <row r="116" spans="2:10">
      <c r="B116" t="s">
        <v>157</v>
      </c>
      <c r="C116" s="40">
        <v>1681</v>
      </c>
      <c r="D116" s="40">
        <v>1605</v>
      </c>
      <c r="E116" s="40">
        <v>1627</v>
      </c>
      <c r="F116" s="40">
        <v>1644</v>
      </c>
      <c r="G116" s="40">
        <v>1590</v>
      </c>
      <c r="H116" s="40">
        <v>1564</v>
      </c>
      <c r="I116" s="40">
        <v>1592</v>
      </c>
      <c r="J116" s="40">
        <v>1547</v>
      </c>
    </row>
    <row r="117" spans="2:10">
      <c r="B117" t="s">
        <v>158</v>
      </c>
      <c r="C117" s="40">
        <v>4877</v>
      </c>
      <c r="D117" s="40">
        <v>4639</v>
      </c>
      <c r="E117" s="40">
        <v>4656</v>
      </c>
      <c r="F117" s="40">
        <v>4640</v>
      </c>
      <c r="G117" s="40">
        <v>4288</v>
      </c>
      <c r="H117" s="40">
        <v>4046</v>
      </c>
      <c r="I117" s="40">
        <v>4109</v>
      </c>
      <c r="J117" s="40">
        <v>3941</v>
      </c>
    </row>
    <row r="118" spans="2:10">
      <c r="B118" t="s">
        <v>159</v>
      </c>
      <c r="C118" s="40">
        <v>2438</v>
      </c>
      <c r="D118" s="40">
        <v>2314</v>
      </c>
      <c r="E118" s="40">
        <v>2320</v>
      </c>
      <c r="F118" s="40">
        <v>2326</v>
      </c>
      <c r="G118" s="40">
        <v>2216</v>
      </c>
      <c r="H118" s="40">
        <v>1980</v>
      </c>
      <c r="I118" s="40">
        <v>1966</v>
      </c>
      <c r="J118" s="40">
        <v>1918</v>
      </c>
    </row>
    <row r="119" spans="2:10">
      <c r="B119" t="s">
        <v>160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161</v>
      </c>
      <c r="C120" s="40">
        <v>-4968</v>
      </c>
      <c r="D120" s="40">
        <v>-4645</v>
      </c>
      <c r="E120" s="40">
        <v>-4558</v>
      </c>
      <c r="F120" s="40">
        <v>-4470</v>
      </c>
      <c r="G120" s="40">
        <v>-4165</v>
      </c>
      <c r="H120" s="40">
        <v>-3934</v>
      </c>
      <c r="I120" s="40">
        <v>-3895</v>
      </c>
      <c r="J120" s="40">
        <v>-3759</v>
      </c>
    </row>
    <row r="121" spans="2:10">
      <c r="B121" t="s">
        <v>162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163</v>
      </c>
      <c r="C122" s="40">
        <v>1025</v>
      </c>
      <c r="D122">
        <v>874</v>
      </c>
      <c r="E122">
        <v>732</v>
      </c>
      <c r="F122">
        <v>389</v>
      </c>
      <c r="G122">
        <v>124</v>
      </c>
      <c r="H122">
        <v>86</v>
      </c>
      <c r="I122">
        <v>82</v>
      </c>
      <c r="J122">
        <v>31</v>
      </c>
    </row>
    <row r="123" spans="2:10">
      <c r="B123" t="s">
        <v>164</v>
      </c>
      <c r="C123" s="40">
        <v>5140</v>
      </c>
      <c r="D123" s="40">
        <v>4875</v>
      </c>
      <c r="E123" s="40">
        <v>4865</v>
      </c>
      <c r="F123" s="40">
        <v>4617</v>
      </c>
      <c r="G123" s="40">
        <v>4140</v>
      </c>
      <c r="H123" s="40">
        <v>3830</v>
      </c>
      <c r="I123" s="40">
        <v>3942</v>
      </c>
      <c r="J123" s="40">
        <v>3767</v>
      </c>
    </row>
    <row r="124" spans="2:10">
      <c r="B124" t="s">
        <v>165</v>
      </c>
      <c r="C124">
        <v>333</v>
      </c>
      <c r="D124">
        <v>320</v>
      </c>
      <c r="E124">
        <v>312</v>
      </c>
      <c r="F124">
        <v>312</v>
      </c>
      <c r="G124">
        <v>300</v>
      </c>
      <c r="H124">
        <v>209</v>
      </c>
      <c r="I124">
        <v>200</v>
      </c>
      <c r="J124">
        <v>187</v>
      </c>
    </row>
    <row r="125" spans="2:10">
      <c r="B125" t="s">
        <v>166</v>
      </c>
      <c r="C125">
        <v>44</v>
      </c>
      <c r="D125">
        <v>31</v>
      </c>
      <c r="E125">
        <v>29</v>
      </c>
      <c r="F125">
        <v>33</v>
      </c>
      <c r="G125">
        <v>21</v>
      </c>
      <c r="H125">
        <v>23</v>
      </c>
      <c r="I125">
        <v>27</v>
      </c>
      <c r="J125">
        <v>24</v>
      </c>
    </row>
    <row r="126" spans="2:10">
      <c r="B126" t="s">
        <v>167</v>
      </c>
      <c r="C126" s="40">
        <v>1152</v>
      </c>
      <c r="D126">
        <v>989</v>
      </c>
      <c r="E126">
        <v>978</v>
      </c>
      <c r="F126">
        <v>946</v>
      </c>
      <c r="G126">
        <v>982</v>
      </c>
      <c r="H126">
        <v>304</v>
      </c>
      <c r="I126">
        <v>342</v>
      </c>
      <c r="J126">
        <v>451</v>
      </c>
    </row>
    <row r="127" spans="2:10">
      <c r="B127" t="s">
        <v>168</v>
      </c>
      <c r="C127" s="40">
        <v>1528</v>
      </c>
      <c r="D127" s="40">
        <v>1340</v>
      </c>
      <c r="E127" s="40">
        <v>1319</v>
      </c>
      <c r="F127" s="40">
        <v>1290</v>
      </c>
      <c r="G127" s="40">
        <v>1303</v>
      </c>
      <c r="H127">
        <v>543</v>
      </c>
      <c r="I127">
        <v>577</v>
      </c>
      <c r="J127">
        <v>669</v>
      </c>
    </row>
    <row r="128" spans="2:10">
      <c r="B128" t="s">
        <v>16</v>
      </c>
      <c r="C128" s="40">
        <v>25930</v>
      </c>
      <c r="D128" s="40">
        <v>23668</v>
      </c>
      <c r="E128" s="40">
        <v>24121</v>
      </c>
      <c r="F128" s="40">
        <v>23603</v>
      </c>
      <c r="G128" s="40">
        <v>23051</v>
      </c>
      <c r="H128" s="40">
        <v>21737</v>
      </c>
      <c r="I128" s="40">
        <v>21855</v>
      </c>
      <c r="J128" s="40">
        <v>21896</v>
      </c>
    </row>
    <row r="129" spans="2:10">
      <c r="B129" t="s">
        <v>190</v>
      </c>
      <c r="C129" s="40">
        <v>1828</v>
      </c>
      <c r="D129" s="40">
        <v>1925</v>
      </c>
      <c r="E129" s="40">
        <v>1882</v>
      </c>
      <c r="F129" s="40">
        <v>1453</v>
      </c>
      <c r="G129" s="40">
        <v>1676</v>
      </c>
      <c r="H129" s="40">
        <v>2078</v>
      </c>
      <c r="I129" s="40">
        <v>2004</v>
      </c>
      <c r="J129" s="40">
        <v>2078</v>
      </c>
    </row>
    <row r="130" spans="2:10">
      <c r="B130" t="s">
        <v>191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130</v>
      </c>
      <c r="I130">
        <v>80</v>
      </c>
      <c r="J130">
        <v>0</v>
      </c>
    </row>
    <row r="131" spans="2:10">
      <c r="B131" t="s">
        <v>14</v>
      </c>
      <c r="C131" s="40">
        <v>7711</v>
      </c>
      <c r="D131" s="40">
        <v>7101</v>
      </c>
      <c r="E131" s="40">
        <v>7524</v>
      </c>
      <c r="F131" s="40">
        <v>7787</v>
      </c>
      <c r="G131" s="40">
        <v>7818</v>
      </c>
      <c r="H131" s="40">
        <v>7242</v>
      </c>
      <c r="I131" s="40">
        <v>7248</v>
      </c>
      <c r="J131" s="40">
        <v>6968</v>
      </c>
    </row>
    <row r="132" spans="2:10">
      <c r="B132" t="s">
        <v>169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171</v>
      </c>
      <c r="C134" s="40">
        <v>2593</v>
      </c>
      <c r="D134" s="40">
        <v>2122</v>
      </c>
      <c r="E134" s="40">
        <v>1722</v>
      </c>
      <c r="F134" s="40">
        <v>1862</v>
      </c>
      <c r="G134" s="40">
        <v>1747</v>
      </c>
      <c r="H134" s="40">
        <v>1481</v>
      </c>
      <c r="I134" s="40">
        <v>1265</v>
      </c>
      <c r="J134" s="40">
        <v>1588</v>
      </c>
    </row>
    <row r="135" spans="2:10">
      <c r="B135" t="s">
        <v>172</v>
      </c>
      <c r="C135">
        <v>101</v>
      </c>
      <c r="D135">
        <v>83</v>
      </c>
      <c r="E135">
        <v>121</v>
      </c>
      <c r="F135">
        <v>63</v>
      </c>
      <c r="G135">
        <v>45</v>
      </c>
      <c r="H135">
        <v>89</v>
      </c>
      <c r="I135">
        <v>134</v>
      </c>
      <c r="J135">
        <v>120</v>
      </c>
    </row>
    <row r="136" spans="2:10">
      <c r="B136" t="s">
        <v>173</v>
      </c>
      <c r="C136" s="40">
        <v>1122</v>
      </c>
      <c r="D136" s="40">
        <v>1087</v>
      </c>
      <c r="E136" s="40">
        <v>1140</v>
      </c>
      <c r="F136" s="40">
        <v>1337</v>
      </c>
      <c r="G136" s="40">
        <v>1428</v>
      </c>
      <c r="H136" s="40">
        <v>1339</v>
      </c>
      <c r="I136" s="40">
        <v>1487</v>
      </c>
      <c r="J136" s="40">
        <v>1296</v>
      </c>
    </row>
    <row r="137" spans="2:10">
      <c r="B137" t="s">
        <v>174</v>
      </c>
      <c r="C137">
        <v>131</v>
      </c>
      <c r="D137">
        <v>130</v>
      </c>
      <c r="E137">
        <v>70</v>
      </c>
      <c r="F137">
        <v>65</v>
      </c>
      <c r="G137">
        <v>83</v>
      </c>
      <c r="H137">
        <v>74</v>
      </c>
      <c r="I137">
        <v>167</v>
      </c>
      <c r="J137">
        <v>104</v>
      </c>
    </row>
    <row r="138" spans="2:10">
      <c r="B138" t="s">
        <v>175</v>
      </c>
      <c r="C138" s="40">
        <v>13486</v>
      </c>
      <c r="D138" s="40">
        <v>12448</v>
      </c>
      <c r="E138" s="40">
        <v>12459</v>
      </c>
      <c r="F138" s="40">
        <v>12566</v>
      </c>
      <c r="G138" s="40">
        <v>12796</v>
      </c>
      <c r="H138" s="40">
        <v>12433</v>
      </c>
      <c r="I138" s="40">
        <v>12385</v>
      </c>
      <c r="J138" s="40">
        <v>12154</v>
      </c>
    </row>
    <row r="139" spans="2:10">
      <c r="B139" t="s">
        <v>176</v>
      </c>
      <c r="C139" s="40">
        <v>2115</v>
      </c>
      <c r="D139" s="40">
        <v>1895</v>
      </c>
      <c r="E139" s="40">
        <v>2204</v>
      </c>
      <c r="F139" s="40">
        <v>1643</v>
      </c>
      <c r="G139" s="40">
        <v>1632</v>
      </c>
      <c r="H139" s="40">
        <v>1432</v>
      </c>
      <c r="I139" s="40">
        <v>1470</v>
      </c>
      <c r="J139" s="40">
        <v>1824</v>
      </c>
    </row>
    <row r="140" spans="2:10">
      <c r="B140" t="s">
        <v>177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178</v>
      </c>
      <c r="C141">
        <v>12</v>
      </c>
      <c r="D141">
        <v>12</v>
      </c>
      <c r="E141">
        <v>12</v>
      </c>
      <c r="F141">
        <v>12</v>
      </c>
      <c r="G141">
        <v>20</v>
      </c>
      <c r="H141">
        <v>20</v>
      </c>
      <c r="I141">
        <v>20</v>
      </c>
      <c r="J141">
        <v>20</v>
      </c>
    </row>
    <row r="142" spans="2:10">
      <c r="B142" t="s">
        <v>179</v>
      </c>
      <c r="C142">
        <v>688</v>
      </c>
      <c r="D142">
        <v>594</v>
      </c>
      <c r="E142">
        <v>589</v>
      </c>
      <c r="F142">
        <v>601</v>
      </c>
      <c r="G142">
        <v>553</v>
      </c>
      <c r="H142">
        <v>442</v>
      </c>
      <c r="I142">
        <v>424</v>
      </c>
      <c r="J142">
        <v>419</v>
      </c>
    </row>
    <row r="143" spans="2:10">
      <c r="B143" t="s">
        <v>180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182</v>
      </c>
      <c r="C145">
        <v>763</v>
      </c>
      <c r="D145">
        <v>514</v>
      </c>
      <c r="E145">
        <v>295</v>
      </c>
      <c r="F145">
        <v>298</v>
      </c>
      <c r="G145">
        <v>67</v>
      </c>
      <c r="H145">
        <v>59</v>
      </c>
      <c r="I145">
        <v>61</v>
      </c>
      <c r="J145">
        <v>62</v>
      </c>
    </row>
    <row r="146" spans="2:10">
      <c r="B146" t="s">
        <v>183</v>
      </c>
      <c r="C146" s="40">
        <v>1463</v>
      </c>
      <c r="D146" s="40">
        <v>1121</v>
      </c>
      <c r="E146">
        <v>897</v>
      </c>
      <c r="F146">
        <v>911</v>
      </c>
      <c r="G146">
        <v>640</v>
      </c>
      <c r="H146">
        <v>522</v>
      </c>
      <c r="I146">
        <v>505</v>
      </c>
      <c r="J146">
        <v>501</v>
      </c>
    </row>
    <row r="147" spans="2:10">
      <c r="B147" t="s">
        <v>15</v>
      </c>
      <c r="C147" s="40">
        <v>17064</v>
      </c>
      <c r="D147" s="40">
        <v>15463</v>
      </c>
      <c r="E147" s="40">
        <v>15559</v>
      </c>
      <c r="F147" s="40">
        <v>15120</v>
      </c>
      <c r="G147" s="40">
        <v>15068</v>
      </c>
      <c r="H147" s="40">
        <v>14387</v>
      </c>
      <c r="I147" s="40">
        <v>14361</v>
      </c>
      <c r="J147" s="40">
        <v>14479</v>
      </c>
    </row>
    <row r="148" spans="2:10">
      <c r="B148" t="s">
        <v>184</v>
      </c>
      <c r="C148" s="40">
        <v>8867</v>
      </c>
      <c r="D148" s="40">
        <v>8205</v>
      </c>
      <c r="E148" s="40">
        <v>8562</v>
      </c>
      <c r="F148" s="40">
        <v>8482</v>
      </c>
      <c r="G148" s="40">
        <v>7984</v>
      </c>
      <c r="H148" s="40">
        <v>7350</v>
      </c>
      <c r="I148" s="40">
        <v>7495</v>
      </c>
      <c r="J148" s="40">
        <v>7418</v>
      </c>
    </row>
    <row r="149" spans="2:10">
      <c r="B149" t="s">
        <v>192</v>
      </c>
      <c r="C149" s="40">
        <v>3533</v>
      </c>
      <c r="D149" s="40">
        <v>3533</v>
      </c>
      <c r="E149" s="40">
        <v>3533</v>
      </c>
      <c r="F149" s="40">
        <v>3533</v>
      </c>
      <c r="G149" s="40">
        <v>3533</v>
      </c>
      <c r="H149" s="40">
        <v>3533</v>
      </c>
      <c r="I149" s="40">
        <v>3533</v>
      </c>
      <c r="J149" s="40">
        <v>3533</v>
      </c>
    </row>
    <row r="150" spans="2:10">
      <c r="B150" t="s">
        <v>193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194</v>
      </c>
      <c r="C151" s="40">
        <v>1797</v>
      </c>
      <c r="D151" s="40">
        <v>1797</v>
      </c>
      <c r="E151" s="40">
        <v>1797</v>
      </c>
      <c r="F151" s="40">
        <v>1797</v>
      </c>
      <c r="G151" s="40">
        <v>1797</v>
      </c>
      <c r="H151" s="40">
        <v>1797</v>
      </c>
      <c r="I151" s="40">
        <v>1797</v>
      </c>
      <c r="J151" s="40">
        <v>1797</v>
      </c>
    </row>
    <row r="152" spans="2:10">
      <c r="B152" t="s">
        <v>195</v>
      </c>
      <c r="C152">
        <v>450</v>
      </c>
      <c r="D152">
        <v>450</v>
      </c>
      <c r="E152">
        <v>377</v>
      </c>
      <c r="F152">
        <v>377</v>
      </c>
      <c r="G152">
        <v>377</v>
      </c>
      <c r="H152">
        <v>377</v>
      </c>
      <c r="I152">
        <v>352</v>
      </c>
      <c r="J152">
        <v>352</v>
      </c>
    </row>
    <row r="153" spans="2:10">
      <c r="B153" t="s">
        <v>196</v>
      </c>
      <c r="C153">
        <v>95</v>
      </c>
      <c r="D153">
        <v>95</v>
      </c>
      <c r="E153">
        <v>95</v>
      </c>
      <c r="F153">
        <v>95</v>
      </c>
      <c r="G153">
        <v>95</v>
      </c>
      <c r="H153">
        <v>95</v>
      </c>
      <c r="I153">
        <v>169</v>
      </c>
      <c r="J153">
        <v>169</v>
      </c>
    </row>
    <row r="154" spans="2:10">
      <c r="B154" t="s">
        <v>197</v>
      </c>
      <c r="C154" s="40">
        <v>2077</v>
      </c>
      <c r="D154" s="40">
        <v>1859</v>
      </c>
      <c r="E154" s="40">
        <v>2132</v>
      </c>
      <c r="F154" s="40">
        <v>1977</v>
      </c>
      <c r="G154" s="40">
        <v>1816</v>
      </c>
      <c r="H154" s="40">
        <v>1456</v>
      </c>
      <c r="I154" s="40">
        <v>1398</v>
      </c>
      <c r="J154" s="40">
        <v>1334</v>
      </c>
    </row>
    <row r="155" spans="2:10">
      <c r="B155" t="s">
        <v>198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185</v>
      </c>
      <c r="C156">
        <v>187</v>
      </c>
      <c r="D156">
        <v>188</v>
      </c>
      <c r="E156">
        <v>209</v>
      </c>
      <c r="F156">
        <v>196</v>
      </c>
      <c r="G156">
        <v>153</v>
      </c>
      <c r="H156">
        <v>77</v>
      </c>
      <c r="I156">
        <v>90</v>
      </c>
      <c r="J156">
        <v>92</v>
      </c>
    </row>
    <row r="157" spans="2:10">
      <c r="B157" t="s">
        <v>186</v>
      </c>
      <c r="C157" s="40">
        <v>25930</v>
      </c>
      <c r="D157" s="40">
        <v>23668</v>
      </c>
      <c r="E157" s="40">
        <v>24121</v>
      </c>
      <c r="F157" s="40">
        <v>23603</v>
      </c>
      <c r="G157" s="40">
        <v>23051</v>
      </c>
      <c r="H157" s="40">
        <v>21737</v>
      </c>
      <c r="I157" s="40">
        <v>21855</v>
      </c>
      <c r="J157" s="40">
        <v>21896</v>
      </c>
    </row>
    <row r="158" spans="2:10">
      <c r="B158" t="s">
        <v>108</v>
      </c>
    </row>
    <row r="159" spans="2:10">
      <c r="B159" t="s">
        <v>109</v>
      </c>
    </row>
    <row r="201" spans="2:10">
      <c r="B201" t="s">
        <v>2586</v>
      </c>
    </row>
    <row r="202" spans="2:10">
      <c r="B202" t="s">
        <v>45</v>
      </c>
    </row>
    <row r="203" spans="2:10">
      <c r="B203" t="s">
        <v>46</v>
      </c>
      <c r="C203" t="s">
        <v>1888</v>
      </c>
      <c r="D203" t="s">
        <v>220</v>
      </c>
      <c r="E203" t="s">
        <v>47</v>
      </c>
      <c r="F203" t="s">
        <v>48</v>
      </c>
      <c r="G203" t="s">
        <v>49</v>
      </c>
      <c r="H203" t="s">
        <v>50</v>
      </c>
      <c r="I203" t="s">
        <v>51</v>
      </c>
      <c r="J203" t="s">
        <v>52</v>
      </c>
    </row>
    <row r="204" spans="2:10">
      <c r="B204" t="s">
        <v>110</v>
      </c>
      <c r="C204">
        <v>224</v>
      </c>
      <c r="D204">
        <v>132</v>
      </c>
      <c r="E204">
        <v>169</v>
      </c>
      <c r="F204">
        <v>193</v>
      </c>
      <c r="G204">
        <v>351</v>
      </c>
      <c r="H204">
        <v>137</v>
      </c>
      <c r="I204">
        <v>62</v>
      </c>
      <c r="J204">
        <v>66</v>
      </c>
    </row>
    <row r="205" spans="2:10">
      <c r="B205" t="s">
        <v>111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112</v>
      </c>
      <c r="C206">
        <v>177</v>
      </c>
      <c r="D206">
        <v>174</v>
      </c>
      <c r="E206">
        <v>175</v>
      </c>
      <c r="F206">
        <v>177</v>
      </c>
      <c r="G206">
        <v>169</v>
      </c>
      <c r="H206">
        <v>161</v>
      </c>
      <c r="I206">
        <v>176</v>
      </c>
      <c r="J206">
        <v>177</v>
      </c>
    </row>
    <row r="207" spans="2:10">
      <c r="B207" t="s">
        <v>113</v>
      </c>
      <c r="C207">
        <v>11</v>
      </c>
      <c r="D207">
        <v>10</v>
      </c>
      <c r="E207">
        <v>11</v>
      </c>
      <c r="F207">
        <v>10</v>
      </c>
      <c r="G207">
        <v>8</v>
      </c>
      <c r="H207">
        <v>9</v>
      </c>
      <c r="I207">
        <v>8</v>
      </c>
      <c r="J207">
        <v>13</v>
      </c>
    </row>
    <row r="208" spans="2:10">
      <c r="B208" t="s">
        <v>114</v>
      </c>
      <c r="C208">
        <v>-3</v>
      </c>
      <c r="D208">
        <v>-4</v>
      </c>
      <c r="E208">
        <v>-4</v>
      </c>
      <c r="F208">
        <v>-14</v>
      </c>
      <c r="G208">
        <v>-18</v>
      </c>
      <c r="H208">
        <v>-5</v>
      </c>
      <c r="I208">
        <v>0</v>
      </c>
      <c r="J208">
        <v>1</v>
      </c>
    </row>
    <row r="209" spans="2:10">
      <c r="B209" t="s">
        <v>115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-5</v>
      </c>
      <c r="I209">
        <v>5</v>
      </c>
      <c r="J209">
        <v>9</v>
      </c>
    </row>
    <row r="210" spans="2:10">
      <c r="B210" t="s">
        <v>116</v>
      </c>
      <c r="C210">
        <v>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117</v>
      </c>
      <c r="C211" t="s">
        <v>96</v>
      </c>
      <c r="D211" t="s">
        <v>96</v>
      </c>
      <c r="E211" t="s">
        <v>96</v>
      </c>
      <c r="F211" t="s">
        <v>96</v>
      </c>
      <c r="G211" t="s">
        <v>96</v>
      </c>
      <c r="H211" t="s">
        <v>96</v>
      </c>
      <c r="I211" t="s">
        <v>96</v>
      </c>
      <c r="J211" t="s">
        <v>96</v>
      </c>
    </row>
    <row r="212" spans="2:10">
      <c r="B212" t="s">
        <v>118</v>
      </c>
      <c r="C212">
        <v>3</v>
      </c>
      <c r="D212">
        <v>-2</v>
      </c>
      <c r="E212">
        <v>0</v>
      </c>
      <c r="F212">
        <v>0</v>
      </c>
      <c r="G212">
        <v>1</v>
      </c>
      <c r="H212">
        <v>0</v>
      </c>
      <c r="I212">
        <v>1</v>
      </c>
      <c r="J212">
        <v>10</v>
      </c>
    </row>
    <row r="213" spans="2:10">
      <c r="B213" t="s">
        <v>119</v>
      </c>
      <c r="C213">
        <v>0</v>
      </c>
      <c r="D213">
        <v>-1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1</v>
      </c>
    </row>
    <row r="215" spans="2:10">
      <c r="B215" t="s">
        <v>121</v>
      </c>
      <c r="C215">
        <v>-942</v>
      </c>
      <c r="D215">
        <v>-621</v>
      </c>
      <c r="E215">
        <v>677</v>
      </c>
      <c r="F215">
        <v>-186</v>
      </c>
      <c r="G215">
        <v>21</v>
      </c>
      <c r="H215">
        <v>-315</v>
      </c>
      <c r="I215">
        <v>525</v>
      </c>
      <c r="J215">
        <v>-678</v>
      </c>
    </row>
    <row r="216" spans="2:10">
      <c r="B216" t="s">
        <v>122</v>
      </c>
      <c r="C216">
        <v>63</v>
      </c>
      <c r="D216">
        <v>442</v>
      </c>
      <c r="E216">
        <v>137</v>
      </c>
      <c r="F216">
        <v>-439</v>
      </c>
      <c r="G216">
        <v>-223</v>
      </c>
      <c r="H216">
        <v>-170</v>
      </c>
      <c r="I216">
        <v>144</v>
      </c>
      <c r="J216">
        <v>-387</v>
      </c>
    </row>
    <row r="217" spans="2:10">
      <c r="B217" t="s">
        <v>123</v>
      </c>
      <c r="C217">
        <v>610</v>
      </c>
      <c r="D217">
        <v>-423</v>
      </c>
      <c r="E217">
        <v>-263</v>
      </c>
      <c r="F217">
        <v>-31</v>
      </c>
      <c r="G217">
        <v>575</v>
      </c>
      <c r="H217">
        <v>-5</v>
      </c>
      <c r="I217">
        <v>280</v>
      </c>
      <c r="J217" s="40">
        <v>1066</v>
      </c>
    </row>
    <row r="218" spans="2:10">
      <c r="B218" t="s">
        <v>124</v>
      </c>
      <c r="C218">
        <v>328</v>
      </c>
      <c r="D218">
        <v>200</v>
      </c>
      <c r="E218">
        <v>-331</v>
      </c>
      <c r="F218">
        <v>463</v>
      </c>
      <c r="G218">
        <v>79</v>
      </c>
      <c r="H218">
        <v>223</v>
      </c>
      <c r="I218">
        <v>-690</v>
      </c>
      <c r="J218">
        <v>301</v>
      </c>
    </row>
    <row r="219" spans="2:10">
      <c r="B219" t="s">
        <v>17</v>
      </c>
      <c r="C219">
        <v>473</v>
      </c>
      <c r="D219">
        <v>-93</v>
      </c>
      <c r="E219">
        <v>571</v>
      </c>
      <c r="F219">
        <v>173</v>
      </c>
      <c r="G219" s="40">
        <v>1248</v>
      </c>
      <c r="H219">
        <v>30</v>
      </c>
      <c r="I219">
        <v>512</v>
      </c>
      <c r="J219">
        <v>580</v>
      </c>
    </row>
    <row r="220" spans="2:10">
      <c r="B220" t="s">
        <v>125</v>
      </c>
      <c r="C220">
        <v>-12</v>
      </c>
      <c r="D220">
        <v>35</v>
      </c>
      <c r="E220">
        <v>-12</v>
      </c>
      <c r="F220">
        <v>-6</v>
      </c>
      <c r="G220">
        <v>4</v>
      </c>
      <c r="H220">
        <v>-7</v>
      </c>
      <c r="I220">
        <v>-26</v>
      </c>
      <c r="J220">
        <v>2</v>
      </c>
    </row>
    <row r="221" spans="2:10">
      <c r="B221" t="s">
        <v>126</v>
      </c>
      <c r="C221">
        <v>0</v>
      </c>
      <c r="D221">
        <v>0</v>
      </c>
      <c r="E221">
        <v>0</v>
      </c>
      <c r="F221">
        <v>0</v>
      </c>
      <c r="G221">
        <v>-5</v>
      </c>
      <c r="H221">
        <v>5</v>
      </c>
      <c r="I221">
        <v>0</v>
      </c>
      <c r="J221">
        <v>5</v>
      </c>
    </row>
    <row r="222" spans="2:10">
      <c r="B222" t="s">
        <v>19</v>
      </c>
      <c r="C222">
        <v>30</v>
      </c>
      <c r="D222">
        <v>-30</v>
      </c>
      <c r="E222">
        <v>-15</v>
      </c>
      <c r="F222">
        <v>0</v>
      </c>
      <c r="G222">
        <v>0</v>
      </c>
      <c r="H222">
        <v>0</v>
      </c>
      <c r="I222">
        <v>0</v>
      </c>
      <c r="J222">
        <v>-15</v>
      </c>
    </row>
    <row r="223" spans="2:10">
      <c r="B223" t="s">
        <v>127</v>
      </c>
      <c r="C223">
        <v>1</v>
      </c>
      <c r="D223">
        <v>31</v>
      </c>
      <c r="E223">
        <v>0</v>
      </c>
      <c r="F223">
        <v>0</v>
      </c>
      <c r="G223">
        <v>1</v>
      </c>
      <c r="H223">
        <v>1</v>
      </c>
      <c r="I223">
        <v>2</v>
      </c>
      <c r="J223">
        <v>24</v>
      </c>
    </row>
    <row r="224" spans="2:10">
      <c r="B224" t="s">
        <v>18</v>
      </c>
      <c r="C224">
        <v>-246</v>
      </c>
      <c r="D224">
        <v>-274</v>
      </c>
      <c r="E224">
        <v>-464</v>
      </c>
      <c r="F224">
        <v>-490</v>
      </c>
      <c r="G224">
        <v>-386</v>
      </c>
      <c r="H224">
        <v>-143</v>
      </c>
      <c r="I224">
        <v>-330</v>
      </c>
      <c r="J224">
        <v>-254</v>
      </c>
    </row>
    <row r="225" spans="2:10">
      <c r="B225" t="s">
        <v>128</v>
      </c>
      <c r="C225">
        <v>60</v>
      </c>
      <c r="D225">
        <v>178</v>
      </c>
      <c r="E225">
        <v>-54</v>
      </c>
      <c r="F225">
        <v>115</v>
      </c>
      <c r="G225">
        <v>-682</v>
      </c>
      <c r="H225">
        <v>18</v>
      </c>
      <c r="I225">
        <v>93</v>
      </c>
      <c r="J225">
        <v>-65</v>
      </c>
    </row>
    <row r="226" spans="2:10">
      <c r="B226" t="s">
        <v>129</v>
      </c>
      <c r="C226">
        <v>-197</v>
      </c>
      <c r="D226">
        <v>-60</v>
      </c>
      <c r="E226">
        <v>-543</v>
      </c>
      <c r="F226">
        <v>-382</v>
      </c>
      <c r="G226">
        <v>-932</v>
      </c>
      <c r="H226">
        <v>-134</v>
      </c>
      <c r="I226">
        <v>-260</v>
      </c>
      <c r="J226">
        <v>-303</v>
      </c>
    </row>
    <row r="227" spans="2:10">
      <c r="B227" t="s">
        <v>130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131</v>
      </c>
      <c r="C228">
        <v>0</v>
      </c>
      <c r="D228">
        <v>0</v>
      </c>
      <c r="E228">
        <v>0</v>
      </c>
      <c r="F228">
        <v>-141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132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133</v>
      </c>
      <c r="C230">
        <v>-96</v>
      </c>
      <c r="D230">
        <v>43</v>
      </c>
      <c r="E230">
        <v>429</v>
      </c>
      <c r="F230">
        <v>-223</v>
      </c>
      <c r="G230">
        <v>-532</v>
      </c>
      <c r="H230">
        <v>124</v>
      </c>
      <c r="I230">
        <v>7</v>
      </c>
      <c r="J230">
        <v>167</v>
      </c>
    </row>
    <row r="231" spans="2:10">
      <c r="B231" t="s">
        <v>134</v>
      </c>
      <c r="C231">
        <v>255</v>
      </c>
      <c r="D231">
        <v>-362</v>
      </c>
      <c r="E231">
        <v>363</v>
      </c>
      <c r="F231">
        <v>-79</v>
      </c>
      <c r="G231">
        <v>289</v>
      </c>
      <c r="H231">
        <v>-187</v>
      </c>
      <c r="I231">
        <v>-163</v>
      </c>
      <c r="J231">
        <v>368</v>
      </c>
    </row>
    <row r="232" spans="2:10">
      <c r="B232" t="s">
        <v>135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-24</v>
      </c>
    </row>
    <row r="234" spans="2:10">
      <c r="B234" t="s">
        <v>137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138</v>
      </c>
      <c r="C235">
        <v>-96</v>
      </c>
      <c r="D235">
        <v>18</v>
      </c>
      <c r="E235">
        <v>9</v>
      </c>
      <c r="F235">
        <v>-29</v>
      </c>
      <c r="G235">
        <v>-82</v>
      </c>
      <c r="H235">
        <v>24</v>
      </c>
      <c r="I235">
        <v>-16</v>
      </c>
      <c r="J235">
        <v>-81</v>
      </c>
    </row>
    <row r="236" spans="2:10">
      <c r="B236" t="s">
        <v>139</v>
      </c>
      <c r="C236">
        <v>63</v>
      </c>
      <c r="D236">
        <v>-300</v>
      </c>
      <c r="E236">
        <v>801</v>
      </c>
      <c r="F236">
        <v>-473</v>
      </c>
      <c r="G236">
        <v>-325</v>
      </c>
      <c r="H236">
        <v>-39</v>
      </c>
      <c r="I236">
        <v>-173</v>
      </c>
      <c r="J236">
        <v>430</v>
      </c>
    </row>
    <row r="237" spans="2:10">
      <c r="B237" t="s">
        <v>140</v>
      </c>
      <c r="C237">
        <v>399</v>
      </c>
      <c r="D237">
        <v>-100</v>
      </c>
      <c r="E237">
        <v>-68</v>
      </c>
      <c r="F237">
        <v>164</v>
      </c>
      <c r="G237">
        <v>188</v>
      </c>
      <c r="H237">
        <v>-96</v>
      </c>
      <c r="I237">
        <v>35</v>
      </c>
      <c r="J237">
        <v>68</v>
      </c>
    </row>
    <row r="238" spans="2:10">
      <c r="B238" t="s">
        <v>141</v>
      </c>
      <c r="C238">
        <v>738</v>
      </c>
      <c r="D238">
        <v>-554</v>
      </c>
      <c r="E238">
        <v>762</v>
      </c>
      <c r="F238">
        <v>-517</v>
      </c>
      <c r="G238">
        <v>178</v>
      </c>
      <c r="H238">
        <v>-240</v>
      </c>
      <c r="I238">
        <v>113</v>
      </c>
      <c r="J238">
        <v>775</v>
      </c>
    </row>
    <row r="239" spans="2:10">
      <c r="B239" t="s">
        <v>142</v>
      </c>
      <c r="C239" s="40">
        <v>5800</v>
      </c>
      <c r="D239" s="40">
        <v>6354</v>
      </c>
      <c r="E239" s="40">
        <v>5592</v>
      </c>
      <c r="F239" s="40">
        <v>6110</v>
      </c>
      <c r="G239" s="40">
        <v>5931</v>
      </c>
      <c r="H239" s="40">
        <v>6171</v>
      </c>
      <c r="I239" s="40">
        <v>6058</v>
      </c>
      <c r="J239" s="40">
        <v>5283</v>
      </c>
    </row>
    <row r="240" spans="2:10">
      <c r="B240" t="s">
        <v>143</v>
      </c>
      <c r="C240" s="40">
        <v>6538</v>
      </c>
      <c r="D240" s="40">
        <v>5800</v>
      </c>
      <c r="E240" s="40">
        <v>6354</v>
      </c>
      <c r="F240" s="40">
        <v>5592</v>
      </c>
      <c r="G240" s="40">
        <v>6110</v>
      </c>
      <c r="H240" s="40">
        <v>5931</v>
      </c>
      <c r="I240" s="40">
        <v>6171</v>
      </c>
      <c r="J240" s="40">
        <v>6058</v>
      </c>
    </row>
    <row r="241" spans="2:10">
      <c r="B241" t="s">
        <v>144</v>
      </c>
      <c r="C241">
        <v>25</v>
      </c>
      <c r="D241">
        <v>25</v>
      </c>
      <c r="E241">
        <v>26</v>
      </c>
      <c r="F241">
        <v>24</v>
      </c>
      <c r="G241">
        <v>26</v>
      </c>
      <c r="H241">
        <v>27</v>
      </c>
      <c r="I241">
        <v>29</v>
      </c>
      <c r="J241">
        <v>15</v>
      </c>
    </row>
    <row r="242" spans="2:10">
      <c r="B242" t="s">
        <v>145</v>
      </c>
      <c r="C242" t="s">
        <v>96</v>
      </c>
      <c r="D242" t="s">
        <v>96</v>
      </c>
      <c r="E242" t="s">
        <v>96</v>
      </c>
      <c r="F242" t="s">
        <v>96</v>
      </c>
      <c r="G242" t="s">
        <v>96</v>
      </c>
      <c r="H242" t="s">
        <v>96</v>
      </c>
      <c r="I242" t="s">
        <v>96</v>
      </c>
      <c r="J242" t="s">
        <v>96</v>
      </c>
    </row>
    <row r="243" spans="2:10">
      <c r="B243" t="s">
        <v>146</v>
      </c>
    </row>
    <row r="244" spans="2:10">
      <c r="B244" t="s">
        <v>147</v>
      </c>
    </row>
    <row r="245" spans="2:10">
      <c r="B245" t="s">
        <v>108</v>
      </c>
    </row>
    <row r="246" spans="2:10">
      <c r="B246" t="s">
        <v>109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246"/>
  <sheetViews>
    <sheetView workbookViewId="0">
      <selection sqref="A1:XFD1000"/>
    </sheetView>
  </sheetViews>
  <sheetFormatPr defaultRowHeight="16.5"/>
  <cols>
    <col min="2" max="2" width="81" bestFit="1" customWidth="1"/>
    <col min="3" max="10" width="7.375" bestFit="1" customWidth="1"/>
  </cols>
  <sheetData>
    <row r="2" spans="2:10">
      <c r="B2" t="s">
        <v>2582</v>
      </c>
    </row>
    <row r="3" spans="2:10">
      <c r="B3" t="s">
        <v>45</v>
      </c>
    </row>
    <row r="4" spans="2:10">
      <c r="B4" t="s">
        <v>46</v>
      </c>
      <c r="C4" t="s">
        <v>1888</v>
      </c>
      <c r="D4" t="s">
        <v>220</v>
      </c>
      <c r="E4" t="s">
        <v>47</v>
      </c>
      <c r="F4" t="s">
        <v>48</v>
      </c>
      <c r="G4" t="s">
        <v>49</v>
      </c>
      <c r="H4" t="s">
        <v>50</v>
      </c>
      <c r="I4" t="s">
        <v>51</v>
      </c>
      <c r="J4" t="s">
        <v>52</v>
      </c>
    </row>
    <row r="5" spans="2:10">
      <c r="B5" t="s">
        <v>8</v>
      </c>
      <c r="C5" s="40">
        <v>1530</v>
      </c>
      <c r="D5" s="40">
        <v>1434</v>
      </c>
      <c r="E5" s="40">
        <v>1314</v>
      </c>
      <c r="F5" s="40">
        <v>1523</v>
      </c>
      <c r="G5" s="40">
        <v>1536</v>
      </c>
      <c r="H5" s="40">
        <v>1612</v>
      </c>
      <c r="I5" s="40">
        <v>1269</v>
      </c>
      <c r="J5" s="40">
        <v>1499</v>
      </c>
    </row>
    <row r="6" spans="2:10">
      <c r="B6" t="s">
        <v>9</v>
      </c>
      <c r="C6" s="40">
        <v>1150</v>
      </c>
      <c r="D6" s="40">
        <v>1114</v>
      </c>
      <c r="E6" s="40">
        <v>1007</v>
      </c>
      <c r="F6" s="40">
        <v>1149</v>
      </c>
      <c r="G6" s="40">
        <v>1181</v>
      </c>
      <c r="H6" s="40">
        <v>1200</v>
      </c>
      <c r="I6">
        <v>981</v>
      </c>
      <c r="J6" s="40">
        <v>1186</v>
      </c>
    </row>
    <row r="7" spans="2:10">
      <c r="B7" t="s">
        <v>53</v>
      </c>
      <c r="C7">
        <v>381</v>
      </c>
      <c r="D7">
        <v>321</v>
      </c>
      <c r="E7">
        <v>308</v>
      </c>
      <c r="F7">
        <v>373</v>
      </c>
      <c r="G7">
        <v>355</v>
      </c>
      <c r="H7">
        <v>412</v>
      </c>
      <c r="I7">
        <v>288</v>
      </c>
      <c r="J7">
        <v>313</v>
      </c>
    </row>
    <row r="8" spans="2:10">
      <c r="B8" t="s">
        <v>54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55</v>
      </c>
      <c r="C9">
        <v>381</v>
      </c>
      <c r="D9">
        <v>321</v>
      </c>
      <c r="E9">
        <v>308</v>
      </c>
      <c r="F9">
        <v>373</v>
      </c>
      <c r="G9">
        <v>355</v>
      </c>
      <c r="H9">
        <v>412</v>
      </c>
      <c r="I9">
        <v>288</v>
      </c>
      <c r="J9">
        <v>313</v>
      </c>
    </row>
    <row r="10" spans="2:10">
      <c r="B10" t="s">
        <v>56</v>
      </c>
      <c r="C10">
        <v>175</v>
      </c>
      <c r="D10">
        <v>169</v>
      </c>
      <c r="E10">
        <v>153</v>
      </c>
      <c r="F10">
        <v>176</v>
      </c>
      <c r="G10">
        <v>169</v>
      </c>
      <c r="H10">
        <v>167</v>
      </c>
      <c r="I10">
        <v>168</v>
      </c>
      <c r="J10">
        <v>171</v>
      </c>
    </row>
    <row r="11" spans="2:10">
      <c r="B11" t="s">
        <v>57</v>
      </c>
      <c r="C11">
        <v>63</v>
      </c>
      <c r="D11">
        <v>38</v>
      </c>
      <c r="E11">
        <v>42</v>
      </c>
      <c r="F11">
        <v>47</v>
      </c>
      <c r="G11">
        <v>54</v>
      </c>
      <c r="H11">
        <v>46</v>
      </c>
      <c r="I11">
        <v>43</v>
      </c>
      <c r="J11">
        <v>45</v>
      </c>
    </row>
    <row r="12" spans="2:10">
      <c r="B12" t="s">
        <v>58</v>
      </c>
      <c r="C12">
        <v>50</v>
      </c>
      <c r="D12">
        <v>69</v>
      </c>
      <c r="E12">
        <v>55</v>
      </c>
      <c r="F12">
        <v>66</v>
      </c>
      <c r="G12">
        <v>62</v>
      </c>
      <c r="H12">
        <v>56</v>
      </c>
      <c r="I12">
        <v>54</v>
      </c>
      <c r="J12">
        <v>64</v>
      </c>
    </row>
    <row r="13" spans="2:10">
      <c r="B13" t="s">
        <v>59</v>
      </c>
      <c r="C13">
        <v>62</v>
      </c>
      <c r="D13">
        <v>62</v>
      </c>
      <c r="E13">
        <v>56</v>
      </c>
      <c r="F13">
        <v>63</v>
      </c>
      <c r="G13">
        <v>53</v>
      </c>
      <c r="H13">
        <v>66</v>
      </c>
      <c r="I13">
        <v>70</v>
      </c>
      <c r="J13">
        <v>62</v>
      </c>
    </row>
    <row r="14" spans="2:10">
      <c r="B14" t="s">
        <v>60</v>
      </c>
      <c r="C14">
        <v>206</v>
      </c>
      <c r="D14">
        <v>151</v>
      </c>
      <c r="E14">
        <v>154</v>
      </c>
      <c r="F14">
        <v>197</v>
      </c>
      <c r="G14">
        <v>185</v>
      </c>
      <c r="H14">
        <v>245</v>
      </c>
      <c r="I14">
        <v>120</v>
      </c>
      <c r="J14">
        <v>142</v>
      </c>
    </row>
    <row r="15" spans="2:10">
      <c r="B15" t="s">
        <v>61</v>
      </c>
      <c r="C15">
        <v>15</v>
      </c>
      <c r="D15">
        <v>4</v>
      </c>
      <c r="E15">
        <v>4</v>
      </c>
      <c r="F15">
        <v>7</v>
      </c>
      <c r="G15">
        <v>10</v>
      </c>
      <c r="H15">
        <v>6</v>
      </c>
      <c r="I15">
        <v>6</v>
      </c>
      <c r="J15">
        <v>10</v>
      </c>
    </row>
    <row r="16" spans="2:10">
      <c r="B16" t="s">
        <v>62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2:10">
      <c r="B17" t="s">
        <v>63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64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65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66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67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68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69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71</v>
      </c>
      <c r="C25">
        <v>49</v>
      </c>
      <c r="D25">
        <v>3</v>
      </c>
      <c r="E25">
        <v>26</v>
      </c>
      <c r="F25">
        <v>7</v>
      </c>
      <c r="G25">
        <v>13</v>
      </c>
      <c r="H25">
        <v>1</v>
      </c>
      <c r="I25">
        <v>6</v>
      </c>
      <c r="J25">
        <v>0</v>
      </c>
    </row>
    <row r="26" spans="2:10">
      <c r="B26" t="s">
        <v>72</v>
      </c>
      <c r="C26">
        <v>13</v>
      </c>
      <c r="D26">
        <v>2</v>
      </c>
      <c r="E26">
        <v>8</v>
      </c>
      <c r="F26">
        <v>10</v>
      </c>
      <c r="G26">
        <v>13</v>
      </c>
      <c r="H26">
        <v>6</v>
      </c>
      <c r="I26">
        <v>7</v>
      </c>
      <c r="J26">
        <v>20</v>
      </c>
    </row>
    <row r="27" spans="2:10">
      <c r="B27" t="s">
        <v>73</v>
      </c>
      <c r="C27">
        <v>78</v>
      </c>
      <c r="D27">
        <v>9</v>
      </c>
      <c r="E27">
        <v>38</v>
      </c>
      <c r="F27">
        <v>24</v>
      </c>
      <c r="G27">
        <v>36</v>
      </c>
      <c r="H27">
        <v>13</v>
      </c>
      <c r="I27">
        <v>19</v>
      </c>
      <c r="J27">
        <v>30</v>
      </c>
    </row>
    <row r="28" spans="2:10">
      <c r="B28" t="s">
        <v>74</v>
      </c>
      <c r="C28">
        <v>1</v>
      </c>
      <c r="D28">
        <v>2</v>
      </c>
      <c r="E28">
        <v>2</v>
      </c>
      <c r="F28">
        <v>1</v>
      </c>
      <c r="G28">
        <v>1</v>
      </c>
      <c r="H28">
        <v>2</v>
      </c>
      <c r="I28">
        <v>5</v>
      </c>
      <c r="J28">
        <v>2</v>
      </c>
    </row>
    <row r="29" spans="2:10">
      <c r="B29" t="s">
        <v>75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76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77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78</v>
      </c>
      <c r="C32">
        <v>1</v>
      </c>
      <c r="D32">
        <v>0</v>
      </c>
      <c r="E32">
        <v>0</v>
      </c>
      <c r="F32">
        <v>20</v>
      </c>
      <c r="G32">
        <v>1</v>
      </c>
      <c r="H32">
        <v>0</v>
      </c>
      <c r="I32">
        <v>1</v>
      </c>
      <c r="J32">
        <v>2</v>
      </c>
    </row>
    <row r="33" spans="2:10">
      <c r="B33" t="s">
        <v>79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82</v>
      </c>
      <c r="C36">
        <v>0</v>
      </c>
      <c r="D36">
        <v>0</v>
      </c>
      <c r="E36">
        <v>0</v>
      </c>
      <c r="F36">
        <v>17</v>
      </c>
      <c r="G36">
        <v>0</v>
      </c>
      <c r="H36">
        <v>0</v>
      </c>
      <c r="I36">
        <v>0</v>
      </c>
      <c r="J36">
        <v>0</v>
      </c>
    </row>
    <row r="37" spans="2:10">
      <c r="B37" t="s">
        <v>83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</v>
      </c>
    </row>
    <row r="39" spans="2:10">
      <c r="B39" t="s">
        <v>85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86</v>
      </c>
      <c r="C40">
        <v>1</v>
      </c>
      <c r="D40">
        <v>1</v>
      </c>
      <c r="E40">
        <v>0</v>
      </c>
      <c r="F40">
        <v>0</v>
      </c>
      <c r="G40">
        <v>1</v>
      </c>
      <c r="H40">
        <v>0</v>
      </c>
      <c r="I40">
        <v>0</v>
      </c>
      <c r="J40">
        <v>1</v>
      </c>
    </row>
    <row r="41" spans="2:10">
      <c r="B41" t="s">
        <v>87</v>
      </c>
      <c r="C41">
        <v>3</v>
      </c>
      <c r="D41">
        <v>2</v>
      </c>
      <c r="E41">
        <v>2</v>
      </c>
      <c r="F41">
        <v>38</v>
      </c>
      <c r="G41">
        <v>3</v>
      </c>
      <c r="H41">
        <v>2</v>
      </c>
      <c r="I41">
        <v>6</v>
      </c>
      <c r="J41">
        <v>13</v>
      </c>
    </row>
    <row r="42" spans="2:10">
      <c r="B42" t="s">
        <v>88</v>
      </c>
      <c r="C42">
        <v>282</v>
      </c>
      <c r="D42">
        <v>158</v>
      </c>
      <c r="E42">
        <v>190</v>
      </c>
      <c r="F42">
        <v>184</v>
      </c>
      <c r="G42">
        <v>219</v>
      </c>
      <c r="H42">
        <v>256</v>
      </c>
      <c r="I42">
        <v>133</v>
      </c>
      <c r="J42">
        <v>158</v>
      </c>
    </row>
    <row r="43" spans="2:10">
      <c r="B43" t="s">
        <v>89</v>
      </c>
      <c r="C43">
        <v>61</v>
      </c>
      <c r="D43">
        <v>56</v>
      </c>
      <c r="E43">
        <v>59</v>
      </c>
      <c r="F43">
        <v>54</v>
      </c>
      <c r="G43">
        <v>56</v>
      </c>
      <c r="H43">
        <v>84</v>
      </c>
      <c r="I43">
        <v>26</v>
      </c>
      <c r="J43">
        <v>27</v>
      </c>
    </row>
    <row r="44" spans="2:10">
      <c r="B44" t="s">
        <v>90</v>
      </c>
      <c r="C44">
        <v>221</v>
      </c>
      <c r="D44">
        <v>102</v>
      </c>
      <c r="E44">
        <v>131</v>
      </c>
      <c r="F44">
        <v>130</v>
      </c>
      <c r="G44">
        <v>162</v>
      </c>
      <c r="H44">
        <v>171</v>
      </c>
      <c r="I44">
        <v>107</v>
      </c>
      <c r="J44">
        <v>131</v>
      </c>
    </row>
    <row r="45" spans="2:10">
      <c r="B45" t="s">
        <v>91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94</v>
      </c>
      <c r="C48">
        <v>221</v>
      </c>
      <c r="D48">
        <v>102</v>
      </c>
      <c r="E48">
        <v>131</v>
      </c>
      <c r="F48">
        <v>130</v>
      </c>
      <c r="G48">
        <v>162</v>
      </c>
      <c r="H48">
        <v>171</v>
      </c>
      <c r="I48">
        <v>107</v>
      </c>
      <c r="J48">
        <v>131</v>
      </c>
    </row>
    <row r="49" spans="2:10">
      <c r="B49" t="s">
        <v>95</v>
      </c>
      <c r="C49" t="s">
        <v>96</v>
      </c>
      <c r="D49" t="s">
        <v>96</v>
      </c>
      <c r="E49" t="s">
        <v>96</v>
      </c>
      <c r="F49" t="s">
        <v>96</v>
      </c>
      <c r="G49" t="s">
        <v>96</v>
      </c>
      <c r="H49" t="s">
        <v>96</v>
      </c>
      <c r="I49" t="s">
        <v>96</v>
      </c>
      <c r="J49" t="s">
        <v>96</v>
      </c>
    </row>
    <row r="50" spans="2:10">
      <c r="B50" t="s">
        <v>97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98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11</v>
      </c>
      <c r="C52">
        <v>221</v>
      </c>
      <c r="D52">
        <v>102</v>
      </c>
      <c r="E52">
        <v>131</v>
      </c>
      <c r="F52">
        <v>130</v>
      </c>
      <c r="G52">
        <v>162</v>
      </c>
      <c r="H52">
        <v>171</v>
      </c>
      <c r="I52">
        <v>107</v>
      </c>
      <c r="J52">
        <v>131</v>
      </c>
    </row>
    <row r="53" spans="2:10">
      <c r="B53" t="s">
        <v>12</v>
      </c>
      <c r="C53">
        <v>2.56</v>
      </c>
      <c r="D53">
        <v>1.18</v>
      </c>
      <c r="E53">
        <v>1.52</v>
      </c>
      <c r="F53">
        <v>1.5</v>
      </c>
      <c r="G53">
        <v>1.88</v>
      </c>
      <c r="H53">
        <v>1.99</v>
      </c>
      <c r="I53">
        <v>1.24</v>
      </c>
      <c r="J53">
        <v>1.52</v>
      </c>
    </row>
    <row r="54" spans="2:10">
      <c r="B54" t="s">
        <v>99</v>
      </c>
      <c r="C54">
        <v>2.56</v>
      </c>
      <c r="D54">
        <v>1.18</v>
      </c>
      <c r="E54">
        <v>1.52</v>
      </c>
      <c r="F54" t="s">
        <v>96</v>
      </c>
      <c r="G54">
        <v>1.88</v>
      </c>
      <c r="H54">
        <v>1.99</v>
      </c>
      <c r="I54">
        <v>1.24</v>
      </c>
      <c r="J54" t="s">
        <v>96</v>
      </c>
    </row>
    <row r="55" spans="2:10">
      <c r="B55" t="s">
        <v>100</v>
      </c>
      <c r="C55">
        <v>863</v>
      </c>
      <c r="D55">
        <v>863</v>
      </c>
      <c r="E55">
        <v>863</v>
      </c>
      <c r="F55">
        <v>863</v>
      </c>
      <c r="G55">
        <v>863</v>
      </c>
      <c r="H55">
        <v>863</v>
      </c>
      <c r="I55">
        <v>863</v>
      </c>
      <c r="J55">
        <v>863</v>
      </c>
    </row>
    <row r="56" spans="2:10">
      <c r="B56" t="s">
        <v>101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102</v>
      </c>
      <c r="C57" t="s">
        <v>96</v>
      </c>
      <c r="D57" t="s">
        <v>96</v>
      </c>
      <c r="E57" t="s">
        <v>96</v>
      </c>
      <c r="F57">
        <v>0</v>
      </c>
      <c r="G57" t="s">
        <v>96</v>
      </c>
      <c r="H57" t="s">
        <v>96</v>
      </c>
      <c r="I57" t="s">
        <v>96</v>
      </c>
      <c r="J57">
        <v>0</v>
      </c>
    </row>
    <row r="58" spans="2:10">
      <c r="B58" t="s">
        <v>103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104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105</v>
      </c>
      <c r="C60">
        <v>283</v>
      </c>
      <c r="D60">
        <v>160</v>
      </c>
      <c r="E60">
        <v>191</v>
      </c>
      <c r="F60">
        <v>185</v>
      </c>
      <c r="G60">
        <v>220</v>
      </c>
      <c r="H60">
        <v>257</v>
      </c>
      <c r="I60">
        <v>138</v>
      </c>
      <c r="J60">
        <v>161</v>
      </c>
    </row>
    <row r="61" spans="2:10">
      <c r="B61" t="s">
        <v>106</v>
      </c>
      <c r="C61">
        <v>310</v>
      </c>
      <c r="D61">
        <v>186</v>
      </c>
      <c r="E61">
        <v>218</v>
      </c>
      <c r="F61">
        <v>212</v>
      </c>
      <c r="G61">
        <v>246</v>
      </c>
      <c r="H61">
        <v>282</v>
      </c>
      <c r="I61">
        <v>162</v>
      </c>
      <c r="J61">
        <v>185</v>
      </c>
    </row>
    <row r="62" spans="2:10">
      <c r="B62" t="s">
        <v>107</v>
      </c>
      <c r="C62">
        <v>220</v>
      </c>
      <c r="D62">
        <v>102</v>
      </c>
      <c r="E62">
        <v>132</v>
      </c>
      <c r="F62">
        <v>166</v>
      </c>
      <c r="G62">
        <v>163</v>
      </c>
      <c r="H62">
        <v>172</v>
      </c>
      <c r="I62">
        <v>108</v>
      </c>
      <c r="J62">
        <v>133</v>
      </c>
    </row>
    <row r="63" spans="2:10">
      <c r="B63" t="s">
        <v>108</v>
      </c>
    </row>
    <row r="64" spans="2:10">
      <c r="B64" t="s">
        <v>109</v>
      </c>
    </row>
    <row r="101" spans="2:10">
      <c r="B101" t="s">
        <v>2583</v>
      </c>
    </row>
    <row r="102" spans="2:10">
      <c r="B102" t="s">
        <v>45</v>
      </c>
    </row>
    <row r="103" spans="2:10">
      <c r="B103" t="s">
        <v>46</v>
      </c>
      <c r="C103" t="s">
        <v>1888</v>
      </c>
      <c r="D103" t="s">
        <v>220</v>
      </c>
      <c r="E103" t="s">
        <v>47</v>
      </c>
      <c r="F103" t="s">
        <v>48</v>
      </c>
      <c r="G103" t="s">
        <v>49</v>
      </c>
      <c r="H103" t="s">
        <v>50</v>
      </c>
      <c r="I103" t="s">
        <v>51</v>
      </c>
      <c r="J103" t="s">
        <v>52</v>
      </c>
    </row>
    <row r="104" spans="2:10">
      <c r="B104" t="s">
        <v>149</v>
      </c>
      <c r="C104" s="40">
        <v>1992</v>
      </c>
      <c r="D104" s="40">
        <v>2009</v>
      </c>
      <c r="E104" s="40">
        <v>2188</v>
      </c>
      <c r="F104" s="40">
        <v>1621</v>
      </c>
      <c r="G104" s="40">
        <v>1569</v>
      </c>
      <c r="H104" s="40">
        <v>1709</v>
      </c>
      <c r="I104" s="40">
        <v>1819</v>
      </c>
      <c r="J104" s="40">
        <v>1842</v>
      </c>
    </row>
    <row r="105" spans="2:10">
      <c r="B105" t="s">
        <v>150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187</v>
      </c>
      <c r="C106" s="40">
        <v>1722</v>
      </c>
      <c r="D106" s="40">
        <v>1503</v>
      </c>
      <c r="E106" s="40">
        <v>1545</v>
      </c>
      <c r="F106" s="40">
        <v>1819</v>
      </c>
      <c r="G106" s="40">
        <v>1784</v>
      </c>
      <c r="H106" s="40">
        <v>1757</v>
      </c>
      <c r="I106" s="40">
        <v>1522</v>
      </c>
      <c r="J106" s="40">
        <v>1735</v>
      </c>
    </row>
    <row r="107" spans="2:10">
      <c r="B107" t="s">
        <v>151</v>
      </c>
      <c r="C107">
        <v>4</v>
      </c>
      <c r="D107">
        <v>6</v>
      </c>
      <c r="E107">
        <v>7</v>
      </c>
      <c r="F107">
        <v>22</v>
      </c>
      <c r="G107">
        <v>7</v>
      </c>
      <c r="H107">
        <v>5</v>
      </c>
      <c r="I107">
        <v>6</v>
      </c>
      <c r="J107">
        <v>11</v>
      </c>
    </row>
    <row r="108" spans="2:10">
      <c r="B108" t="s">
        <v>188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13</v>
      </c>
      <c r="C109">
        <v>840</v>
      </c>
      <c r="D109">
        <v>670</v>
      </c>
      <c r="E109">
        <v>818</v>
      </c>
      <c r="F109">
        <v>773</v>
      </c>
      <c r="G109">
        <v>741</v>
      </c>
      <c r="H109">
        <v>695</v>
      </c>
      <c r="I109">
        <v>697</v>
      </c>
      <c r="J109">
        <v>728</v>
      </c>
    </row>
    <row r="110" spans="2:10">
      <c r="B110" t="s">
        <v>189</v>
      </c>
      <c r="C110" t="s">
        <v>96</v>
      </c>
      <c r="D110" t="s">
        <v>96</v>
      </c>
      <c r="E110" t="s">
        <v>96</v>
      </c>
      <c r="F110" t="s">
        <v>96</v>
      </c>
      <c r="G110" t="s">
        <v>96</v>
      </c>
      <c r="H110" t="s">
        <v>96</v>
      </c>
      <c r="I110" t="s">
        <v>96</v>
      </c>
      <c r="J110" t="s">
        <v>96</v>
      </c>
    </row>
    <row r="111" spans="2:10">
      <c r="B111" t="s">
        <v>152</v>
      </c>
      <c r="C111">
        <v>46</v>
      </c>
      <c r="D111">
        <v>44</v>
      </c>
      <c r="E111">
        <v>54</v>
      </c>
      <c r="F111">
        <v>31</v>
      </c>
      <c r="G111">
        <v>52</v>
      </c>
      <c r="H111">
        <v>27</v>
      </c>
      <c r="I111">
        <v>38</v>
      </c>
      <c r="J111">
        <v>31</v>
      </c>
    </row>
    <row r="112" spans="2:10">
      <c r="B112" t="s">
        <v>153</v>
      </c>
      <c r="C112">
        <v>25</v>
      </c>
      <c r="D112">
        <v>28</v>
      </c>
      <c r="E112">
        <v>19</v>
      </c>
      <c r="F112">
        <v>29</v>
      </c>
      <c r="G112">
        <v>39</v>
      </c>
      <c r="H112">
        <v>63</v>
      </c>
      <c r="I112">
        <v>24</v>
      </c>
      <c r="J112">
        <v>47</v>
      </c>
    </row>
    <row r="113" spans="2:10">
      <c r="B113" t="s">
        <v>154</v>
      </c>
      <c r="C113" s="40">
        <v>4629</v>
      </c>
      <c r="D113" s="40">
        <v>4260</v>
      </c>
      <c r="E113" s="40">
        <v>4629</v>
      </c>
      <c r="F113" s="40">
        <v>4296</v>
      </c>
      <c r="G113" s="40">
        <v>4192</v>
      </c>
      <c r="H113" s="40">
        <v>4256</v>
      </c>
      <c r="I113" s="40">
        <v>4107</v>
      </c>
      <c r="J113" s="40">
        <v>4392</v>
      </c>
    </row>
    <row r="114" spans="2:10">
      <c r="B114" t="s">
        <v>155</v>
      </c>
      <c r="C114">
        <v>104</v>
      </c>
      <c r="D114">
        <v>105</v>
      </c>
      <c r="E114">
        <v>105</v>
      </c>
      <c r="F114">
        <v>105</v>
      </c>
      <c r="G114">
        <v>122</v>
      </c>
      <c r="H114">
        <v>122</v>
      </c>
      <c r="I114">
        <v>122</v>
      </c>
      <c r="J114">
        <v>82</v>
      </c>
    </row>
    <row r="115" spans="2:10">
      <c r="B115" t="s">
        <v>156</v>
      </c>
      <c r="C115">
        <v>210</v>
      </c>
      <c r="D115">
        <v>210</v>
      </c>
      <c r="E115">
        <v>210</v>
      </c>
      <c r="F115">
        <v>210</v>
      </c>
      <c r="G115">
        <v>210</v>
      </c>
      <c r="H115">
        <v>210</v>
      </c>
      <c r="I115">
        <v>210</v>
      </c>
      <c r="J115">
        <v>132</v>
      </c>
    </row>
    <row r="116" spans="2:10">
      <c r="B116" t="s">
        <v>157</v>
      </c>
      <c r="C116">
        <v>630</v>
      </c>
      <c r="D116">
        <v>597</v>
      </c>
      <c r="E116">
        <v>604</v>
      </c>
      <c r="F116">
        <v>606</v>
      </c>
      <c r="G116">
        <v>588</v>
      </c>
      <c r="H116">
        <v>575</v>
      </c>
      <c r="I116">
        <v>584</v>
      </c>
      <c r="J116">
        <v>579</v>
      </c>
    </row>
    <row r="117" spans="2:10">
      <c r="B117" t="s">
        <v>158</v>
      </c>
      <c r="C117">
        <v>452</v>
      </c>
      <c r="D117">
        <v>418</v>
      </c>
      <c r="E117">
        <v>416</v>
      </c>
      <c r="F117">
        <v>421</v>
      </c>
      <c r="G117">
        <v>447</v>
      </c>
      <c r="H117">
        <v>415</v>
      </c>
      <c r="I117">
        <v>396</v>
      </c>
      <c r="J117">
        <v>399</v>
      </c>
    </row>
    <row r="118" spans="2:10">
      <c r="B118" t="s">
        <v>159</v>
      </c>
      <c r="C118">
        <v>149</v>
      </c>
      <c r="D118">
        <v>140</v>
      </c>
      <c r="E118">
        <v>139</v>
      </c>
      <c r="F118">
        <v>134</v>
      </c>
      <c r="G118">
        <v>139</v>
      </c>
      <c r="H118">
        <v>128</v>
      </c>
      <c r="I118">
        <v>122</v>
      </c>
      <c r="J118">
        <v>106</v>
      </c>
    </row>
    <row r="119" spans="2:10">
      <c r="B119" t="s">
        <v>160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161</v>
      </c>
      <c r="C120">
        <v>-490</v>
      </c>
      <c r="D120">
        <v>-453</v>
      </c>
      <c r="E120">
        <v>-433</v>
      </c>
      <c r="F120">
        <v>-417</v>
      </c>
      <c r="G120">
        <v>-415</v>
      </c>
      <c r="H120">
        <v>-382</v>
      </c>
      <c r="I120">
        <v>-367</v>
      </c>
      <c r="J120">
        <v>-349</v>
      </c>
    </row>
    <row r="121" spans="2:10">
      <c r="B121" t="s">
        <v>162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163</v>
      </c>
      <c r="C122">
        <v>49</v>
      </c>
      <c r="D122">
        <v>39</v>
      </c>
      <c r="E122">
        <v>29</v>
      </c>
      <c r="F122">
        <v>30</v>
      </c>
      <c r="G122">
        <v>29</v>
      </c>
      <c r="H122">
        <v>34</v>
      </c>
      <c r="I122">
        <v>35</v>
      </c>
      <c r="J122">
        <v>21</v>
      </c>
    </row>
    <row r="123" spans="2:10">
      <c r="B123" t="s">
        <v>164</v>
      </c>
      <c r="C123" s="40">
        <v>1000</v>
      </c>
      <c r="D123">
        <v>950</v>
      </c>
      <c r="E123">
        <v>966</v>
      </c>
      <c r="F123">
        <v>984</v>
      </c>
      <c r="G123">
        <v>999</v>
      </c>
      <c r="H123">
        <v>980</v>
      </c>
      <c r="I123">
        <v>980</v>
      </c>
      <c r="J123">
        <v>888</v>
      </c>
    </row>
    <row r="124" spans="2:10">
      <c r="B124" t="s">
        <v>165</v>
      </c>
      <c r="C124">
        <v>29</v>
      </c>
      <c r="D124">
        <v>27</v>
      </c>
      <c r="E124">
        <v>25</v>
      </c>
      <c r="F124">
        <v>24</v>
      </c>
      <c r="G124">
        <v>23</v>
      </c>
      <c r="H124">
        <v>22</v>
      </c>
      <c r="I124">
        <v>20</v>
      </c>
      <c r="J124">
        <v>22</v>
      </c>
    </row>
    <row r="125" spans="2:10">
      <c r="B125" t="s">
        <v>166</v>
      </c>
      <c r="C125">
        <v>3</v>
      </c>
      <c r="D125">
        <v>3</v>
      </c>
      <c r="E125">
        <v>3</v>
      </c>
      <c r="F125">
        <v>4</v>
      </c>
      <c r="G125">
        <v>4</v>
      </c>
      <c r="H125">
        <v>5</v>
      </c>
      <c r="I125">
        <v>5</v>
      </c>
      <c r="J125">
        <v>6</v>
      </c>
    </row>
    <row r="126" spans="2:10">
      <c r="B126" t="s">
        <v>167</v>
      </c>
      <c r="C126">
        <v>139</v>
      </c>
      <c r="D126">
        <v>129</v>
      </c>
      <c r="E126">
        <v>122</v>
      </c>
      <c r="F126">
        <v>124</v>
      </c>
      <c r="G126">
        <v>120</v>
      </c>
      <c r="H126">
        <v>118</v>
      </c>
      <c r="I126">
        <v>121</v>
      </c>
      <c r="J126">
        <v>122</v>
      </c>
    </row>
    <row r="127" spans="2:10">
      <c r="B127" t="s">
        <v>168</v>
      </c>
      <c r="C127">
        <v>171</v>
      </c>
      <c r="D127">
        <v>160</v>
      </c>
      <c r="E127">
        <v>150</v>
      </c>
      <c r="F127">
        <v>151</v>
      </c>
      <c r="G127">
        <v>147</v>
      </c>
      <c r="H127">
        <v>145</v>
      </c>
      <c r="I127">
        <v>146</v>
      </c>
      <c r="J127">
        <v>150</v>
      </c>
    </row>
    <row r="128" spans="2:10">
      <c r="B128" t="s">
        <v>16</v>
      </c>
      <c r="C128" s="40">
        <v>5904</v>
      </c>
      <c r="D128" s="40">
        <v>5474</v>
      </c>
      <c r="E128" s="40">
        <v>5850</v>
      </c>
      <c r="F128" s="40">
        <v>5536</v>
      </c>
      <c r="G128" s="40">
        <v>5460</v>
      </c>
      <c r="H128" s="40">
        <v>5502</v>
      </c>
      <c r="I128" s="40">
        <v>5356</v>
      </c>
      <c r="J128" s="40">
        <v>5511</v>
      </c>
    </row>
    <row r="129" spans="2:10">
      <c r="B129" t="s">
        <v>190</v>
      </c>
      <c r="C129">
        <v>413</v>
      </c>
      <c r="D129">
        <v>343</v>
      </c>
      <c r="E129">
        <v>564</v>
      </c>
      <c r="F129">
        <v>301</v>
      </c>
      <c r="G129">
        <v>388</v>
      </c>
      <c r="H129">
        <v>503</v>
      </c>
      <c r="I129">
        <v>609</v>
      </c>
      <c r="J129">
        <v>578</v>
      </c>
    </row>
    <row r="130" spans="2:10">
      <c r="B130" t="s">
        <v>191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14</v>
      </c>
      <c r="C131" s="40">
        <v>1453</v>
      </c>
      <c r="D131" s="40">
        <v>1109</v>
      </c>
      <c r="E131" s="40">
        <v>1292</v>
      </c>
      <c r="F131" s="40">
        <v>1357</v>
      </c>
      <c r="G131" s="40">
        <v>1392</v>
      </c>
      <c r="H131" s="40">
        <v>1304</v>
      </c>
      <c r="I131" s="40">
        <v>1245</v>
      </c>
      <c r="J131" s="40">
        <v>1506</v>
      </c>
    </row>
    <row r="132" spans="2:10">
      <c r="B132" t="s">
        <v>169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171</v>
      </c>
      <c r="C134">
        <v>325</v>
      </c>
      <c r="D134">
        <v>668</v>
      </c>
      <c r="E134">
        <v>351</v>
      </c>
      <c r="F134">
        <v>369</v>
      </c>
      <c r="G134">
        <v>418</v>
      </c>
      <c r="H134">
        <v>669</v>
      </c>
      <c r="I134">
        <v>341</v>
      </c>
      <c r="J134">
        <v>361</v>
      </c>
    </row>
    <row r="135" spans="2:10">
      <c r="B135" t="s">
        <v>172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2:10">
      <c r="B136" t="s">
        <v>173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174</v>
      </c>
      <c r="C137">
        <v>105</v>
      </c>
      <c r="D137">
        <v>59</v>
      </c>
      <c r="E137">
        <v>76</v>
      </c>
      <c r="F137">
        <v>61</v>
      </c>
      <c r="G137">
        <v>30</v>
      </c>
      <c r="H137">
        <v>21</v>
      </c>
      <c r="I137">
        <v>21</v>
      </c>
      <c r="J137">
        <v>33</v>
      </c>
    </row>
    <row r="138" spans="2:10">
      <c r="B138" t="s">
        <v>175</v>
      </c>
      <c r="C138" s="40">
        <v>2296</v>
      </c>
      <c r="D138" s="40">
        <v>2180</v>
      </c>
      <c r="E138" s="40">
        <v>2282</v>
      </c>
      <c r="F138" s="40">
        <v>2088</v>
      </c>
      <c r="G138" s="40">
        <v>2228</v>
      </c>
      <c r="H138" s="40">
        <v>2497</v>
      </c>
      <c r="I138" s="40">
        <v>2216</v>
      </c>
      <c r="J138" s="40">
        <v>2478</v>
      </c>
    </row>
    <row r="139" spans="2:10">
      <c r="B139" t="s">
        <v>176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177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178</v>
      </c>
      <c r="C141">
        <v>3</v>
      </c>
      <c r="D141">
        <v>3</v>
      </c>
      <c r="E141">
        <v>3</v>
      </c>
      <c r="F141">
        <v>4</v>
      </c>
      <c r="G141">
        <v>1</v>
      </c>
      <c r="H141">
        <v>1</v>
      </c>
      <c r="I141">
        <v>1</v>
      </c>
      <c r="J141">
        <v>2</v>
      </c>
    </row>
    <row r="142" spans="2:10">
      <c r="B142" t="s">
        <v>179</v>
      </c>
      <c r="C142">
        <v>252</v>
      </c>
      <c r="D142">
        <v>242</v>
      </c>
      <c r="E142">
        <v>241</v>
      </c>
      <c r="F142">
        <v>211</v>
      </c>
      <c r="G142">
        <v>214</v>
      </c>
      <c r="H142">
        <v>194</v>
      </c>
      <c r="I142">
        <v>188</v>
      </c>
      <c r="J142">
        <v>159</v>
      </c>
    </row>
    <row r="143" spans="2:10">
      <c r="B143" t="s">
        <v>180</v>
      </c>
      <c r="C143">
        <v>0</v>
      </c>
      <c r="D143">
        <v>0</v>
      </c>
      <c r="E143">
        <v>0</v>
      </c>
      <c r="F143">
        <v>26</v>
      </c>
      <c r="G143">
        <v>0</v>
      </c>
      <c r="H143">
        <v>0</v>
      </c>
      <c r="I143">
        <v>0</v>
      </c>
      <c r="J143">
        <v>26</v>
      </c>
    </row>
    <row r="144" spans="2:10">
      <c r="B144" t="s">
        <v>181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182</v>
      </c>
      <c r="C145">
        <v>5</v>
      </c>
      <c r="D145">
        <v>6</v>
      </c>
      <c r="E145">
        <v>8</v>
      </c>
      <c r="F145">
        <v>4</v>
      </c>
      <c r="G145">
        <v>4</v>
      </c>
      <c r="H145">
        <v>4</v>
      </c>
      <c r="I145">
        <v>7</v>
      </c>
      <c r="J145">
        <v>4</v>
      </c>
    </row>
    <row r="146" spans="2:10">
      <c r="B146" t="s">
        <v>183</v>
      </c>
      <c r="C146">
        <v>259</v>
      </c>
      <c r="D146">
        <v>250</v>
      </c>
      <c r="E146">
        <v>253</v>
      </c>
      <c r="F146">
        <v>245</v>
      </c>
      <c r="G146">
        <v>219</v>
      </c>
      <c r="H146">
        <v>200</v>
      </c>
      <c r="I146">
        <v>196</v>
      </c>
      <c r="J146">
        <v>191</v>
      </c>
    </row>
    <row r="147" spans="2:10">
      <c r="B147" t="s">
        <v>15</v>
      </c>
      <c r="C147" s="40">
        <v>2555</v>
      </c>
      <c r="D147" s="40">
        <v>2430</v>
      </c>
      <c r="E147" s="40">
        <v>2535</v>
      </c>
      <c r="F147" s="40">
        <v>2333</v>
      </c>
      <c r="G147" s="40">
        <v>2446</v>
      </c>
      <c r="H147" s="40">
        <v>2697</v>
      </c>
      <c r="I147" s="40">
        <v>2412</v>
      </c>
      <c r="J147" s="40">
        <v>2669</v>
      </c>
    </row>
    <row r="148" spans="2:10">
      <c r="B148" t="s">
        <v>184</v>
      </c>
      <c r="C148" s="40">
        <v>3349</v>
      </c>
      <c r="D148" s="40">
        <v>3044</v>
      </c>
      <c r="E148" s="40">
        <v>3315</v>
      </c>
      <c r="F148" s="40">
        <v>3203</v>
      </c>
      <c r="G148" s="40">
        <v>3014</v>
      </c>
      <c r="H148" s="40">
        <v>2806</v>
      </c>
      <c r="I148" s="40">
        <v>2943</v>
      </c>
      <c r="J148" s="40">
        <v>2842</v>
      </c>
    </row>
    <row r="149" spans="2:10">
      <c r="B149" t="s">
        <v>192</v>
      </c>
      <c r="C149">
        <v>863</v>
      </c>
      <c r="D149">
        <v>863</v>
      </c>
      <c r="E149">
        <v>863</v>
      </c>
      <c r="F149">
        <v>863</v>
      </c>
      <c r="G149">
        <v>863</v>
      </c>
      <c r="H149">
        <v>863</v>
      </c>
      <c r="I149">
        <v>863</v>
      </c>
      <c r="J149">
        <v>863</v>
      </c>
    </row>
    <row r="150" spans="2:10">
      <c r="B150" t="s">
        <v>193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194</v>
      </c>
      <c r="C151">
        <v>532</v>
      </c>
      <c r="D151">
        <v>532</v>
      </c>
      <c r="E151">
        <v>532</v>
      </c>
      <c r="F151">
        <v>532</v>
      </c>
      <c r="G151">
        <v>532</v>
      </c>
      <c r="H151">
        <v>532</v>
      </c>
      <c r="I151">
        <v>532</v>
      </c>
      <c r="J151">
        <v>532</v>
      </c>
    </row>
    <row r="152" spans="2:10">
      <c r="B152" t="s">
        <v>195</v>
      </c>
      <c r="C152">
        <v>405</v>
      </c>
      <c r="D152">
        <v>405</v>
      </c>
      <c r="E152">
        <v>348</v>
      </c>
      <c r="F152">
        <v>348</v>
      </c>
      <c r="G152">
        <v>348</v>
      </c>
      <c r="H152">
        <v>348</v>
      </c>
      <c r="I152">
        <v>294</v>
      </c>
      <c r="J152">
        <v>294</v>
      </c>
    </row>
    <row r="153" spans="2:10">
      <c r="B153" t="s">
        <v>196</v>
      </c>
      <c r="C153">
        <v>73</v>
      </c>
      <c r="D153">
        <v>73</v>
      </c>
      <c r="E153">
        <v>73</v>
      </c>
      <c r="F153">
        <v>73</v>
      </c>
      <c r="G153">
        <v>73</v>
      </c>
      <c r="H153">
        <v>73</v>
      </c>
      <c r="I153">
        <v>73</v>
      </c>
      <c r="J153">
        <v>73</v>
      </c>
    </row>
    <row r="154" spans="2:10">
      <c r="B154" t="s">
        <v>197</v>
      </c>
      <c r="C154" s="40">
        <v>1322</v>
      </c>
      <c r="D154" s="40">
        <v>1101</v>
      </c>
      <c r="E154" s="40">
        <v>1402</v>
      </c>
      <c r="F154" s="40">
        <v>1270</v>
      </c>
      <c r="G154" s="40">
        <v>1144</v>
      </c>
      <c r="H154">
        <v>982</v>
      </c>
      <c r="I154" s="40">
        <v>1140</v>
      </c>
      <c r="J154" s="40">
        <v>1033</v>
      </c>
    </row>
    <row r="155" spans="2:10">
      <c r="B155" t="s">
        <v>198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185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186</v>
      </c>
      <c r="C157" s="40">
        <v>5904</v>
      </c>
      <c r="D157" s="40">
        <v>5474</v>
      </c>
      <c r="E157" s="40">
        <v>5850</v>
      </c>
      <c r="F157" s="40">
        <v>5536</v>
      </c>
      <c r="G157" s="40">
        <v>5460</v>
      </c>
      <c r="H157" s="40">
        <v>5502</v>
      </c>
      <c r="I157" s="40">
        <v>5356</v>
      </c>
      <c r="J157" s="40">
        <v>5511</v>
      </c>
    </row>
    <row r="158" spans="2:10">
      <c r="B158" t="s">
        <v>108</v>
      </c>
    </row>
    <row r="159" spans="2:10">
      <c r="B159" t="s">
        <v>109</v>
      </c>
    </row>
    <row r="201" spans="2:10">
      <c r="B201" t="s">
        <v>2582</v>
      </c>
    </row>
    <row r="202" spans="2:10">
      <c r="B202" t="s">
        <v>45</v>
      </c>
    </row>
    <row r="203" spans="2:10">
      <c r="B203" t="s">
        <v>46</v>
      </c>
      <c r="C203" t="s">
        <v>1888</v>
      </c>
      <c r="D203" t="s">
        <v>220</v>
      </c>
      <c r="E203" t="s">
        <v>47</v>
      </c>
      <c r="F203" t="s">
        <v>48</v>
      </c>
      <c r="G203" t="s">
        <v>49</v>
      </c>
      <c r="H203" t="s">
        <v>50</v>
      </c>
      <c r="I203" t="s">
        <v>51</v>
      </c>
      <c r="J203" t="s">
        <v>52</v>
      </c>
    </row>
    <row r="204" spans="2:10">
      <c r="B204" t="s">
        <v>110</v>
      </c>
      <c r="C204">
        <v>221</v>
      </c>
      <c r="D204">
        <v>102</v>
      </c>
      <c r="E204">
        <v>131</v>
      </c>
      <c r="F204">
        <v>130</v>
      </c>
      <c r="G204">
        <v>162</v>
      </c>
      <c r="H204">
        <v>171</v>
      </c>
      <c r="I204">
        <v>107</v>
      </c>
      <c r="J204">
        <v>131</v>
      </c>
    </row>
    <row r="205" spans="2:10">
      <c r="B205" t="s">
        <v>111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112</v>
      </c>
      <c r="C206">
        <v>26</v>
      </c>
      <c r="D206">
        <v>25</v>
      </c>
      <c r="E206">
        <v>25</v>
      </c>
      <c r="F206">
        <v>26</v>
      </c>
      <c r="G206">
        <v>25</v>
      </c>
      <c r="H206">
        <v>24</v>
      </c>
      <c r="I206">
        <v>23</v>
      </c>
      <c r="J206">
        <v>22</v>
      </c>
    </row>
    <row r="207" spans="2:10">
      <c r="B207" t="s">
        <v>113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2</v>
      </c>
    </row>
    <row r="208" spans="2:10">
      <c r="B208" t="s">
        <v>114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115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116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117</v>
      </c>
      <c r="C211" t="s">
        <v>96</v>
      </c>
      <c r="D211" t="s">
        <v>96</v>
      </c>
      <c r="E211" t="s">
        <v>96</v>
      </c>
      <c r="F211" t="s">
        <v>96</v>
      </c>
      <c r="G211" t="s">
        <v>96</v>
      </c>
      <c r="H211" t="s">
        <v>96</v>
      </c>
      <c r="I211" t="s">
        <v>96</v>
      </c>
      <c r="J211" t="s">
        <v>96</v>
      </c>
    </row>
    <row r="212" spans="2:10">
      <c r="B212" t="s">
        <v>118</v>
      </c>
      <c r="C212">
        <v>0</v>
      </c>
      <c r="D212">
        <v>0</v>
      </c>
      <c r="E212">
        <v>2</v>
      </c>
      <c r="F212">
        <v>19</v>
      </c>
      <c r="G212">
        <v>1</v>
      </c>
      <c r="H212">
        <v>1</v>
      </c>
      <c r="I212">
        <v>1</v>
      </c>
      <c r="J212">
        <v>2</v>
      </c>
    </row>
    <row r="213" spans="2:10">
      <c r="B213" t="s">
        <v>119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120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2:10">
      <c r="B215" t="s">
        <v>121</v>
      </c>
      <c r="C215">
        <v>-219</v>
      </c>
      <c r="D215">
        <v>42</v>
      </c>
      <c r="E215">
        <v>275</v>
      </c>
      <c r="F215">
        <v>-35</v>
      </c>
      <c r="G215">
        <v>-27</v>
      </c>
      <c r="H215">
        <v>-235</v>
      </c>
      <c r="I215">
        <v>213</v>
      </c>
      <c r="J215">
        <v>-174</v>
      </c>
    </row>
    <row r="216" spans="2:10">
      <c r="B216" t="s">
        <v>122</v>
      </c>
      <c r="C216">
        <v>-169</v>
      </c>
      <c r="D216">
        <v>147</v>
      </c>
      <c r="E216">
        <v>-45</v>
      </c>
      <c r="F216">
        <v>-32</v>
      </c>
      <c r="G216">
        <v>-47</v>
      </c>
      <c r="H216">
        <v>3</v>
      </c>
      <c r="I216">
        <v>30</v>
      </c>
      <c r="J216">
        <v>-75</v>
      </c>
    </row>
    <row r="217" spans="2:10">
      <c r="B217" t="s">
        <v>123</v>
      </c>
      <c r="C217">
        <v>344</v>
      </c>
      <c r="D217">
        <v>-183</v>
      </c>
      <c r="E217">
        <v>-65</v>
      </c>
      <c r="F217">
        <v>-35</v>
      </c>
      <c r="G217">
        <v>88</v>
      </c>
      <c r="H217">
        <v>58</v>
      </c>
      <c r="I217">
        <v>-261</v>
      </c>
      <c r="J217">
        <v>70</v>
      </c>
    </row>
    <row r="218" spans="2:10">
      <c r="B218" t="s">
        <v>124</v>
      </c>
      <c r="C218">
        <v>20</v>
      </c>
      <c r="D218">
        <v>-38</v>
      </c>
      <c r="E218">
        <v>10</v>
      </c>
      <c r="F218">
        <v>10</v>
      </c>
      <c r="G218">
        <v>33</v>
      </c>
      <c r="H218">
        <v>15</v>
      </c>
      <c r="I218">
        <v>17</v>
      </c>
      <c r="J218">
        <v>36</v>
      </c>
    </row>
    <row r="219" spans="2:10">
      <c r="B219" t="s">
        <v>17</v>
      </c>
      <c r="C219">
        <v>224</v>
      </c>
      <c r="D219">
        <v>96</v>
      </c>
      <c r="E219">
        <v>335</v>
      </c>
      <c r="F219">
        <v>100</v>
      </c>
      <c r="G219">
        <v>236</v>
      </c>
      <c r="H219">
        <v>39</v>
      </c>
      <c r="I219">
        <v>131</v>
      </c>
      <c r="J219">
        <v>13</v>
      </c>
    </row>
    <row r="220" spans="2:10">
      <c r="B220" t="s">
        <v>125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126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19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127</v>
      </c>
      <c r="C223">
        <v>1</v>
      </c>
      <c r="D223">
        <v>0</v>
      </c>
      <c r="E223">
        <v>0</v>
      </c>
      <c r="F223">
        <v>2</v>
      </c>
      <c r="G223">
        <v>1</v>
      </c>
      <c r="H223">
        <v>0</v>
      </c>
      <c r="I223">
        <v>1</v>
      </c>
      <c r="J223">
        <v>1</v>
      </c>
    </row>
    <row r="224" spans="2:10">
      <c r="B224" t="s">
        <v>18</v>
      </c>
      <c r="C224">
        <v>-54</v>
      </c>
      <c r="D224">
        <v>-18</v>
      </c>
      <c r="E224">
        <v>-15</v>
      </c>
      <c r="F224">
        <v>-18</v>
      </c>
      <c r="G224">
        <v>-29</v>
      </c>
      <c r="H224">
        <v>-36</v>
      </c>
      <c r="I224">
        <v>-121</v>
      </c>
      <c r="J224">
        <v>-15</v>
      </c>
    </row>
    <row r="225" spans="2:10">
      <c r="B225" t="s">
        <v>128</v>
      </c>
      <c r="C225">
        <v>-6</v>
      </c>
      <c r="D225">
        <v>-10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2:10">
      <c r="B226" t="s">
        <v>129</v>
      </c>
      <c r="C226">
        <v>-59</v>
      </c>
      <c r="D226">
        <v>-28</v>
      </c>
      <c r="E226">
        <v>-15</v>
      </c>
      <c r="F226">
        <v>-16</v>
      </c>
      <c r="G226">
        <v>-28</v>
      </c>
      <c r="H226">
        <v>-36</v>
      </c>
      <c r="I226">
        <v>-160</v>
      </c>
      <c r="J226">
        <v>-14</v>
      </c>
    </row>
    <row r="227" spans="2:10">
      <c r="B227" t="s">
        <v>130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131</v>
      </c>
      <c r="C228">
        <v>-345</v>
      </c>
      <c r="D228">
        <v>0</v>
      </c>
      <c r="E228">
        <v>0</v>
      </c>
      <c r="F228">
        <v>0</v>
      </c>
      <c r="G228">
        <v>-276</v>
      </c>
      <c r="H228">
        <v>0</v>
      </c>
      <c r="I228">
        <v>0</v>
      </c>
      <c r="J228">
        <v>0</v>
      </c>
    </row>
    <row r="229" spans="2:10">
      <c r="B229" t="s">
        <v>132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133</v>
      </c>
      <c r="C230">
        <v>70</v>
      </c>
      <c r="D230">
        <v>-221</v>
      </c>
      <c r="E230">
        <v>263</v>
      </c>
      <c r="F230">
        <v>-87</v>
      </c>
      <c r="G230">
        <v>-116</v>
      </c>
      <c r="H230">
        <v>-105</v>
      </c>
      <c r="I230">
        <v>31</v>
      </c>
      <c r="J230">
        <v>51</v>
      </c>
    </row>
    <row r="231" spans="2:10">
      <c r="B231" t="s">
        <v>134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135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136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137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138</v>
      </c>
      <c r="C235">
        <v>-1</v>
      </c>
      <c r="D235">
        <v>-3</v>
      </c>
      <c r="E235">
        <v>4</v>
      </c>
      <c r="F235">
        <v>0</v>
      </c>
      <c r="G235">
        <v>0</v>
      </c>
      <c r="H235">
        <v>-3</v>
      </c>
      <c r="I235">
        <v>3</v>
      </c>
      <c r="J235">
        <v>3</v>
      </c>
    </row>
    <row r="236" spans="2:10">
      <c r="B236" t="s">
        <v>139</v>
      </c>
      <c r="C236">
        <v>-277</v>
      </c>
      <c r="D236">
        <v>-223</v>
      </c>
      <c r="E236">
        <v>267</v>
      </c>
      <c r="F236">
        <v>-87</v>
      </c>
      <c r="G236">
        <v>-392</v>
      </c>
      <c r="H236">
        <v>-108</v>
      </c>
      <c r="I236">
        <v>34</v>
      </c>
      <c r="J236">
        <v>53</v>
      </c>
    </row>
    <row r="237" spans="2:10">
      <c r="B237" t="s">
        <v>140</v>
      </c>
      <c r="C237">
        <v>95</v>
      </c>
      <c r="D237">
        <v>-25</v>
      </c>
      <c r="E237">
        <v>-20</v>
      </c>
      <c r="F237">
        <v>55</v>
      </c>
      <c r="G237">
        <v>44</v>
      </c>
      <c r="H237">
        <v>-6</v>
      </c>
      <c r="I237">
        <v>-27</v>
      </c>
      <c r="J237">
        <v>36</v>
      </c>
    </row>
    <row r="238" spans="2:10">
      <c r="B238" t="s">
        <v>141</v>
      </c>
      <c r="C238">
        <v>-17</v>
      </c>
      <c r="D238">
        <v>-179</v>
      </c>
      <c r="E238">
        <v>567</v>
      </c>
      <c r="F238">
        <v>52</v>
      </c>
      <c r="G238">
        <v>-140</v>
      </c>
      <c r="H238">
        <v>-110</v>
      </c>
      <c r="I238">
        <v>-22</v>
      </c>
      <c r="J238">
        <v>89</v>
      </c>
    </row>
    <row r="239" spans="2:10">
      <c r="B239" t="s">
        <v>142</v>
      </c>
      <c r="C239" s="40">
        <v>2009</v>
      </c>
      <c r="D239" s="40">
        <v>2188</v>
      </c>
      <c r="E239" s="40">
        <v>1621</v>
      </c>
      <c r="F239" s="40">
        <v>1569</v>
      </c>
      <c r="G239" s="40">
        <v>1709</v>
      </c>
      <c r="H239" s="40">
        <v>1819</v>
      </c>
      <c r="I239" s="40">
        <v>1842</v>
      </c>
      <c r="J239" s="40">
        <v>1753</v>
      </c>
    </row>
    <row r="240" spans="2:10">
      <c r="B240" t="s">
        <v>143</v>
      </c>
      <c r="C240" s="40">
        <v>1992</v>
      </c>
      <c r="D240" s="40">
        <v>2009</v>
      </c>
      <c r="E240" s="40">
        <v>2188</v>
      </c>
      <c r="F240" s="40">
        <v>1621</v>
      </c>
      <c r="G240" s="40">
        <v>1569</v>
      </c>
      <c r="H240" s="40">
        <v>1709</v>
      </c>
      <c r="I240" s="40">
        <v>1819</v>
      </c>
      <c r="J240" s="40">
        <v>1842</v>
      </c>
    </row>
    <row r="241" spans="2:10">
      <c r="B241" t="s">
        <v>144</v>
      </c>
      <c r="C241">
        <v>1</v>
      </c>
      <c r="D241">
        <v>2</v>
      </c>
      <c r="E241">
        <v>1</v>
      </c>
      <c r="F241">
        <v>2</v>
      </c>
      <c r="G241">
        <v>1</v>
      </c>
      <c r="H241">
        <v>2</v>
      </c>
      <c r="I241">
        <v>4</v>
      </c>
      <c r="J241">
        <v>1</v>
      </c>
    </row>
    <row r="242" spans="2:10">
      <c r="B242" t="s">
        <v>145</v>
      </c>
      <c r="C242" t="s">
        <v>96</v>
      </c>
      <c r="D242" t="s">
        <v>96</v>
      </c>
      <c r="E242" t="s">
        <v>96</v>
      </c>
      <c r="F242" t="s">
        <v>96</v>
      </c>
      <c r="G242" t="s">
        <v>96</v>
      </c>
      <c r="H242" t="s">
        <v>96</v>
      </c>
      <c r="I242" t="s">
        <v>96</v>
      </c>
      <c r="J242" t="s">
        <v>96</v>
      </c>
    </row>
    <row r="243" spans="2:10">
      <c r="B243" t="s">
        <v>146</v>
      </c>
    </row>
    <row r="244" spans="2:10">
      <c r="B244" t="s">
        <v>147</v>
      </c>
    </row>
    <row r="245" spans="2:10">
      <c r="B245" t="s">
        <v>108</v>
      </c>
    </row>
    <row r="246" spans="2:10">
      <c r="B246" t="s">
        <v>109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W229"/>
  <sheetViews>
    <sheetView topLeftCell="N1" workbookViewId="0">
      <selection activeCell="V14" sqref="V14"/>
    </sheetView>
  </sheetViews>
  <sheetFormatPr defaultRowHeight="16.5"/>
  <sheetData>
    <row r="1" spans="1:23">
      <c r="A1" t="s">
        <v>2463</v>
      </c>
      <c r="B1" t="s">
        <v>2464</v>
      </c>
      <c r="C1" t="s">
        <v>2458</v>
      </c>
      <c r="E1" t="s">
        <v>2466</v>
      </c>
      <c r="G1" s="137"/>
      <c r="H1" s="189"/>
      <c r="J1" t="s">
        <v>2465</v>
      </c>
      <c r="L1" s="137"/>
      <c r="P1">
        <v>1203</v>
      </c>
      <c r="S1" s="190" t="s">
        <v>2470</v>
      </c>
    </row>
    <row r="2" spans="1:23">
      <c r="A2" s="190">
        <v>1258</v>
      </c>
      <c r="B2" s="190">
        <v>1529</v>
      </c>
      <c r="C2" s="190">
        <v>1536</v>
      </c>
      <c r="E2" s="190">
        <v>2702</v>
      </c>
      <c r="F2" s="239">
        <v>0.69</v>
      </c>
      <c r="G2" s="137">
        <v>0.81</v>
      </c>
      <c r="H2" s="189">
        <v>1.56</v>
      </c>
      <c r="I2" t="s">
        <v>2466</v>
      </c>
      <c r="J2" s="190">
        <v>6171</v>
      </c>
      <c r="K2" s="239">
        <v>8380.4500000000007</v>
      </c>
      <c r="L2" s="137">
        <v>4</v>
      </c>
      <c r="M2">
        <v>33522.800000000003</v>
      </c>
      <c r="N2" t="s">
        <v>2465</v>
      </c>
      <c r="P2">
        <v>1234</v>
      </c>
      <c r="S2" s="190" t="s">
        <v>2471</v>
      </c>
      <c r="V2" s="190">
        <v>1215</v>
      </c>
      <c r="W2" t="s">
        <v>3383</v>
      </c>
    </row>
    <row r="3" spans="1:23">
      <c r="A3" s="190">
        <v>1339</v>
      </c>
      <c r="B3" s="190">
        <v>1536</v>
      </c>
      <c r="C3" s="190">
        <v>2231</v>
      </c>
      <c r="D3" s="190"/>
      <c r="E3" s="190">
        <v>8416</v>
      </c>
      <c r="F3" s="239">
        <v>0.87</v>
      </c>
      <c r="G3" s="137">
        <v>0.55000000000000004</v>
      </c>
      <c r="H3" s="189">
        <v>1.48</v>
      </c>
      <c r="I3" t="s">
        <v>2466</v>
      </c>
      <c r="J3" s="190">
        <v>4529</v>
      </c>
      <c r="K3" s="239">
        <v>26.81</v>
      </c>
      <c r="L3" s="137">
        <v>1</v>
      </c>
      <c r="M3">
        <v>27.81</v>
      </c>
      <c r="N3" t="s">
        <v>2465</v>
      </c>
      <c r="P3">
        <v>1258</v>
      </c>
      <c r="S3" s="190" t="s">
        <v>2472</v>
      </c>
      <c r="V3" s="190">
        <v>1323</v>
      </c>
      <c r="W3" t="s">
        <v>3384</v>
      </c>
    </row>
    <row r="4" spans="1:23">
      <c r="A4" s="190">
        <v>1442</v>
      </c>
      <c r="B4" s="190">
        <v>1618</v>
      </c>
      <c r="C4" s="190">
        <v>2406</v>
      </c>
      <c r="D4" s="190"/>
      <c r="E4" s="190">
        <v>8409</v>
      </c>
      <c r="F4" s="239">
        <v>0.87</v>
      </c>
      <c r="G4" s="137">
        <v>0.54</v>
      </c>
      <c r="H4" s="189">
        <v>1.47</v>
      </c>
      <c r="I4" t="s">
        <v>2466</v>
      </c>
      <c r="J4" s="190">
        <v>4123</v>
      </c>
      <c r="K4" s="239">
        <v>12.66</v>
      </c>
      <c r="L4" s="137">
        <v>0.34</v>
      </c>
      <c r="M4">
        <v>5.3</v>
      </c>
      <c r="N4" t="s">
        <v>2465</v>
      </c>
      <c r="P4">
        <v>1339</v>
      </c>
      <c r="S4" s="190" t="s">
        <v>2473</v>
      </c>
      <c r="V4" s="190">
        <v>1340</v>
      </c>
      <c r="W4" t="s">
        <v>3385</v>
      </c>
    </row>
    <row r="5" spans="1:23">
      <c r="A5" s="190">
        <v>1529</v>
      </c>
      <c r="B5" s="190">
        <v>2373</v>
      </c>
      <c r="C5" s="190">
        <v>2433</v>
      </c>
      <c r="D5" s="190"/>
      <c r="E5" s="190">
        <v>2916</v>
      </c>
      <c r="F5" s="239">
        <v>0.78</v>
      </c>
      <c r="G5" s="137">
        <v>0.5</v>
      </c>
      <c r="H5" s="189">
        <v>1.39</v>
      </c>
      <c r="I5" t="s">
        <v>2466</v>
      </c>
      <c r="J5" s="190">
        <v>9946</v>
      </c>
      <c r="K5" s="239">
        <v>14.13</v>
      </c>
      <c r="L5" s="137">
        <v>0.28999999999999998</v>
      </c>
      <c r="M5">
        <v>5.0999999999999996</v>
      </c>
      <c r="N5" t="s">
        <v>2465</v>
      </c>
      <c r="P5">
        <v>1432</v>
      </c>
      <c r="S5" s="190" t="s">
        <v>2474</v>
      </c>
      <c r="V5" s="190">
        <v>1708</v>
      </c>
      <c r="W5" t="s">
        <v>3386</v>
      </c>
    </row>
    <row r="6" spans="1:23">
      <c r="A6" s="190">
        <v>1618</v>
      </c>
      <c r="B6" s="190">
        <v>2406</v>
      </c>
      <c r="C6" s="190">
        <v>2464</v>
      </c>
      <c r="D6" s="190"/>
      <c r="E6" s="190">
        <v>1442</v>
      </c>
      <c r="F6" s="239">
        <v>0.76</v>
      </c>
      <c r="G6" s="137">
        <v>0.37</v>
      </c>
      <c r="H6" s="189">
        <v>1.28</v>
      </c>
      <c r="I6" t="s">
        <v>2466</v>
      </c>
      <c r="J6" s="190">
        <v>5206</v>
      </c>
      <c r="K6" s="239">
        <v>7.3</v>
      </c>
      <c r="L6" s="137">
        <v>0.36</v>
      </c>
      <c r="M6">
        <v>3.63</v>
      </c>
      <c r="N6" t="s">
        <v>2465</v>
      </c>
      <c r="P6">
        <v>1442</v>
      </c>
      <c r="S6" s="190" t="s">
        <v>2475</v>
      </c>
      <c r="V6" s="190">
        <v>1715</v>
      </c>
      <c r="W6" t="s">
        <v>3387</v>
      </c>
    </row>
    <row r="7" spans="1:23">
      <c r="A7" s="190">
        <v>1762</v>
      </c>
      <c r="B7" s="190">
        <v>2425</v>
      </c>
      <c r="C7" s="190">
        <v>2485</v>
      </c>
      <c r="D7" s="190"/>
      <c r="E7" s="190">
        <v>5212</v>
      </c>
      <c r="F7" s="239">
        <v>0.44</v>
      </c>
      <c r="G7" s="137">
        <v>0.52</v>
      </c>
      <c r="H7" s="189">
        <v>1.23</v>
      </c>
      <c r="I7" t="s">
        <v>2466</v>
      </c>
      <c r="J7" s="190">
        <v>8077</v>
      </c>
      <c r="K7" s="239">
        <v>10.23</v>
      </c>
      <c r="L7" s="137">
        <v>0.18</v>
      </c>
      <c r="M7">
        <v>2.84</v>
      </c>
      <c r="N7" t="s">
        <v>2465</v>
      </c>
      <c r="P7">
        <v>1464</v>
      </c>
      <c r="S7" s="190" t="s">
        <v>2476</v>
      </c>
      <c r="V7" s="190">
        <v>1720</v>
      </c>
      <c r="W7" t="s">
        <v>3388</v>
      </c>
    </row>
    <row r="8" spans="1:23">
      <c r="A8" s="190">
        <v>2419</v>
      </c>
      <c r="B8" s="190">
        <v>2442</v>
      </c>
      <c r="C8" s="190">
        <v>2496</v>
      </c>
      <c r="D8" s="190"/>
      <c r="E8" s="190">
        <v>5301</v>
      </c>
      <c r="F8" s="239">
        <v>0.37</v>
      </c>
      <c r="G8" s="137">
        <v>0.56999999999999995</v>
      </c>
      <c r="H8" s="189">
        <v>1.21</v>
      </c>
      <c r="I8" t="s">
        <v>2466</v>
      </c>
      <c r="J8" s="190">
        <v>1432</v>
      </c>
      <c r="K8" s="239">
        <v>2.92</v>
      </c>
      <c r="L8" s="137">
        <v>0.57999999999999996</v>
      </c>
      <c r="M8">
        <v>2.69</v>
      </c>
      <c r="N8" t="s">
        <v>2465</v>
      </c>
      <c r="P8">
        <v>1476</v>
      </c>
      <c r="S8" s="190" t="s">
        <v>2477</v>
      </c>
      <c r="V8" s="190">
        <v>1762</v>
      </c>
      <c r="W8" s="26" t="s">
        <v>3389</v>
      </c>
    </row>
    <row r="9" spans="1:23">
      <c r="A9" s="190">
        <v>2425</v>
      </c>
      <c r="B9" s="190">
        <v>2464</v>
      </c>
      <c r="C9" s="190">
        <v>3105</v>
      </c>
      <c r="D9" s="190"/>
      <c r="E9" s="190">
        <v>5490</v>
      </c>
      <c r="F9" s="239">
        <v>0.61</v>
      </c>
      <c r="G9" s="137">
        <v>0.34</v>
      </c>
      <c r="H9" s="189">
        <v>1.21</v>
      </c>
      <c r="I9" t="s">
        <v>2466</v>
      </c>
      <c r="J9" s="190">
        <v>3205</v>
      </c>
      <c r="K9" s="239">
        <v>2.2999999999999998</v>
      </c>
      <c r="L9" s="137">
        <v>0.4</v>
      </c>
      <c r="M9">
        <v>1.92</v>
      </c>
      <c r="N9" t="s">
        <v>2465</v>
      </c>
      <c r="P9">
        <v>1512</v>
      </c>
      <c r="S9" s="190" t="s">
        <v>2478</v>
      </c>
      <c r="V9" s="190">
        <v>2012</v>
      </c>
      <c r="W9" s="26" t="s">
        <v>3390</v>
      </c>
    </row>
    <row r="10" spans="1:23">
      <c r="A10" s="190">
        <v>2443</v>
      </c>
      <c r="B10" s="190">
        <v>2485</v>
      </c>
      <c r="C10" s="190">
        <v>3205</v>
      </c>
      <c r="D10" s="190"/>
      <c r="E10" s="190">
        <v>4137</v>
      </c>
      <c r="F10" s="239">
        <v>0.27</v>
      </c>
      <c r="G10" s="137">
        <v>0.74</v>
      </c>
      <c r="H10" s="189">
        <v>1.2</v>
      </c>
      <c r="I10" t="s">
        <v>2466</v>
      </c>
      <c r="J10" s="190">
        <v>2417</v>
      </c>
      <c r="K10" s="239">
        <v>1.92</v>
      </c>
      <c r="L10" s="137">
        <v>0.43</v>
      </c>
      <c r="M10">
        <v>1.83</v>
      </c>
      <c r="N10" t="s">
        <v>2465</v>
      </c>
      <c r="P10">
        <v>1519</v>
      </c>
      <c r="S10" s="190" t="s">
        <v>2479</v>
      </c>
      <c r="V10" s="190">
        <v>2015</v>
      </c>
      <c r="W10" s="26" t="s">
        <v>3391</v>
      </c>
    </row>
    <row r="11" spans="1:23">
      <c r="A11" s="190">
        <v>2489</v>
      </c>
      <c r="B11" s="190">
        <v>2496</v>
      </c>
      <c r="C11" s="190">
        <v>3552</v>
      </c>
      <c r="D11" s="190"/>
      <c r="E11" s="190">
        <v>3529</v>
      </c>
      <c r="F11" s="239">
        <v>0.19</v>
      </c>
      <c r="G11" s="137">
        <v>1</v>
      </c>
      <c r="H11" s="189">
        <v>1.19</v>
      </c>
      <c r="I11" t="s">
        <v>2466</v>
      </c>
      <c r="J11" s="190">
        <v>3310</v>
      </c>
      <c r="K11" s="239">
        <v>3.49</v>
      </c>
      <c r="L11" s="137">
        <v>0.23</v>
      </c>
      <c r="M11">
        <v>1.8</v>
      </c>
      <c r="N11" t="s">
        <v>2465</v>
      </c>
      <c r="P11">
        <v>1527</v>
      </c>
      <c r="S11" s="190" t="s">
        <v>2480</v>
      </c>
      <c r="V11" s="190">
        <v>2062</v>
      </c>
      <c r="W11" s="26" t="s">
        <v>3392</v>
      </c>
    </row>
    <row r="12" spans="1:23">
      <c r="A12" s="190">
        <v>3131</v>
      </c>
      <c r="B12" s="190">
        <v>3205</v>
      </c>
      <c r="C12" s="190">
        <v>3691</v>
      </c>
      <c r="D12" s="190"/>
      <c r="E12" s="190">
        <v>3416</v>
      </c>
      <c r="F12" s="239">
        <v>0.45</v>
      </c>
      <c r="G12" s="137">
        <v>0.4</v>
      </c>
      <c r="H12" s="189">
        <v>1.18</v>
      </c>
      <c r="I12" t="s">
        <v>2466</v>
      </c>
      <c r="J12" s="190">
        <v>6103</v>
      </c>
      <c r="K12" s="239">
        <v>19.920000000000002</v>
      </c>
      <c r="L12" s="137">
        <v>0.04</v>
      </c>
      <c r="M12">
        <v>1.8</v>
      </c>
      <c r="N12" t="s">
        <v>2465</v>
      </c>
      <c r="P12">
        <v>1529</v>
      </c>
      <c r="S12" s="190" t="s">
        <v>2481</v>
      </c>
      <c r="V12" s="190">
        <v>2351</v>
      </c>
      <c r="W12" s="26" t="s">
        <v>3393</v>
      </c>
    </row>
    <row r="13" spans="1:23">
      <c r="A13" s="190">
        <v>3191</v>
      </c>
      <c r="B13" s="190">
        <v>3226</v>
      </c>
      <c r="C13" s="190">
        <v>4109</v>
      </c>
      <c r="D13" s="190"/>
      <c r="E13" s="190">
        <v>1736</v>
      </c>
      <c r="F13" s="239">
        <v>0.37</v>
      </c>
      <c r="G13" s="137">
        <v>0.44</v>
      </c>
      <c r="H13" s="189">
        <v>1.1599999999999999</v>
      </c>
      <c r="I13" t="s">
        <v>2466</v>
      </c>
      <c r="J13" s="190">
        <v>1795</v>
      </c>
      <c r="K13" s="239">
        <v>1.23</v>
      </c>
      <c r="L13" s="137">
        <v>0.62</v>
      </c>
      <c r="M13">
        <v>1.76</v>
      </c>
      <c r="N13" t="s">
        <v>2465</v>
      </c>
      <c r="P13">
        <v>1536</v>
      </c>
      <c r="S13" s="190" t="s">
        <v>2482</v>
      </c>
      <c r="V13" s="190">
        <v>2397</v>
      </c>
      <c r="W13" s="26" t="s">
        <v>3394</v>
      </c>
    </row>
    <row r="14" spans="1:23">
      <c r="A14" s="190">
        <v>4109</v>
      </c>
      <c r="B14" s="190">
        <v>3552</v>
      </c>
      <c r="C14" s="190">
        <v>4139</v>
      </c>
      <c r="D14" s="190"/>
      <c r="E14" s="190">
        <v>2495</v>
      </c>
      <c r="F14" s="239">
        <v>0.33</v>
      </c>
      <c r="G14" s="137">
        <v>0.48</v>
      </c>
      <c r="H14" s="189">
        <v>1.1599999999999999</v>
      </c>
      <c r="I14" t="s">
        <v>2466</v>
      </c>
      <c r="J14" s="190">
        <v>2702</v>
      </c>
      <c r="K14" s="239">
        <v>0.92</v>
      </c>
      <c r="L14" s="137">
        <v>0.81</v>
      </c>
      <c r="M14">
        <v>1.75</v>
      </c>
      <c r="N14" t="s">
        <v>2465</v>
      </c>
      <c r="P14">
        <v>1565</v>
      </c>
      <c r="S14" s="190" t="s">
        <v>2483</v>
      </c>
      <c r="V14" s="190">
        <v>2428</v>
      </c>
      <c r="W14" s="26" t="s">
        <v>3395</v>
      </c>
    </row>
    <row r="15" spans="1:23">
      <c r="A15" s="190">
        <v>4137</v>
      </c>
      <c r="B15" s="190">
        <v>3687</v>
      </c>
      <c r="C15" s="190">
        <v>4502</v>
      </c>
      <c r="D15" s="190"/>
      <c r="E15" s="190">
        <v>3205</v>
      </c>
      <c r="F15" s="239">
        <v>0.41</v>
      </c>
      <c r="G15" s="137">
        <v>0.4</v>
      </c>
      <c r="H15" s="189">
        <v>1.1599999999999999</v>
      </c>
      <c r="I15" t="s">
        <v>2466</v>
      </c>
      <c r="J15" s="190">
        <v>5395</v>
      </c>
      <c r="K15" s="239">
        <v>3.33</v>
      </c>
      <c r="L15" s="137">
        <v>0.22</v>
      </c>
      <c r="M15">
        <v>1.73</v>
      </c>
      <c r="N15" t="s">
        <v>2465</v>
      </c>
      <c r="P15">
        <v>1566</v>
      </c>
      <c r="S15" s="190" t="s">
        <v>2484</v>
      </c>
      <c r="V15" s="190">
        <v>2456</v>
      </c>
      <c r="W15" s="26" t="s">
        <v>3396</v>
      </c>
    </row>
    <row r="16" spans="1:23">
      <c r="A16" s="190">
        <v>4415</v>
      </c>
      <c r="B16" s="190">
        <v>4109</v>
      </c>
      <c r="C16" s="190">
        <v>4965</v>
      </c>
      <c r="D16" s="190"/>
      <c r="E16" s="190">
        <v>4109</v>
      </c>
      <c r="F16" s="239">
        <v>0.39</v>
      </c>
      <c r="G16" s="137">
        <v>0.4</v>
      </c>
      <c r="H16" s="189">
        <v>1.1599999999999999</v>
      </c>
      <c r="I16" t="s">
        <v>2466</v>
      </c>
      <c r="J16" s="190">
        <v>1786</v>
      </c>
      <c r="K16" s="239">
        <v>0.8</v>
      </c>
      <c r="L16" s="137">
        <v>0.6</v>
      </c>
      <c r="M16">
        <v>1.48</v>
      </c>
      <c r="N16" t="s">
        <v>2465</v>
      </c>
      <c r="P16">
        <v>1570</v>
      </c>
      <c r="V16" s="190">
        <v>2497</v>
      </c>
      <c r="W16" s="26" t="s">
        <v>3397</v>
      </c>
    </row>
    <row r="17" spans="1:23">
      <c r="A17" s="190">
        <v>4523</v>
      </c>
      <c r="B17" s="190">
        <v>4123</v>
      </c>
      <c r="C17" s="190">
        <v>4979</v>
      </c>
      <c r="D17" s="190"/>
      <c r="E17" s="190">
        <v>4123</v>
      </c>
      <c r="F17" s="239">
        <v>0.48</v>
      </c>
      <c r="G17" s="137">
        <v>0.34</v>
      </c>
      <c r="H17" s="189">
        <v>1.1599999999999999</v>
      </c>
      <c r="I17" t="s">
        <v>2466</v>
      </c>
      <c r="J17" s="190">
        <v>8091</v>
      </c>
      <c r="K17" s="239">
        <v>1.77</v>
      </c>
      <c r="L17" s="137">
        <v>0.27</v>
      </c>
      <c r="M17">
        <v>1.48</v>
      </c>
      <c r="N17" t="s">
        <v>2465</v>
      </c>
      <c r="P17">
        <v>1603</v>
      </c>
      <c r="V17" s="190">
        <v>2608</v>
      </c>
      <c r="W17" s="26" t="s">
        <v>3398</v>
      </c>
    </row>
    <row r="18" spans="1:23">
      <c r="A18" s="190">
        <v>6139</v>
      </c>
      <c r="B18" s="190">
        <v>4137</v>
      </c>
      <c r="C18" s="190">
        <v>5315</v>
      </c>
      <c r="D18" s="190"/>
      <c r="E18" s="190">
        <v>8091</v>
      </c>
      <c r="F18" s="239">
        <v>0.57999999999999996</v>
      </c>
      <c r="G18" s="137">
        <v>0.27</v>
      </c>
      <c r="H18" s="189">
        <v>1.1599999999999999</v>
      </c>
      <c r="I18" t="s">
        <v>2466</v>
      </c>
      <c r="J18" s="190">
        <v>3687</v>
      </c>
      <c r="K18" s="239">
        <v>1.46</v>
      </c>
      <c r="L18" s="137">
        <v>0.3</v>
      </c>
      <c r="M18">
        <v>1.44</v>
      </c>
      <c r="N18" t="s">
        <v>2465</v>
      </c>
      <c r="P18">
        <v>1618</v>
      </c>
      <c r="V18" s="190">
        <v>3010</v>
      </c>
      <c r="W18" s="26" t="s">
        <v>3399</v>
      </c>
    </row>
    <row r="19" spans="1:23">
      <c r="A19" s="190">
        <v>6235</v>
      </c>
      <c r="B19" s="190">
        <v>4415</v>
      </c>
      <c r="C19" s="190">
        <v>6184</v>
      </c>
      <c r="D19" s="190"/>
      <c r="E19" s="190">
        <v>3122</v>
      </c>
      <c r="F19" s="239">
        <v>0.45</v>
      </c>
      <c r="G19" s="137">
        <v>0.34</v>
      </c>
      <c r="H19" s="189">
        <v>1.1499999999999999</v>
      </c>
      <c r="I19" t="s">
        <v>2466</v>
      </c>
      <c r="J19" s="190">
        <v>6111</v>
      </c>
      <c r="K19" s="239">
        <v>0.52</v>
      </c>
      <c r="L19" s="137">
        <v>0.84</v>
      </c>
      <c r="M19">
        <v>1.44</v>
      </c>
      <c r="N19" t="s">
        <v>2465</v>
      </c>
      <c r="P19">
        <v>1707</v>
      </c>
      <c r="V19" s="190">
        <v>3028</v>
      </c>
      <c r="W19" s="26" t="s">
        <v>3400</v>
      </c>
    </row>
    <row r="20" spans="1:23">
      <c r="A20" s="190">
        <v>6244</v>
      </c>
      <c r="B20" s="190">
        <v>4420</v>
      </c>
      <c r="C20" s="190">
        <v>6235</v>
      </c>
      <c r="D20" s="190"/>
      <c r="E20" s="190">
        <v>3131</v>
      </c>
      <c r="F20" s="239">
        <v>0.32</v>
      </c>
      <c r="G20" s="137">
        <v>0.48</v>
      </c>
      <c r="H20" s="189">
        <v>1.1499999999999999</v>
      </c>
      <c r="I20" t="s">
        <v>2466</v>
      </c>
      <c r="J20" s="190">
        <v>3234</v>
      </c>
      <c r="K20" s="239">
        <v>1.1599999999999999</v>
      </c>
      <c r="L20" s="137">
        <v>0.37</v>
      </c>
      <c r="M20">
        <v>1.43</v>
      </c>
      <c r="N20" t="s">
        <v>2465</v>
      </c>
      <c r="P20">
        <v>1730</v>
      </c>
      <c r="V20" s="190">
        <v>3607</v>
      </c>
      <c r="W20" s="26" t="s">
        <v>3401</v>
      </c>
    </row>
    <row r="21" spans="1:23">
      <c r="A21" s="190">
        <v>6264</v>
      </c>
      <c r="B21" s="190">
        <v>4502</v>
      </c>
      <c r="C21" s="190">
        <v>6244</v>
      </c>
      <c r="D21" s="190"/>
      <c r="E21" s="190">
        <v>1707</v>
      </c>
      <c r="F21" s="239">
        <v>0.16</v>
      </c>
      <c r="G21" s="137">
        <v>0.88</v>
      </c>
      <c r="H21" s="189">
        <v>1.1399999999999999</v>
      </c>
      <c r="I21" t="s">
        <v>2466</v>
      </c>
      <c r="J21" s="190">
        <v>4137</v>
      </c>
      <c r="K21" s="239">
        <v>0.56999999999999995</v>
      </c>
      <c r="L21" s="137">
        <v>0.74</v>
      </c>
      <c r="M21">
        <v>1.42</v>
      </c>
      <c r="N21" t="s">
        <v>2465</v>
      </c>
      <c r="P21">
        <v>1736</v>
      </c>
      <c r="V21" s="190">
        <v>3617</v>
      </c>
      <c r="W21" s="26" t="s">
        <v>3402</v>
      </c>
    </row>
    <row r="22" spans="1:23">
      <c r="A22" s="190">
        <v>8077</v>
      </c>
      <c r="B22" s="190">
        <v>4965</v>
      </c>
      <c r="C22" s="190">
        <v>6411</v>
      </c>
      <c r="D22" s="190"/>
      <c r="E22" s="190">
        <v>2496</v>
      </c>
      <c r="F22" s="239">
        <v>0.67</v>
      </c>
      <c r="G22" s="137">
        <v>0.21</v>
      </c>
      <c r="H22" s="189">
        <v>1.1399999999999999</v>
      </c>
      <c r="I22" t="s">
        <v>2466</v>
      </c>
      <c r="J22" s="190">
        <v>3545</v>
      </c>
      <c r="K22" s="239">
        <v>2.35</v>
      </c>
      <c r="L22" s="137">
        <v>0.17</v>
      </c>
      <c r="M22">
        <v>1.4</v>
      </c>
      <c r="N22" t="s">
        <v>2465</v>
      </c>
      <c r="P22">
        <v>1752</v>
      </c>
      <c r="V22" s="190">
        <v>3653</v>
      </c>
      <c r="W22" s="26" t="s">
        <v>3403</v>
      </c>
    </row>
    <row r="23" spans="1:23">
      <c r="A23" s="190">
        <v>8091</v>
      </c>
      <c r="B23" s="190">
        <v>5392</v>
      </c>
      <c r="C23" s="190">
        <v>8112</v>
      </c>
      <c r="D23" s="190"/>
      <c r="E23" s="190">
        <v>9911</v>
      </c>
      <c r="F23" s="239">
        <v>0.45</v>
      </c>
      <c r="G23" s="137">
        <v>0.32</v>
      </c>
      <c r="H23" s="189">
        <v>1.1399999999999999</v>
      </c>
      <c r="I23" t="s">
        <v>2466</v>
      </c>
      <c r="J23" s="190">
        <v>3293</v>
      </c>
      <c r="K23" s="239">
        <v>0.42</v>
      </c>
      <c r="L23" s="137">
        <v>0.79</v>
      </c>
      <c r="M23">
        <v>1.33</v>
      </c>
      <c r="N23" t="s">
        <v>2465</v>
      </c>
      <c r="P23">
        <v>1762</v>
      </c>
      <c r="V23" s="190">
        <v>3661</v>
      </c>
      <c r="W23" s="26" t="s">
        <v>3404</v>
      </c>
    </row>
    <row r="24" spans="1:23">
      <c r="A24" s="190">
        <v>8422</v>
      </c>
      <c r="B24" s="190">
        <v>6103</v>
      </c>
      <c r="C24" s="190">
        <v>8436</v>
      </c>
      <c r="D24" s="190"/>
      <c r="E24" s="190">
        <v>1762</v>
      </c>
      <c r="F24" s="239">
        <v>0.34</v>
      </c>
      <c r="G24" s="137">
        <v>0.37</v>
      </c>
      <c r="H24" s="189">
        <v>1.1299999999999999</v>
      </c>
      <c r="I24" t="s">
        <v>2466</v>
      </c>
      <c r="J24" s="190">
        <v>3152</v>
      </c>
      <c r="K24" s="239">
        <v>0.48</v>
      </c>
      <c r="L24" s="137">
        <v>0.63</v>
      </c>
      <c r="M24">
        <v>1.3</v>
      </c>
      <c r="N24" t="s">
        <v>2465</v>
      </c>
      <c r="P24">
        <v>1777</v>
      </c>
      <c r="V24" s="190">
        <v>4144</v>
      </c>
      <c r="W24" s="26" t="s">
        <v>3405</v>
      </c>
    </row>
    <row r="25" spans="1:23">
      <c r="A25" s="190">
        <v>9906</v>
      </c>
      <c r="B25" s="190">
        <v>6139</v>
      </c>
      <c r="D25" s="190"/>
      <c r="E25" s="190">
        <v>2926</v>
      </c>
      <c r="F25" s="239">
        <v>0.28999999999999998</v>
      </c>
      <c r="G25" s="137">
        <v>0.44</v>
      </c>
      <c r="H25" s="189">
        <v>1.1299999999999999</v>
      </c>
      <c r="I25" t="s">
        <v>2466</v>
      </c>
      <c r="J25" s="190">
        <v>6238</v>
      </c>
      <c r="K25" s="239">
        <v>1.03</v>
      </c>
      <c r="L25" s="137">
        <v>0.28000000000000003</v>
      </c>
      <c r="M25">
        <v>1.29</v>
      </c>
      <c r="N25" t="s">
        <v>2465</v>
      </c>
      <c r="P25">
        <v>1783</v>
      </c>
      <c r="V25" s="190">
        <v>4934</v>
      </c>
      <c r="W25" s="26" t="s">
        <v>3406</v>
      </c>
    </row>
    <row r="26" spans="1:23">
      <c r="A26" s="190">
        <v>9951</v>
      </c>
      <c r="B26" s="190">
        <v>6235</v>
      </c>
      <c r="C26" s="190"/>
      <c r="E26" s="190">
        <v>2929</v>
      </c>
      <c r="F26" s="239">
        <v>0.33</v>
      </c>
      <c r="G26" s="137">
        <v>0.4</v>
      </c>
      <c r="H26" s="189">
        <v>1.1299999999999999</v>
      </c>
      <c r="I26" t="s">
        <v>2466</v>
      </c>
      <c r="J26" s="190">
        <v>4171</v>
      </c>
      <c r="K26" s="239">
        <v>0.36</v>
      </c>
      <c r="L26" s="137">
        <v>0.79</v>
      </c>
      <c r="M26">
        <v>1.28</v>
      </c>
      <c r="N26" t="s">
        <v>2465</v>
      </c>
      <c r="P26">
        <v>1786</v>
      </c>
      <c r="V26" s="190">
        <v>5469</v>
      </c>
      <c r="W26" s="26" t="s">
        <v>3407</v>
      </c>
    </row>
    <row r="27" spans="1:23">
      <c r="B27" s="190">
        <v>6244</v>
      </c>
      <c r="C27" s="190"/>
      <c r="D27" s="190"/>
      <c r="E27" s="190">
        <v>5202</v>
      </c>
      <c r="F27" s="239">
        <v>0.21</v>
      </c>
      <c r="G27" s="137">
        <v>0.64</v>
      </c>
      <c r="H27" s="189">
        <v>1.1299999999999999</v>
      </c>
      <c r="I27" t="s">
        <v>2466</v>
      </c>
      <c r="J27" s="190">
        <v>3521</v>
      </c>
      <c r="K27" s="239">
        <v>1.41</v>
      </c>
      <c r="L27" s="137">
        <v>0.19</v>
      </c>
      <c r="M27">
        <v>1.27</v>
      </c>
      <c r="N27" t="s">
        <v>2465</v>
      </c>
      <c r="P27">
        <v>1795</v>
      </c>
      <c r="V27" s="190">
        <v>6139</v>
      </c>
      <c r="W27" s="26" t="s">
        <v>3408</v>
      </c>
    </row>
    <row r="28" spans="1:23">
      <c r="B28" s="190">
        <v>6264</v>
      </c>
      <c r="C28" s="190"/>
      <c r="D28" s="190"/>
      <c r="E28" s="190">
        <v>5206</v>
      </c>
      <c r="F28" s="239">
        <v>0.36</v>
      </c>
      <c r="G28" s="137">
        <v>0.36</v>
      </c>
      <c r="H28" s="189">
        <v>1.1299999999999999</v>
      </c>
      <c r="I28" t="s">
        <v>2466</v>
      </c>
      <c r="J28" s="190">
        <v>3662</v>
      </c>
      <c r="K28" s="239">
        <v>0.37</v>
      </c>
      <c r="L28" s="137">
        <v>0.74</v>
      </c>
      <c r="M28">
        <v>1.27</v>
      </c>
      <c r="N28" t="s">
        <v>2465</v>
      </c>
      <c r="P28">
        <v>1810</v>
      </c>
      <c r="V28" s="190">
        <v>6412</v>
      </c>
      <c r="W28" s="26" t="s">
        <v>3409</v>
      </c>
    </row>
    <row r="29" spans="1:23">
      <c r="B29" s="190">
        <v>6411</v>
      </c>
      <c r="C29" s="190"/>
      <c r="D29" s="190"/>
      <c r="E29" s="190">
        <v>2221</v>
      </c>
      <c r="F29" s="239">
        <v>0.5</v>
      </c>
      <c r="G29" s="137">
        <v>0.24</v>
      </c>
      <c r="H29" s="189">
        <v>1.1200000000000001</v>
      </c>
      <c r="I29" t="s">
        <v>2466</v>
      </c>
      <c r="J29" s="190">
        <v>4426</v>
      </c>
      <c r="K29" s="239">
        <v>0.56999999999999995</v>
      </c>
      <c r="L29" s="137">
        <v>0.46</v>
      </c>
      <c r="M29">
        <v>1.26</v>
      </c>
      <c r="N29" t="s">
        <v>2465</v>
      </c>
      <c r="P29">
        <v>2221</v>
      </c>
      <c r="V29" s="190">
        <v>6442</v>
      </c>
      <c r="W29" t="s">
        <v>3410</v>
      </c>
    </row>
    <row r="30" spans="1:23">
      <c r="B30" s="190">
        <v>8077</v>
      </c>
      <c r="C30" s="190"/>
      <c r="D30" s="190"/>
      <c r="E30" s="190">
        <v>2423</v>
      </c>
      <c r="F30" s="239">
        <v>0.24</v>
      </c>
      <c r="G30" s="137">
        <v>0.48</v>
      </c>
      <c r="H30" s="189">
        <v>1.1200000000000001</v>
      </c>
      <c r="I30" t="s">
        <v>2466</v>
      </c>
      <c r="J30" s="190">
        <v>8422</v>
      </c>
      <c r="K30" s="239">
        <v>0.46</v>
      </c>
      <c r="L30" s="137">
        <v>0.56000000000000005</v>
      </c>
      <c r="M30">
        <v>1.26</v>
      </c>
      <c r="N30" t="s">
        <v>2465</v>
      </c>
      <c r="P30">
        <v>2228</v>
      </c>
      <c r="V30" s="190">
        <v>8081</v>
      </c>
      <c r="W30" t="s">
        <v>3411</v>
      </c>
    </row>
    <row r="31" spans="1:23">
      <c r="B31" s="190">
        <v>8091</v>
      </c>
      <c r="C31" s="190"/>
      <c r="D31" s="190"/>
      <c r="E31" s="190">
        <v>3552</v>
      </c>
      <c r="F31" s="239">
        <v>0.4</v>
      </c>
      <c r="G31" s="137">
        <v>0.31</v>
      </c>
      <c r="H31" s="189">
        <v>1.1200000000000001</v>
      </c>
      <c r="I31" t="s">
        <v>2466</v>
      </c>
      <c r="J31" s="190">
        <v>1566</v>
      </c>
      <c r="K31" s="239">
        <v>2.04</v>
      </c>
      <c r="L31" s="137">
        <v>0.12</v>
      </c>
      <c r="M31">
        <v>1.24</v>
      </c>
      <c r="N31" t="s">
        <v>2465</v>
      </c>
      <c r="P31">
        <v>2231</v>
      </c>
      <c r="V31" s="190">
        <v>8101</v>
      </c>
      <c r="W31" t="s">
        <v>3412</v>
      </c>
    </row>
    <row r="32" spans="1:23">
      <c r="B32" s="190">
        <v>8422</v>
      </c>
      <c r="C32" s="190"/>
      <c r="D32" s="190"/>
      <c r="E32" s="190">
        <v>6279</v>
      </c>
      <c r="F32" s="239">
        <v>0.3</v>
      </c>
      <c r="G32" s="137">
        <v>0.39</v>
      </c>
      <c r="H32" s="189">
        <v>1.1200000000000001</v>
      </c>
      <c r="I32" t="s">
        <v>2466</v>
      </c>
      <c r="J32" s="190">
        <v>4109</v>
      </c>
      <c r="K32" s="239">
        <v>0.56999999999999995</v>
      </c>
      <c r="L32" s="137">
        <v>0.4</v>
      </c>
      <c r="M32">
        <v>1.23</v>
      </c>
      <c r="N32" t="s">
        <v>2465</v>
      </c>
      <c r="P32">
        <v>2233</v>
      </c>
      <c r="V32" s="190">
        <v>8210</v>
      </c>
      <c r="W32" t="s">
        <v>3413</v>
      </c>
    </row>
    <row r="33" spans="2:23">
      <c r="B33" s="190">
        <v>8433</v>
      </c>
      <c r="C33" s="190"/>
      <c r="D33" s="190"/>
      <c r="E33" s="190">
        <v>4129</v>
      </c>
      <c r="F33" s="239">
        <v>0.15</v>
      </c>
      <c r="G33" s="137">
        <v>0.75</v>
      </c>
      <c r="H33" s="189">
        <v>1.1100000000000001</v>
      </c>
      <c r="I33" t="s">
        <v>2466</v>
      </c>
      <c r="J33" s="190">
        <v>6184</v>
      </c>
      <c r="K33" s="239">
        <v>0.53</v>
      </c>
      <c r="L33" s="137">
        <v>0.43</v>
      </c>
      <c r="M33">
        <v>1.23</v>
      </c>
      <c r="N33" t="s">
        <v>2465</v>
      </c>
      <c r="P33">
        <v>2305</v>
      </c>
      <c r="V33" s="190">
        <v>8427</v>
      </c>
      <c r="W33" t="s">
        <v>3414</v>
      </c>
    </row>
    <row r="34" spans="2:23">
      <c r="B34" s="190">
        <v>9951</v>
      </c>
      <c r="C34" s="190"/>
      <c r="D34" s="190"/>
      <c r="E34" s="190">
        <v>4154</v>
      </c>
      <c r="F34" s="239">
        <v>0.16</v>
      </c>
      <c r="G34" s="137">
        <v>0.71</v>
      </c>
      <c r="H34" s="189">
        <v>1.1100000000000001</v>
      </c>
      <c r="I34" t="s">
        <v>2466</v>
      </c>
      <c r="J34" s="190">
        <v>6233</v>
      </c>
      <c r="K34" s="239">
        <v>0.51</v>
      </c>
      <c r="L34" s="137">
        <v>0.46</v>
      </c>
      <c r="M34">
        <v>1.23</v>
      </c>
      <c r="N34" t="s">
        <v>2465</v>
      </c>
      <c r="P34">
        <v>2313</v>
      </c>
      <c r="V34" s="190">
        <v>9905</v>
      </c>
      <c r="W34" t="s">
        <v>3415</v>
      </c>
    </row>
    <row r="35" spans="2:23">
      <c r="D35" s="190"/>
      <c r="E35" s="190">
        <v>8147</v>
      </c>
      <c r="F35" s="239">
        <v>0.38</v>
      </c>
      <c r="G35" s="137">
        <v>0.3</v>
      </c>
      <c r="H35" s="189">
        <v>1.1100000000000001</v>
      </c>
      <c r="I35" t="s">
        <v>2466</v>
      </c>
      <c r="J35" s="190">
        <v>8416</v>
      </c>
      <c r="K35" s="239">
        <v>0.41</v>
      </c>
      <c r="L35" s="137">
        <v>0.55000000000000004</v>
      </c>
      <c r="M35">
        <v>1.23</v>
      </c>
      <c r="N35" t="s">
        <v>2465</v>
      </c>
      <c r="P35">
        <v>2362</v>
      </c>
      <c r="V35" s="190">
        <v>9927</v>
      </c>
      <c r="W35" t="s">
        <v>3416</v>
      </c>
    </row>
    <row r="36" spans="2:23">
      <c r="E36" s="190">
        <v>1519</v>
      </c>
      <c r="F36" s="239">
        <v>0.62</v>
      </c>
      <c r="G36" s="137">
        <v>0.16</v>
      </c>
      <c r="H36" s="189">
        <v>1.1000000000000001</v>
      </c>
      <c r="I36" t="s">
        <v>2466</v>
      </c>
      <c r="J36" s="190">
        <v>1339</v>
      </c>
      <c r="K36" s="239">
        <v>0.72</v>
      </c>
      <c r="L36" s="137">
        <v>0.28000000000000003</v>
      </c>
      <c r="M36">
        <v>1.2</v>
      </c>
      <c r="N36" t="s">
        <v>2465</v>
      </c>
      <c r="P36">
        <v>2373</v>
      </c>
      <c r="V36" s="190">
        <v>9937</v>
      </c>
      <c r="W36" t="s">
        <v>3417</v>
      </c>
    </row>
    <row r="37" spans="2:23">
      <c r="E37" s="190">
        <v>4164</v>
      </c>
      <c r="F37" s="239">
        <v>0.28999999999999998</v>
      </c>
      <c r="G37" s="137">
        <v>0.33</v>
      </c>
      <c r="H37" s="189">
        <v>1.1000000000000001</v>
      </c>
      <c r="I37" t="s">
        <v>2466</v>
      </c>
      <c r="J37" s="190">
        <v>1618</v>
      </c>
      <c r="K37" s="239">
        <v>2.2400000000000002</v>
      </c>
      <c r="L37" s="137">
        <v>0.09</v>
      </c>
      <c r="M37">
        <v>1.2</v>
      </c>
      <c r="N37" t="s">
        <v>2465</v>
      </c>
      <c r="P37">
        <v>2379</v>
      </c>
      <c r="V37" s="190">
        <v>1785</v>
      </c>
      <c r="W37" t="s">
        <v>3418</v>
      </c>
    </row>
    <row r="38" spans="2:23">
      <c r="E38" s="190">
        <v>8040</v>
      </c>
      <c r="F38" s="239">
        <v>0.3</v>
      </c>
      <c r="G38" s="137">
        <v>0.32</v>
      </c>
      <c r="H38" s="189">
        <v>1.1000000000000001</v>
      </c>
      <c r="I38" t="s">
        <v>2466</v>
      </c>
      <c r="J38" s="190">
        <v>3552</v>
      </c>
      <c r="K38" s="239">
        <v>0.63</v>
      </c>
      <c r="L38" s="137">
        <v>0.31</v>
      </c>
      <c r="M38">
        <v>1.2</v>
      </c>
      <c r="N38" t="s">
        <v>2465</v>
      </c>
      <c r="P38">
        <v>2406</v>
      </c>
      <c r="V38" s="190">
        <v>2926</v>
      </c>
      <c r="W38" t="s">
        <v>3419</v>
      </c>
    </row>
    <row r="39" spans="2:23">
      <c r="E39" s="190">
        <v>3234</v>
      </c>
      <c r="F39" s="239">
        <v>0.24</v>
      </c>
      <c r="G39" s="137">
        <v>0.37</v>
      </c>
      <c r="H39" s="189">
        <v>1.0900000000000001</v>
      </c>
      <c r="I39" t="s">
        <v>2466</v>
      </c>
      <c r="J39" s="190">
        <v>4743</v>
      </c>
      <c r="K39" s="239">
        <v>0.4</v>
      </c>
      <c r="L39" s="137">
        <v>0.5</v>
      </c>
      <c r="M39">
        <v>1.2</v>
      </c>
      <c r="N39" t="s">
        <v>2465</v>
      </c>
      <c r="P39">
        <v>2417</v>
      </c>
      <c r="V39" s="190">
        <v>3324</v>
      </c>
      <c r="W39" t="s">
        <v>3420</v>
      </c>
    </row>
    <row r="40" spans="2:23">
      <c r="E40" s="190">
        <v>4141</v>
      </c>
      <c r="F40" s="239">
        <v>0.22</v>
      </c>
      <c r="G40" s="137">
        <v>0.43</v>
      </c>
      <c r="H40" s="189">
        <v>1.0900000000000001</v>
      </c>
      <c r="I40" t="s">
        <v>2466</v>
      </c>
      <c r="J40" s="190">
        <v>4746</v>
      </c>
      <c r="K40" s="239">
        <v>0.7</v>
      </c>
      <c r="L40" s="137">
        <v>0.28000000000000003</v>
      </c>
      <c r="M40">
        <v>1.2</v>
      </c>
      <c r="N40" t="s">
        <v>2465</v>
      </c>
      <c r="P40">
        <v>2419</v>
      </c>
      <c r="V40" s="190">
        <v>3374</v>
      </c>
      <c r="W40" t="s">
        <v>3421</v>
      </c>
    </row>
    <row r="41" spans="2:23">
      <c r="E41" s="190">
        <v>5395</v>
      </c>
      <c r="F41" s="239">
        <v>0.41</v>
      </c>
      <c r="G41" s="137">
        <v>0.22</v>
      </c>
      <c r="H41" s="189">
        <v>1.0900000000000001</v>
      </c>
      <c r="I41" t="s">
        <v>2466</v>
      </c>
      <c r="J41" s="190">
        <v>6415</v>
      </c>
      <c r="K41" s="239">
        <v>0.43</v>
      </c>
      <c r="L41" s="137">
        <v>0.46</v>
      </c>
      <c r="M41">
        <v>1.2</v>
      </c>
      <c r="N41" t="s">
        <v>2465</v>
      </c>
      <c r="P41">
        <v>2423</v>
      </c>
      <c r="V41" s="190">
        <v>3558</v>
      </c>
      <c r="W41" t="s">
        <v>3422</v>
      </c>
    </row>
    <row r="42" spans="2:23">
      <c r="E42" s="190">
        <v>6237</v>
      </c>
      <c r="F42" s="239">
        <v>0.14000000000000001</v>
      </c>
      <c r="G42" s="137">
        <v>0.62</v>
      </c>
      <c r="H42" s="189">
        <v>1.0900000000000001</v>
      </c>
      <c r="I42" t="s">
        <v>2466</v>
      </c>
      <c r="J42" s="190">
        <v>2496</v>
      </c>
      <c r="K42" s="239">
        <v>0.92</v>
      </c>
      <c r="L42" s="137">
        <v>0.21</v>
      </c>
      <c r="M42">
        <v>1.19</v>
      </c>
      <c r="N42" t="s">
        <v>2465</v>
      </c>
      <c r="P42">
        <v>2425</v>
      </c>
      <c r="V42" s="190">
        <v>3587</v>
      </c>
      <c r="W42" t="s">
        <v>3423</v>
      </c>
    </row>
    <row r="43" spans="2:23">
      <c r="E43" s="190">
        <v>8077</v>
      </c>
      <c r="F43" s="239">
        <v>0.52</v>
      </c>
      <c r="G43" s="137">
        <v>0.18</v>
      </c>
      <c r="H43" s="189">
        <v>1.0900000000000001</v>
      </c>
      <c r="I43" t="s">
        <v>2466</v>
      </c>
      <c r="J43" s="190">
        <v>3535</v>
      </c>
      <c r="K43" s="239">
        <v>0.67</v>
      </c>
      <c r="L43" s="137">
        <v>0.28999999999999998</v>
      </c>
      <c r="M43">
        <v>1.19</v>
      </c>
      <c r="N43" t="s">
        <v>2465</v>
      </c>
      <c r="P43">
        <v>2427</v>
      </c>
      <c r="V43" s="190">
        <v>4114</v>
      </c>
      <c r="W43" t="s">
        <v>3424</v>
      </c>
    </row>
    <row r="44" spans="2:23">
      <c r="E44" s="190">
        <v>8446</v>
      </c>
      <c r="F44" s="239">
        <v>0.19</v>
      </c>
      <c r="G44" s="137">
        <v>0.46</v>
      </c>
      <c r="H44" s="189">
        <v>1.0900000000000001</v>
      </c>
      <c r="I44" t="s">
        <v>2466</v>
      </c>
      <c r="J44" s="190">
        <v>5202</v>
      </c>
      <c r="K44" s="239">
        <v>0.3</v>
      </c>
      <c r="L44" s="137">
        <v>0.64</v>
      </c>
      <c r="M44">
        <v>1.19</v>
      </c>
      <c r="N44" t="s">
        <v>2465</v>
      </c>
      <c r="P44">
        <v>2433</v>
      </c>
      <c r="V44" s="190">
        <v>4126</v>
      </c>
      <c r="W44" t="s">
        <v>3425</v>
      </c>
    </row>
    <row r="45" spans="2:23">
      <c r="E45" s="190">
        <v>3652</v>
      </c>
      <c r="F45" s="239">
        <v>0.24</v>
      </c>
      <c r="G45" s="137">
        <v>0.34</v>
      </c>
      <c r="H45" s="189">
        <v>1.08</v>
      </c>
      <c r="I45" t="s">
        <v>2466</v>
      </c>
      <c r="J45" s="190">
        <v>2474</v>
      </c>
      <c r="K45" s="239">
        <v>0.38</v>
      </c>
      <c r="L45" s="137">
        <v>0.47</v>
      </c>
      <c r="M45">
        <v>1.18</v>
      </c>
      <c r="N45" t="s">
        <v>2465</v>
      </c>
      <c r="P45">
        <v>2438</v>
      </c>
      <c r="V45" s="190">
        <v>4736</v>
      </c>
      <c r="W45" t="s">
        <v>3426</v>
      </c>
    </row>
    <row r="46" spans="2:23">
      <c r="E46" s="190">
        <v>4426</v>
      </c>
      <c r="F46" s="239">
        <v>0.18</v>
      </c>
      <c r="G46" s="137">
        <v>0.46</v>
      </c>
      <c r="H46" s="189">
        <v>1.08</v>
      </c>
      <c r="I46" t="s">
        <v>2466</v>
      </c>
      <c r="J46" s="190">
        <v>3169</v>
      </c>
      <c r="K46" s="239">
        <v>0.46</v>
      </c>
      <c r="L46" s="137">
        <v>0.39</v>
      </c>
      <c r="M46">
        <v>1.18</v>
      </c>
      <c r="N46" t="s">
        <v>2465</v>
      </c>
      <c r="P46">
        <v>2442</v>
      </c>
      <c r="V46" s="190">
        <v>4909</v>
      </c>
      <c r="W46" t="s">
        <v>3427</v>
      </c>
    </row>
    <row r="47" spans="2:23">
      <c r="E47" s="190">
        <v>4747</v>
      </c>
      <c r="F47" s="239">
        <v>0.16</v>
      </c>
      <c r="G47" s="137">
        <v>0.49</v>
      </c>
      <c r="H47" s="189">
        <v>1.08</v>
      </c>
      <c r="I47" t="s">
        <v>2466</v>
      </c>
      <c r="J47" s="190">
        <v>4503</v>
      </c>
      <c r="K47" s="239">
        <v>0.44</v>
      </c>
      <c r="L47" s="137">
        <v>0.42</v>
      </c>
      <c r="M47">
        <v>1.18</v>
      </c>
      <c r="N47" t="s">
        <v>2465</v>
      </c>
      <c r="P47">
        <v>2443</v>
      </c>
      <c r="V47" s="190">
        <v>5287</v>
      </c>
      <c r="W47" t="s">
        <v>3428</v>
      </c>
    </row>
    <row r="48" spans="2:23">
      <c r="E48" s="190">
        <v>6144</v>
      </c>
      <c r="F48" s="239">
        <v>0.27</v>
      </c>
      <c r="G48" s="137">
        <v>0.28000000000000003</v>
      </c>
      <c r="H48" s="189">
        <v>1.08</v>
      </c>
      <c r="I48" t="s">
        <v>2466</v>
      </c>
      <c r="J48" s="190">
        <v>5364</v>
      </c>
      <c r="K48" s="239">
        <v>1.1499999999999999</v>
      </c>
      <c r="L48" s="137">
        <v>0.16</v>
      </c>
      <c r="M48">
        <v>1.18</v>
      </c>
      <c r="N48" t="s">
        <v>2465</v>
      </c>
      <c r="P48">
        <v>2464</v>
      </c>
      <c r="V48" s="190">
        <v>5536</v>
      </c>
      <c r="W48" t="s">
        <v>3429</v>
      </c>
    </row>
    <row r="49" spans="5:23">
      <c r="E49" s="190">
        <v>6404</v>
      </c>
      <c r="F49" s="239">
        <v>0.42</v>
      </c>
      <c r="G49" s="137">
        <v>0.2</v>
      </c>
      <c r="H49" s="189">
        <v>1.08</v>
      </c>
      <c r="I49" t="s">
        <v>2466</v>
      </c>
      <c r="J49" s="190">
        <v>3529</v>
      </c>
      <c r="K49" s="239">
        <v>0.17</v>
      </c>
      <c r="L49" s="137">
        <v>1</v>
      </c>
      <c r="M49">
        <v>1.17</v>
      </c>
      <c r="N49" t="s">
        <v>2465</v>
      </c>
      <c r="P49">
        <v>2465</v>
      </c>
      <c r="V49" s="190">
        <v>6231</v>
      </c>
      <c r="W49" t="s">
        <v>3430</v>
      </c>
    </row>
    <row r="50" spans="5:23">
      <c r="E50" s="190">
        <v>1339</v>
      </c>
      <c r="F50" s="239">
        <v>0.25</v>
      </c>
      <c r="G50" s="137">
        <v>0.28000000000000003</v>
      </c>
      <c r="H50" s="189">
        <v>1.07</v>
      </c>
      <c r="I50" t="s">
        <v>2466</v>
      </c>
      <c r="J50" s="190">
        <v>3593</v>
      </c>
      <c r="K50" s="239">
        <v>4.13</v>
      </c>
      <c r="L50" s="137">
        <v>0.04</v>
      </c>
      <c r="M50">
        <v>1.17</v>
      </c>
      <c r="N50" t="s">
        <v>2465</v>
      </c>
      <c r="P50">
        <v>2474</v>
      </c>
      <c r="V50" s="190">
        <v>6803</v>
      </c>
      <c r="W50" t="s">
        <v>3431</v>
      </c>
    </row>
    <row r="51" spans="5:23">
      <c r="E51" s="190">
        <v>1512</v>
      </c>
      <c r="F51" s="239">
        <v>0.7</v>
      </c>
      <c r="G51" s="137">
        <v>0.1</v>
      </c>
      <c r="H51" s="189">
        <v>1.07</v>
      </c>
      <c r="I51" t="s">
        <v>2466</v>
      </c>
      <c r="J51" s="190">
        <v>4947</v>
      </c>
      <c r="K51" s="239">
        <v>0.34</v>
      </c>
      <c r="L51" s="137">
        <v>0.51</v>
      </c>
      <c r="M51">
        <v>1.17</v>
      </c>
      <c r="N51" t="s">
        <v>2465</v>
      </c>
      <c r="P51">
        <v>2485</v>
      </c>
      <c r="V51" s="190">
        <v>8050</v>
      </c>
      <c r="W51" t="s">
        <v>3432</v>
      </c>
    </row>
    <row r="52" spans="5:23">
      <c r="E52" s="190">
        <v>1810</v>
      </c>
      <c r="F52" s="239">
        <v>0.26</v>
      </c>
      <c r="G52" s="137">
        <v>0.27</v>
      </c>
      <c r="H52" s="189">
        <v>1.07</v>
      </c>
      <c r="I52" t="s">
        <v>2466</v>
      </c>
      <c r="J52" s="190">
        <v>8436</v>
      </c>
      <c r="K52" s="239">
        <v>0.47</v>
      </c>
      <c r="L52" s="137">
        <v>0.34</v>
      </c>
      <c r="M52">
        <v>1.1599999999999999</v>
      </c>
      <c r="N52" t="s">
        <v>2465</v>
      </c>
      <c r="P52">
        <v>2488</v>
      </c>
      <c r="V52" s="190">
        <v>8091</v>
      </c>
      <c r="W52" t="s">
        <v>3433</v>
      </c>
    </row>
    <row r="53" spans="5:23">
      <c r="E53" s="190">
        <v>2379</v>
      </c>
      <c r="F53" s="239">
        <v>0.17</v>
      </c>
      <c r="G53" s="137">
        <v>0.42</v>
      </c>
      <c r="H53" s="189">
        <v>1.07</v>
      </c>
      <c r="I53" t="s">
        <v>2466</v>
      </c>
      <c r="J53" s="190">
        <v>2427</v>
      </c>
      <c r="K53" s="239">
        <v>0.39</v>
      </c>
      <c r="L53" s="137">
        <v>0.39</v>
      </c>
      <c r="M53">
        <v>1.1499999999999999</v>
      </c>
      <c r="N53" t="s">
        <v>2465</v>
      </c>
      <c r="P53">
        <v>2489</v>
      </c>
      <c r="V53" s="190">
        <v>8403</v>
      </c>
      <c r="W53" t="s">
        <v>3434</v>
      </c>
    </row>
    <row r="54" spans="5:23">
      <c r="E54" s="190">
        <v>3004</v>
      </c>
      <c r="F54" s="239">
        <v>0.19</v>
      </c>
      <c r="G54" s="137">
        <v>0.35</v>
      </c>
      <c r="H54" s="189">
        <v>1.07</v>
      </c>
      <c r="I54" t="s">
        <v>2466</v>
      </c>
      <c r="J54" s="190">
        <v>3454</v>
      </c>
      <c r="K54" s="239">
        <v>0.33</v>
      </c>
      <c r="L54" s="137">
        <v>0.44</v>
      </c>
      <c r="M54">
        <v>1.1499999999999999</v>
      </c>
      <c r="N54" t="s">
        <v>2465</v>
      </c>
      <c r="P54">
        <v>2495</v>
      </c>
      <c r="V54" s="190">
        <v>8436</v>
      </c>
      <c r="W54" t="s">
        <v>3435</v>
      </c>
    </row>
    <row r="55" spans="5:23">
      <c r="E55" s="190">
        <v>3169</v>
      </c>
      <c r="F55" s="239">
        <v>0.18</v>
      </c>
      <c r="G55" s="137">
        <v>0.39</v>
      </c>
      <c r="H55" s="189">
        <v>1.07</v>
      </c>
      <c r="I55" t="s">
        <v>2466</v>
      </c>
      <c r="J55" s="190">
        <v>4129</v>
      </c>
      <c r="K55" s="239">
        <v>0.2</v>
      </c>
      <c r="L55" s="137">
        <v>0.75</v>
      </c>
      <c r="M55">
        <v>1.1499999999999999</v>
      </c>
      <c r="N55" t="s">
        <v>2465</v>
      </c>
      <c r="P55">
        <v>2496</v>
      </c>
    </row>
    <row r="56" spans="5:23">
      <c r="E56" s="190">
        <v>3376</v>
      </c>
      <c r="F56" s="239">
        <v>0.19</v>
      </c>
      <c r="G56" s="137">
        <v>0.35</v>
      </c>
      <c r="H56" s="189">
        <v>1.07</v>
      </c>
      <c r="I56" t="s">
        <v>2466</v>
      </c>
      <c r="J56" s="190">
        <v>1258</v>
      </c>
      <c r="K56" s="239">
        <v>0.57999999999999996</v>
      </c>
      <c r="L56" s="137">
        <v>0.25</v>
      </c>
      <c r="M56">
        <v>1.1399999999999999</v>
      </c>
      <c r="N56" t="s">
        <v>2465</v>
      </c>
      <c r="P56">
        <v>2637</v>
      </c>
    </row>
    <row r="57" spans="5:23">
      <c r="E57" s="190">
        <v>3490</v>
      </c>
      <c r="F57" s="239">
        <v>0.26</v>
      </c>
      <c r="G57" s="137">
        <v>0.26</v>
      </c>
      <c r="H57" s="189">
        <v>1.07</v>
      </c>
      <c r="I57" t="s">
        <v>2466</v>
      </c>
      <c r="J57" s="190">
        <v>3691</v>
      </c>
      <c r="K57" s="239">
        <v>0.63</v>
      </c>
      <c r="L57" s="137">
        <v>0.23</v>
      </c>
      <c r="M57">
        <v>1.1399999999999999</v>
      </c>
      <c r="N57" t="s">
        <v>2465</v>
      </c>
      <c r="P57">
        <v>2702</v>
      </c>
    </row>
    <row r="58" spans="5:23">
      <c r="E58" s="190">
        <v>3687</v>
      </c>
      <c r="F58" s="239">
        <v>0.24</v>
      </c>
      <c r="G58" s="137">
        <v>0.3</v>
      </c>
      <c r="H58" s="189">
        <v>1.07</v>
      </c>
      <c r="I58" t="s">
        <v>2466</v>
      </c>
      <c r="J58" s="190">
        <v>8266</v>
      </c>
      <c r="K58" s="239">
        <v>0.91</v>
      </c>
      <c r="L58" s="137">
        <v>0.15</v>
      </c>
      <c r="M58">
        <v>1.1399999999999999</v>
      </c>
      <c r="N58" t="s">
        <v>2465</v>
      </c>
      <c r="P58">
        <v>2729</v>
      </c>
    </row>
    <row r="59" spans="5:23">
      <c r="E59" s="190">
        <v>5403</v>
      </c>
      <c r="F59" s="239">
        <v>0.27</v>
      </c>
      <c r="G59" s="137">
        <v>0.25</v>
      </c>
      <c r="H59" s="189">
        <v>1.07</v>
      </c>
      <c r="I59" t="s">
        <v>2466</v>
      </c>
      <c r="J59" s="190">
        <v>9945</v>
      </c>
      <c r="K59" s="239">
        <v>0.44</v>
      </c>
      <c r="L59" s="137">
        <v>0.31</v>
      </c>
      <c r="M59">
        <v>1.1399999999999999</v>
      </c>
      <c r="N59" t="s">
        <v>2465</v>
      </c>
      <c r="P59">
        <v>2916</v>
      </c>
    </row>
    <row r="60" spans="5:23">
      <c r="E60" s="190">
        <v>2233</v>
      </c>
      <c r="F60" s="239">
        <v>0.21</v>
      </c>
      <c r="G60" s="137">
        <v>0.28000000000000003</v>
      </c>
      <c r="H60" s="189">
        <v>1.06</v>
      </c>
      <c r="I60" t="s">
        <v>2466</v>
      </c>
      <c r="J60" s="190">
        <v>1707</v>
      </c>
      <c r="K60" s="239">
        <v>0.15</v>
      </c>
      <c r="L60" s="137">
        <v>0.88</v>
      </c>
      <c r="M60">
        <v>1.1299999999999999</v>
      </c>
      <c r="N60" t="s">
        <v>2465</v>
      </c>
      <c r="P60">
        <v>2926</v>
      </c>
    </row>
    <row r="61" spans="5:23">
      <c r="E61" s="190">
        <v>2305</v>
      </c>
      <c r="F61" s="239">
        <v>0.16</v>
      </c>
      <c r="G61" s="137">
        <v>0.38</v>
      </c>
      <c r="H61" s="189">
        <v>1.06</v>
      </c>
      <c r="I61" t="s">
        <v>2466</v>
      </c>
      <c r="J61" s="190">
        <v>2438</v>
      </c>
      <c r="K61" s="239">
        <v>0.33</v>
      </c>
      <c r="L61" s="137">
        <v>0.38</v>
      </c>
      <c r="M61">
        <v>1.1299999999999999</v>
      </c>
      <c r="N61" t="s">
        <v>2465</v>
      </c>
      <c r="P61">
        <v>2929</v>
      </c>
    </row>
    <row r="62" spans="5:23">
      <c r="E62" s="190">
        <v>3548</v>
      </c>
      <c r="F62" s="239">
        <v>0.25</v>
      </c>
      <c r="G62" s="137">
        <v>0.24</v>
      </c>
      <c r="H62" s="189">
        <v>1.06</v>
      </c>
      <c r="I62" t="s">
        <v>2466</v>
      </c>
      <c r="J62" s="190">
        <v>3617</v>
      </c>
      <c r="K62" s="239">
        <v>0.28999999999999998</v>
      </c>
      <c r="L62" s="137">
        <v>0.44</v>
      </c>
      <c r="M62">
        <v>1.1299999999999999</v>
      </c>
      <c r="N62" t="s">
        <v>2465</v>
      </c>
      <c r="P62">
        <v>3004</v>
      </c>
    </row>
    <row r="63" spans="5:23">
      <c r="E63" s="190">
        <v>4139</v>
      </c>
      <c r="F63" s="239">
        <v>0.4</v>
      </c>
      <c r="G63" s="137">
        <v>0.15</v>
      </c>
      <c r="H63" s="189">
        <v>1.06</v>
      </c>
      <c r="I63" t="s">
        <v>2466</v>
      </c>
      <c r="J63" s="190">
        <v>4105</v>
      </c>
      <c r="K63" s="239">
        <v>0.18</v>
      </c>
      <c r="L63" s="137">
        <v>0.72</v>
      </c>
      <c r="M63">
        <v>1.1299999999999999</v>
      </c>
      <c r="N63" t="s">
        <v>2465</v>
      </c>
      <c r="P63">
        <v>3027</v>
      </c>
    </row>
    <row r="64" spans="5:23">
      <c r="E64" s="190">
        <v>4161</v>
      </c>
      <c r="F64" s="239">
        <v>0.18</v>
      </c>
      <c r="G64" s="137">
        <v>0.34</v>
      </c>
      <c r="H64" s="189">
        <v>1.06</v>
      </c>
      <c r="I64" t="s">
        <v>2466</v>
      </c>
      <c r="J64" s="190">
        <v>4420</v>
      </c>
      <c r="K64" s="239">
        <v>1.42</v>
      </c>
      <c r="L64" s="137">
        <v>0.09</v>
      </c>
      <c r="M64">
        <v>1.1299999999999999</v>
      </c>
      <c r="N64" t="s">
        <v>2465</v>
      </c>
      <c r="P64">
        <v>3032</v>
      </c>
    </row>
    <row r="65" spans="5:16">
      <c r="E65" s="190">
        <v>4527</v>
      </c>
      <c r="F65" s="239">
        <v>0.25</v>
      </c>
      <c r="G65" s="137">
        <v>0.24</v>
      </c>
      <c r="H65" s="189">
        <v>1.06</v>
      </c>
      <c r="I65" t="s">
        <v>2466</v>
      </c>
      <c r="J65" s="190">
        <v>5213</v>
      </c>
      <c r="K65" s="239">
        <v>0.43</v>
      </c>
      <c r="L65" s="137">
        <v>0.31</v>
      </c>
      <c r="M65">
        <v>1.1299999999999999</v>
      </c>
      <c r="N65" t="s">
        <v>2465</v>
      </c>
      <c r="P65">
        <v>3046</v>
      </c>
    </row>
    <row r="66" spans="5:16">
      <c r="E66" s="190">
        <v>4735</v>
      </c>
      <c r="F66" s="239">
        <v>0.31</v>
      </c>
      <c r="G66" s="137">
        <v>0.19</v>
      </c>
      <c r="H66" s="189">
        <v>1.06</v>
      </c>
      <c r="I66" t="s">
        <v>2466</v>
      </c>
      <c r="J66" s="190">
        <v>5269</v>
      </c>
      <c r="K66" s="239">
        <v>0.28000000000000003</v>
      </c>
      <c r="L66" s="137">
        <v>0.48</v>
      </c>
      <c r="M66">
        <v>1.1299999999999999</v>
      </c>
      <c r="N66" t="s">
        <v>2465</v>
      </c>
      <c r="P66">
        <v>3050</v>
      </c>
    </row>
    <row r="67" spans="5:16">
      <c r="E67" s="190">
        <v>4746</v>
      </c>
      <c r="F67" s="239">
        <v>0.22</v>
      </c>
      <c r="G67" s="137">
        <v>0.28000000000000003</v>
      </c>
      <c r="H67" s="189">
        <v>1.06</v>
      </c>
      <c r="I67" t="s">
        <v>2466</v>
      </c>
      <c r="J67" s="190">
        <v>5443</v>
      </c>
      <c r="K67" s="239">
        <v>0.47</v>
      </c>
      <c r="L67" s="137">
        <v>0.27</v>
      </c>
      <c r="M67">
        <v>1.1299999999999999</v>
      </c>
      <c r="N67" t="s">
        <v>2465</v>
      </c>
      <c r="P67">
        <v>3078</v>
      </c>
    </row>
    <row r="68" spans="5:16">
      <c r="E68" s="190">
        <v>4979</v>
      </c>
      <c r="F68" s="239">
        <v>0.2</v>
      </c>
      <c r="G68" s="137">
        <v>0.28000000000000003</v>
      </c>
      <c r="H68" s="189">
        <v>1.06</v>
      </c>
      <c r="I68" t="s">
        <v>2466</v>
      </c>
      <c r="J68" s="190">
        <v>8176</v>
      </c>
      <c r="K68" s="239">
        <v>0.45</v>
      </c>
      <c r="L68" s="137">
        <v>0.28000000000000003</v>
      </c>
      <c r="M68">
        <v>1.1299999999999999</v>
      </c>
      <c r="N68" t="s">
        <v>2465</v>
      </c>
      <c r="P68">
        <v>3088</v>
      </c>
    </row>
    <row r="69" spans="5:16">
      <c r="E69" s="190">
        <v>5264</v>
      </c>
      <c r="F69" s="239">
        <v>0.22</v>
      </c>
      <c r="G69" s="137">
        <v>0.27</v>
      </c>
      <c r="H69" s="189">
        <v>1.06</v>
      </c>
      <c r="I69" t="s">
        <v>2466</v>
      </c>
      <c r="J69" s="190">
        <v>8341</v>
      </c>
      <c r="K69" s="239">
        <v>0.24</v>
      </c>
      <c r="L69" s="137">
        <v>0.55000000000000004</v>
      </c>
      <c r="M69">
        <v>1.1299999999999999</v>
      </c>
      <c r="N69" t="s">
        <v>2465</v>
      </c>
      <c r="P69">
        <v>3094</v>
      </c>
    </row>
    <row r="70" spans="5:16">
      <c r="E70" s="190">
        <v>5487</v>
      </c>
      <c r="F70" s="239">
        <v>0.18</v>
      </c>
      <c r="G70" s="137">
        <v>0.35</v>
      </c>
      <c r="H70" s="189">
        <v>1.06</v>
      </c>
      <c r="I70" t="s">
        <v>2466</v>
      </c>
      <c r="J70" s="190">
        <v>8409</v>
      </c>
      <c r="K70" s="239">
        <v>0.24</v>
      </c>
      <c r="L70" s="137">
        <v>0.54</v>
      </c>
      <c r="M70">
        <v>1.1299999999999999</v>
      </c>
      <c r="N70" t="s">
        <v>2465</v>
      </c>
      <c r="P70">
        <v>3105</v>
      </c>
    </row>
    <row r="71" spans="5:16">
      <c r="E71" s="190">
        <v>6214</v>
      </c>
      <c r="F71" s="239">
        <v>0.23</v>
      </c>
      <c r="G71" s="137">
        <v>0.26</v>
      </c>
      <c r="H71" s="189">
        <v>1.06</v>
      </c>
      <c r="I71" t="s">
        <v>2466</v>
      </c>
      <c r="J71" s="190">
        <v>3226</v>
      </c>
      <c r="K71" s="239">
        <v>0.48</v>
      </c>
      <c r="L71" s="137">
        <v>0.25</v>
      </c>
      <c r="M71">
        <v>1.1200000000000001</v>
      </c>
      <c r="N71" t="s">
        <v>2465</v>
      </c>
      <c r="P71">
        <v>3122</v>
      </c>
    </row>
    <row r="72" spans="5:16">
      <c r="E72" s="190">
        <v>6245</v>
      </c>
      <c r="F72" s="239">
        <v>0.18</v>
      </c>
      <c r="G72" s="137">
        <v>0.31</v>
      </c>
      <c r="H72" s="189">
        <v>1.06</v>
      </c>
      <c r="I72" t="s">
        <v>2466</v>
      </c>
      <c r="J72" s="190">
        <v>4502</v>
      </c>
      <c r="K72" s="239">
        <v>1.93</v>
      </c>
      <c r="L72" s="137">
        <v>0.06</v>
      </c>
      <c r="M72">
        <v>1.1200000000000001</v>
      </c>
      <c r="N72" t="s">
        <v>2465</v>
      </c>
      <c r="P72">
        <v>3131</v>
      </c>
    </row>
    <row r="73" spans="5:16">
      <c r="E73" s="190">
        <v>6422</v>
      </c>
      <c r="F73" s="239">
        <v>0.15</v>
      </c>
      <c r="G73" s="137">
        <v>0.41</v>
      </c>
      <c r="H73" s="189">
        <v>1.06</v>
      </c>
      <c r="I73" t="s">
        <v>2466</v>
      </c>
      <c r="J73" s="190">
        <v>4966</v>
      </c>
      <c r="K73" s="239">
        <v>0.3</v>
      </c>
      <c r="L73" s="137">
        <v>0.4</v>
      </c>
      <c r="M73">
        <v>1.1200000000000001</v>
      </c>
      <c r="N73" t="s">
        <v>2465</v>
      </c>
      <c r="P73">
        <v>3141</v>
      </c>
    </row>
    <row r="74" spans="5:16">
      <c r="E74" s="190">
        <v>8176</v>
      </c>
      <c r="F74" s="239">
        <v>0.2</v>
      </c>
      <c r="G74" s="137">
        <v>0.28000000000000003</v>
      </c>
      <c r="H74" s="189">
        <v>1.06</v>
      </c>
      <c r="I74" t="s">
        <v>2466</v>
      </c>
      <c r="J74" s="190">
        <v>8913</v>
      </c>
      <c r="K74" s="239">
        <v>0.19</v>
      </c>
      <c r="L74" s="137">
        <v>0.61</v>
      </c>
      <c r="M74">
        <v>1.1200000000000001</v>
      </c>
      <c r="N74" t="s">
        <v>2465</v>
      </c>
      <c r="P74">
        <v>3152</v>
      </c>
    </row>
    <row r="75" spans="5:16">
      <c r="E75" s="190">
        <v>8924</v>
      </c>
      <c r="F75" s="239">
        <v>0.56000000000000005</v>
      </c>
      <c r="G75" s="137">
        <v>0.11</v>
      </c>
      <c r="H75" s="189">
        <v>1.06</v>
      </c>
      <c r="I75" t="s">
        <v>2466</v>
      </c>
      <c r="J75" s="190">
        <v>1570</v>
      </c>
      <c r="K75" s="239">
        <v>0.38</v>
      </c>
      <c r="L75" s="137">
        <v>0.28000000000000003</v>
      </c>
      <c r="M75">
        <v>1.1100000000000001</v>
      </c>
      <c r="N75" t="s">
        <v>2465</v>
      </c>
      <c r="P75">
        <v>3169</v>
      </c>
    </row>
    <row r="76" spans="5:16">
      <c r="E76" s="190">
        <v>1464</v>
      </c>
      <c r="F76" s="239">
        <v>0.28000000000000003</v>
      </c>
      <c r="G76" s="137">
        <v>0.18</v>
      </c>
      <c r="H76" s="189">
        <v>1.05</v>
      </c>
      <c r="I76" t="s">
        <v>2466</v>
      </c>
      <c r="J76" s="190">
        <v>2926</v>
      </c>
      <c r="K76" s="239">
        <v>0.26</v>
      </c>
      <c r="L76" s="137">
        <v>0.44</v>
      </c>
      <c r="M76">
        <v>1.1100000000000001</v>
      </c>
      <c r="N76" t="s">
        <v>2465</v>
      </c>
      <c r="P76">
        <v>3191</v>
      </c>
    </row>
    <row r="77" spans="5:16">
      <c r="E77" s="190">
        <v>1618</v>
      </c>
      <c r="F77" s="239">
        <v>0.57999999999999996</v>
      </c>
      <c r="G77" s="137">
        <v>0.09</v>
      </c>
      <c r="H77" s="189">
        <v>1.05</v>
      </c>
      <c r="I77" t="s">
        <v>2466</v>
      </c>
      <c r="J77" s="190">
        <v>3088</v>
      </c>
      <c r="K77" s="239">
        <v>0.3</v>
      </c>
      <c r="L77" s="137">
        <v>0.36</v>
      </c>
      <c r="M77">
        <v>1.1100000000000001</v>
      </c>
      <c r="N77" t="s">
        <v>2465</v>
      </c>
      <c r="P77">
        <v>3205</v>
      </c>
    </row>
    <row r="78" spans="5:16">
      <c r="E78" s="190">
        <v>2362</v>
      </c>
      <c r="F78" s="239">
        <v>0.14000000000000001</v>
      </c>
      <c r="G78" s="137">
        <v>0.35</v>
      </c>
      <c r="H78" s="189">
        <v>1.05</v>
      </c>
      <c r="I78" t="s">
        <v>2466</v>
      </c>
      <c r="J78" s="190">
        <v>3094</v>
      </c>
      <c r="K78" s="239">
        <v>0.16</v>
      </c>
      <c r="L78" s="137">
        <v>0.67</v>
      </c>
      <c r="M78">
        <v>1.1100000000000001</v>
      </c>
      <c r="N78" t="s">
        <v>2465</v>
      </c>
      <c r="P78">
        <v>3226</v>
      </c>
    </row>
    <row r="79" spans="5:16">
      <c r="E79" s="190">
        <v>2419</v>
      </c>
      <c r="F79" s="239">
        <v>0.21</v>
      </c>
      <c r="G79" s="137">
        <v>0.22</v>
      </c>
      <c r="H79" s="189">
        <v>1.05</v>
      </c>
      <c r="I79" t="s">
        <v>2466</v>
      </c>
      <c r="J79" s="190">
        <v>4130</v>
      </c>
      <c r="K79" s="239">
        <v>0.22</v>
      </c>
      <c r="L79" s="137">
        <v>0.5</v>
      </c>
      <c r="M79">
        <v>1.1100000000000001</v>
      </c>
      <c r="N79" t="s">
        <v>2465</v>
      </c>
      <c r="P79">
        <v>3234</v>
      </c>
    </row>
    <row r="80" spans="5:16">
      <c r="E80" s="190">
        <v>2465</v>
      </c>
      <c r="F80" s="239">
        <v>0.32</v>
      </c>
      <c r="G80" s="137">
        <v>0.16</v>
      </c>
      <c r="H80" s="189">
        <v>1.05</v>
      </c>
      <c r="I80" t="s">
        <v>2466</v>
      </c>
      <c r="J80" s="190">
        <v>4160</v>
      </c>
      <c r="K80" s="239">
        <v>0.43</v>
      </c>
      <c r="L80" s="137">
        <v>0.26</v>
      </c>
      <c r="M80">
        <v>1.1100000000000001</v>
      </c>
      <c r="N80" t="s">
        <v>2465</v>
      </c>
      <c r="P80">
        <v>3285</v>
      </c>
    </row>
    <row r="81" spans="5:16">
      <c r="E81" s="190">
        <v>3078</v>
      </c>
      <c r="F81" s="239">
        <v>0.27</v>
      </c>
      <c r="G81" s="137">
        <v>0.2</v>
      </c>
      <c r="H81" s="189">
        <v>1.05</v>
      </c>
      <c r="I81" t="s">
        <v>2466</v>
      </c>
      <c r="J81" s="190">
        <v>2373</v>
      </c>
      <c r="K81" s="239">
        <v>0.24</v>
      </c>
      <c r="L81" s="137">
        <v>0.41</v>
      </c>
      <c r="M81">
        <v>1.1000000000000001</v>
      </c>
      <c r="N81" t="s">
        <v>2465</v>
      </c>
      <c r="P81">
        <v>3293</v>
      </c>
    </row>
    <row r="82" spans="5:16">
      <c r="E82" s="190">
        <v>3325</v>
      </c>
      <c r="F82" s="239">
        <v>0.39</v>
      </c>
      <c r="G82" s="137">
        <v>0.12</v>
      </c>
      <c r="H82" s="189">
        <v>1.05</v>
      </c>
      <c r="I82" t="s">
        <v>2466</v>
      </c>
      <c r="J82" s="190">
        <v>2406</v>
      </c>
      <c r="K82" s="239">
        <v>0.65</v>
      </c>
      <c r="L82" s="137">
        <v>0.16</v>
      </c>
      <c r="M82">
        <v>1.1000000000000001</v>
      </c>
      <c r="N82" t="s">
        <v>2465</v>
      </c>
      <c r="P82">
        <v>3310</v>
      </c>
    </row>
    <row r="83" spans="5:16">
      <c r="E83" s="190">
        <v>3521</v>
      </c>
      <c r="F83" s="239">
        <v>0.24</v>
      </c>
      <c r="G83" s="137">
        <v>0.19</v>
      </c>
      <c r="H83" s="189">
        <v>1.05</v>
      </c>
      <c r="I83" t="s">
        <v>2466</v>
      </c>
      <c r="J83" s="190">
        <v>2729</v>
      </c>
      <c r="K83" s="239">
        <v>0.19</v>
      </c>
      <c r="L83" s="137">
        <v>0.52</v>
      </c>
      <c r="M83">
        <v>1.1000000000000001</v>
      </c>
      <c r="N83" t="s">
        <v>2465</v>
      </c>
      <c r="P83">
        <v>3325</v>
      </c>
    </row>
    <row r="84" spans="5:16">
      <c r="E84" s="190">
        <v>5215</v>
      </c>
      <c r="F84" s="239">
        <v>0.19</v>
      </c>
      <c r="G84" s="137">
        <v>0.24</v>
      </c>
      <c r="H84" s="189">
        <v>1.05</v>
      </c>
      <c r="I84" t="s">
        <v>2466</v>
      </c>
      <c r="J84" s="190">
        <v>3004</v>
      </c>
      <c r="K84" s="239">
        <v>0.28000000000000003</v>
      </c>
      <c r="L84" s="137">
        <v>0.35</v>
      </c>
      <c r="M84">
        <v>1.1000000000000001</v>
      </c>
      <c r="N84" t="s">
        <v>2465</v>
      </c>
      <c r="P84">
        <v>3373</v>
      </c>
    </row>
    <row r="85" spans="5:16">
      <c r="E85" s="190">
        <v>5410</v>
      </c>
      <c r="F85" s="239">
        <v>0.3</v>
      </c>
      <c r="G85" s="137">
        <v>0.18</v>
      </c>
      <c r="H85" s="189">
        <v>1.05</v>
      </c>
      <c r="I85" t="s">
        <v>2466</v>
      </c>
      <c r="J85" s="190">
        <v>3078</v>
      </c>
      <c r="K85" s="239">
        <v>0.5</v>
      </c>
      <c r="L85" s="137">
        <v>0.2</v>
      </c>
      <c r="M85">
        <v>1.1000000000000001</v>
      </c>
      <c r="N85" t="s">
        <v>2465</v>
      </c>
      <c r="P85">
        <v>3376</v>
      </c>
    </row>
    <row r="86" spans="5:16">
      <c r="E86" s="190">
        <v>6451</v>
      </c>
      <c r="F86" s="239">
        <v>0.2</v>
      </c>
      <c r="G86" s="137">
        <v>0.27</v>
      </c>
      <c r="H86" s="189">
        <v>1.05</v>
      </c>
      <c r="I86" t="s">
        <v>2466</v>
      </c>
      <c r="J86" s="190">
        <v>4192</v>
      </c>
      <c r="K86" s="239">
        <v>0.2</v>
      </c>
      <c r="L86" s="137">
        <v>0.5</v>
      </c>
      <c r="M86">
        <v>1.1000000000000001</v>
      </c>
      <c r="N86" t="s">
        <v>2465</v>
      </c>
      <c r="P86">
        <v>3416</v>
      </c>
    </row>
    <row r="87" spans="5:16">
      <c r="E87" s="190">
        <v>6605</v>
      </c>
      <c r="F87" s="239">
        <v>0.17</v>
      </c>
      <c r="G87" s="137">
        <v>0.28999999999999998</v>
      </c>
      <c r="H87" s="189">
        <v>1.05</v>
      </c>
      <c r="I87" t="s">
        <v>2466</v>
      </c>
      <c r="J87" s="190">
        <v>4984</v>
      </c>
      <c r="K87" s="239">
        <v>0.22</v>
      </c>
      <c r="L87" s="137">
        <v>0.44</v>
      </c>
      <c r="M87">
        <v>1.1000000000000001</v>
      </c>
      <c r="N87" t="s">
        <v>2465</v>
      </c>
      <c r="P87">
        <v>3428</v>
      </c>
    </row>
    <row r="88" spans="5:16">
      <c r="I88" t="s">
        <v>2466</v>
      </c>
      <c r="J88" s="190">
        <v>6217</v>
      </c>
      <c r="K88" s="239">
        <v>0.26</v>
      </c>
      <c r="L88" s="137">
        <v>0.39</v>
      </c>
      <c r="M88">
        <v>1.1000000000000001</v>
      </c>
      <c r="N88" t="s">
        <v>2465</v>
      </c>
      <c r="P88">
        <v>3443</v>
      </c>
    </row>
    <row r="89" spans="5:16">
      <c r="I89" t="s">
        <v>2466</v>
      </c>
      <c r="J89" s="190">
        <v>6411</v>
      </c>
      <c r="K89" s="239">
        <v>0.33</v>
      </c>
      <c r="L89" s="137">
        <v>0.28999999999999998</v>
      </c>
      <c r="M89">
        <v>1.1000000000000001</v>
      </c>
      <c r="N89" t="s">
        <v>2465</v>
      </c>
      <c r="P89">
        <v>3450</v>
      </c>
    </row>
    <row r="90" spans="5:16">
      <c r="I90" t="s">
        <v>2466</v>
      </c>
      <c r="J90" s="190">
        <v>6414</v>
      </c>
      <c r="K90" s="239">
        <v>0.55000000000000004</v>
      </c>
      <c r="L90" s="137">
        <v>0.18</v>
      </c>
      <c r="M90">
        <v>1.1000000000000001</v>
      </c>
      <c r="N90" t="s">
        <v>2465</v>
      </c>
      <c r="P90">
        <v>3454</v>
      </c>
    </row>
    <row r="91" spans="5:16">
      <c r="I91" t="s">
        <v>2466</v>
      </c>
      <c r="J91" s="190">
        <v>8147</v>
      </c>
      <c r="K91" s="239">
        <v>0.33</v>
      </c>
      <c r="L91" s="137">
        <v>0.3</v>
      </c>
      <c r="M91">
        <v>1.1000000000000001</v>
      </c>
      <c r="N91" t="s">
        <v>2465</v>
      </c>
      <c r="P91">
        <v>3479</v>
      </c>
    </row>
    <row r="92" spans="5:16">
      <c r="I92" t="s">
        <v>2466</v>
      </c>
      <c r="J92" s="190">
        <v>1536</v>
      </c>
      <c r="K92" s="239">
        <v>0.26</v>
      </c>
      <c r="L92" s="137">
        <v>0.36</v>
      </c>
      <c r="M92">
        <v>1.0900000000000001</v>
      </c>
      <c r="N92" t="s">
        <v>2465</v>
      </c>
      <c r="P92">
        <v>3490</v>
      </c>
    </row>
    <row r="93" spans="5:16">
      <c r="I93" t="s">
        <v>2466</v>
      </c>
      <c r="J93" s="190">
        <v>1777</v>
      </c>
      <c r="K93" s="239">
        <v>0.22</v>
      </c>
      <c r="L93" s="137">
        <v>0.39</v>
      </c>
      <c r="M93">
        <v>1.0900000000000001</v>
      </c>
      <c r="N93" t="s">
        <v>2465</v>
      </c>
      <c r="P93">
        <v>3499</v>
      </c>
    </row>
    <row r="94" spans="5:16">
      <c r="I94" t="s">
        <v>2466</v>
      </c>
      <c r="J94" s="190">
        <v>2379</v>
      </c>
      <c r="K94" s="239">
        <v>0.22</v>
      </c>
      <c r="L94" s="137">
        <v>0.42</v>
      </c>
      <c r="M94">
        <v>1.0900000000000001</v>
      </c>
      <c r="N94" t="s">
        <v>2465</v>
      </c>
      <c r="P94">
        <v>3521</v>
      </c>
    </row>
    <row r="95" spans="5:16">
      <c r="I95" t="s">
        <v>2466</v>
      </c>
      <c r="J95" s="190">
        <v>2433</v>
      </c>
      <c r="K95" s="239">
        <v>0.23</v>
      </c>
      <c r="L95" s="137">
        <v>0.39</v>
      </c>
      <c r="M95">
        <v>1.0900000000000001</v>
      </c>
      <c r="N95" t="s">
        <v>2465</v>
      </c>
      <c r="P95">
        <v>3529</v>
      </c>
    </row>
    <row r="96" spans="5:16">
      <c r="I96" t="s">
        <v>2466</v>
      </c>
      <c r="J96" s="190">
        <v>2442</v>
      </c>
      <c r="K96" s="239">
        <v>0.39</v>
      </c>
      <c r="L96" s="137">
        <v>0.24</v>
      </c>
      <c r="M96">
        <v>1.0900000000000001</v>
      </c>
      <c r="N96" t="s">
        <v>2465</v>
      </c>
      <c r="P96">
        <v>3535</v>
      </c>
    </row>
    <row r="97" spans="9:16">
      <c r="I97" t="s">
        <v>2466</v>
      </c>
      <c r="J97" s="190">
        <v>3027</v>
      </c>
      <c r="K97" s="239">
        <v>0.36</v>
      </c>
      <c r="L97" s="137">
        <v>0.25</v>
      </c>
      <c r="M97">
        <v>1.0900000000000001</v>
      </c>
      <c r="N97" t="s">
        <v>2465</v>
      </c>
      <c r="P97">
        <v>3545</v>
      </c>
    </row>
    <row r="98" spans="9:16">
      <c r="I98" t="s">
        <v>2466</v>
      </c>
      <c r="J98" s="190">
        <v>3131</v>
      </c>
      <c r="K98" s="239">
        <v>0.19</v>
      </c>
      <c r="L98" s="137">
        <v>0.48</v>
      </c>
      <c r="M98">
        <v>1.0900000000000001</v>
      </c>
      <c r="N98" t="s">
        <v>2465</v>
      </c>
      <c r="P98">
        <v>3548</v>
      </c>
    </row>
    <row r="99" spans="9:16">
      <c r="I99" t="s">
        <v>2466</v>
      </c>
      <c r="J99" s="190">
        <v>3428</v>
      </c>
      <c r="K99" s="239">
        <v>0.26</v>
      </c>
      <c r="L99" s="137">
        <v>0.35</v>
      </c>
      <c r="M99">
        <v>1.0900000000000001</v>
      </c>
      <c r="N99" t="s">
        <v>2465</v>
      </c>
      <c r="P99">
        <v>3552</v>
      </c>
    </row>
    <row r="100" spans="9:16">
      <c r="I100" t="s">
        <v>2466</v>
      </c>
      <c r="J100" s="190">
        <v>3450</v>
      </c>
      <c r="K100" s="239">
        <v>0.28000000000000003</v>
      </c>
      <c r="L100" s="137">
        <v>0.32</v>
      </c>
      <c r="M100">
        <v>1.0900000000000001</v>
      </c>
      <c r="N100" t="s">
        <v>2465</v>
      </c>
      <c r="P100">
        <v>3587</v>
      </c>
    </row>
    <row r="101" spans="9:16">
      <c r="I101" t="s">
        <v>2466</v>
      </c>
      <c r="J101" s="190">
        <v>3694</v>
      </c>
      <c r="K101" s="239">
        <v>0.63</v>
      </c>
      <c r="L101" s="137">
        <v>0.14000000000000001</v>
      </c>
      <c r="M101">
        <v>1.0900000000000001</v>
      </c>
      <c r="N101" t="s">
        <v>2465</v>
      </c>
      <c r="P101">
        <v>3593</v>
      </c>
    </row>
    <row r="102" spans="9:16">
      <c r="I102" t="s">
        <v>2466</v>
      </c>
      <c r="J102" s="190">
        <v>4979</v>
      </c>
      <c r="K102" s="239">
        <v>0.32</v>
      </c>
      <c r="L102" s="137">
        <v>0.28000000000000003</v>
      </c>
      <c r="M102">
        <v>1.0900000000000001</v>
      </c>
      <c r="N102" t="s">
        <v>2465</v>
      </c>
      <c r="P102">
        <v>3617</v>
      </c>
    </row>
    <row r="103" spans="9:16">
      <c r="I103" t="s">
        <v>2466</v>
      </c>
      <c r="J103" s="190">
        <v>4991</v>
      </c>
      <c r="K103" s="239">
        <v>0.21</v>
      </c>
      <c r="L103" s="137">
        <v>0.43</v>
      </c>
      <c r="M103">
        <v>1.0900000000000001</v>
      </c>
      <c r="N103" t="s">
        <v>2465</v>
      </c>
      <c r="P103">
        <v>3652</v>
      </c>
    </row>
    <row r="104" spans="9:16">
      <c r="I104" t="s">
        <v>2466</v>
      </c>
      <c r="J104" s="190">
        <v>8040</v>
      </c>
      <c r="K104" s="239">
        <v>0.28000000000000003</v>
      </c>
      <c r="L104" s="137">
        <v>0.32</v>
      </c>
      <c r="M104">
        <v>1.0900000000000001</v>
      </c>
      <c r="N104" t="s">
        <v>2465</v>
      </c>
      <c r="P104">
        <v>3662</v>
      </c>
    </row>
    <row r="105" spans="9:16">
      <c r="I105" t="s">
        <v>2466</v>
      </c>
      <c r="J105" s="190">
        <v>8406</v>
      </c>
      <c r="K105" s="239">
        <v>0.14000000000000001</v>
      </c>
      <c r="L105" s="137">
        <v>0.63</v>
      </c>
      <c r="M105">
        <v>1.0900000000000001</v>
      </c>
      <c r="N105" t="s">
        <v>2465</v>
      </c>
      <c r="P105">
        <v>3665</v>
      </c>
    </row>
    <row r="106" spans="9:16">
      <c r="I106" t="s">
        <v>2466</v>
      </c>
      <c r="J106" s="190">
        <v>8446</v>
      </c>
      <c r="K106" s="239">
        <v>0.19</v>
      </c>
      <c r="L106" s="137">
        <v>0.46</v>
      </c>
      <c r="M106">
        <v>1.0900000000000001</v>
      </c>
      <c r="N106" t="s">
        <v>2465</v>
      </c>
      <c r="P106">
        <v>3684</v>
      </c>
    </row>
    <row r="107" spans="9:16">
      <c r="I107" t="s">
        <v>2466</v>
      </c>
      <c r="J107" s="190">
        <v>9951</v>
      </c>
      <c r="K107" s="239">
        <v>0.23</v>
      </c>
      <c r="L107" s="137">
        <v>0.4</v>
      </c>
      <c r="M107">
        <v>1.0900000000000001</v>
      </c>
      <c r="N107" t="s">
        <v>2465</v>
      </c>
      <c r="P107">
        <v>3687</v>
      </c>
    </row>
    <row r="108" spans="9:16">
      <c r="I108" t="s">
        <v>2466</v>
      </c>
      <c r="J108" s="190">
        <v>1565</v>
      </c>
      <c r="K108" s="239">
        <v>0.22</v>
      </c>
      <c r="L108" s="137">
        <v>0.36</v>
      </c>
      <c r="M108">
        <v>1.08</v>
      </c>
      <c r="N108" t="s">
        <v>2465</v>
      </c>
      <c r="P108">
        <v>3691</v>
      </c>
    </row>
    <row r="109" spans="9:16">
      <c r="I109" t="s">
        <v>2466</v>
      </c>
      <c r="J109" s="190">
        <v>1762</v>
      </c>
      <c r="K109" s="239">
        <v>0.22</v>
      </c>
      <c r="L109" s="137">
        <v>0.37</v>
      </c>
      <c r="M109">
        <v>1.08</v>
      </c>
      <c r="N109" t="s">
        <v>2465</v>
      </c>
      <c r="P109">
        <v>3694</v>
      </c>
    </row>
    <row r="110" spans="9:16">
      <c r="I110" t="s">
        <v>2466</v>
      </c>
      <c r="J110" s="190">
        <v>1783</v>
      </c>
      <c r="K110" s="239">
        <v>0.19</v>
      </c>
      <c r="L110" s="137">
        <v>0.4</v>
      </c>
      <c r="M110">
        <v>1.08</v>
      </c>
      <c r="N110" t="s">
        <v>2465</v>
      </c>
      <c r="P110">
        <v>4105</v>
      </c>
    </row>
    <row r="111" spans="9:16">
      <c r="I111" t="s">
        <v>2466</v>
      </c>
      <c r="J111" s="190">
        <v>2221</v>
      </c>
      <c r="K111" s="239">
        <v>0.35</v>
      </c>
      <c r="L111" s="137">
        <v>0.24</v>
      </c>
      <c r="M111">
        <v>1.08</v>
      </c>
      <c r="N111" t="s">
        <v>2465</v>
      </c>
      <c r="P111">
        <v>4109</v>
      </c>
    </row>
    <row r="112" spans="9:16">
      <c r="I112" t="s">
        <v>2466</v>
      </c>
      <c r="J112" s="190">
        <v>2485</v>
      </c>
      <c r="K112" s="239">
        <v>0.56000000000000005</v>
      </c>
      <c r="L112" s="137">
        <v>0.15</v>
      </c>
      <c r="M112">
        <v>1.08</v>
      </c>
      <c r="N112" t="s">
        <v>2465</v>
      </c>
      <c r="P112">
        <v>4114</v>
      </c>
    </row>
    <row r="113" spans="9:16">
      <c r="I113" t="s">
        <v>2466</v>
      </c>
      <c r="J113" s="190">
        <v>3046</v>
      </c>
      <c r="K113" s="239">
        <v>0.33</v>
      </c>
      <c r="L113" s="137">
        <v>0.25</v>
      </c>
      <c r="M113">
        <v>1.08</v>
      </c>
      <c r="N113" t="s">
        <v>2465</v>
      </c>
      <c r="P113">
        <v>4123</v>
      </c>
    </row>
    <row r="114" spans="9:16">
      <c r="I114" t="s">
        <v>2466</v>
      </c>
      <c r="J114" s="190">
        <v>3479</v>
      </c>
      <c r="K114" s="239">
        <v>0.28000000000000003</v>
      </c>
      <c r="L114" s="137">
        <v>0.27</v>
      </c>
      <c r="M114">
        <v>1.08</v>
      </c>
      <c r="N114" t="s">
        <v>2465</v>
      </c>
      <c r="P114">
        <v>4126</v>
      </c>
    </row>
    <row r="115" spans="9:16">
      <c r="I115" t="s">
        <v>2466</v>
      </c>
      <c r="J115" s="190">
        <v>3587</v>
      </c>
      <c r="K115" s="239">
        <v>0.22</v>
      </c>
      <c r="L115" s="137">
        <v>0.38</v>
      </c>
      <c r="M115">
        <v>1.08</v>
      </c>
      <c r="N115" t="s">
        <v>2465</v>
      </c>
      <c r="P115">
        <v>4129</v>
      </c>
    </row>
    <row r="116" spans="9:16">
      <c r="I116" t="s">
        <v>2466</v>
      </c>
      <c r="J116" s="190">
        <v>4114</v>
      </c>
      <c r="K116" s="239">
        <v>0.17</v>
      </c>
      <c r="L116" s="137">
        <v>0.45</v>
      </c>
      <c r="M116">
        <v>1.08</v>
      </c>
      <c r="N116" t="s">
        <v>2465</v>
      </c>
      <c r="P116">
        <v>4130</v>
      </c>
    </row>
    <row r="117" spans="9:16">
      <c r="I117" t="s">
        <v>2466</v>
      </c>
      <c r="J117" s="190">
        <v>4153</v>
      </c>
      <c r="K117" s="239">
        <v>0.3</v>
      </c>
      <c r="L117" s="137">
        <v>0.28000000000000003</v>
      </c>
      <c r="M117">
        <v>1.08</v>
      </c>
      <c r="N117" t="s">
        <v>2465</v>
      </c>
      <c r="P117">
        <v>4137</v>
      </c>
    </row>
    <row r="118" spans="9:16">
      <c r="I118" t="s">
        <v>2466</v>
      </c>
      <c r="J118" s="190">
        <v>4747</v>
      </c>
      <c r="K118" s="239">
        <v>0.16</v>
      </c>
      <c r="L118" s="137">
        <v>0.49</v>
      </c>
      <c r="M118">
        <v>1.08</v>
      </c>
      <c r="N118" t="s">
        <v>2465</v>
      </c>
      <c r="P118">
        <v>4139</v>
      </c>
    </row>
    <row r="119" spans="9:16">
      <c r="I119" t="s">
        <v>2466</v>
      </c>
      <c r="J119" s="190">
        <v>4965</v>
      </c>
      <c r="K119" s="239">
        <v>0.48</v>
      </c>
      <c r="L119" s="137">
        <v>0.17</v>
      </c>
      <c r="M119">
        <v>1.08</v>
      </c>
      <c r="N119" t="s">
        <v>2465</v>
      </c>
      <c r="P119">
        <v>4141</v>
      </c>
    </row>
    <row r="120" spans="9:16">
      <c r="I120" t="s">
        <v>2466</v>
      </c>
      <c r="J120" s="190">
        <v>5306</v>
      </c>
      <c r="K120" s="239">
        <v>0.2</v>
      </c>
      <c r="L120" s="137">
        <v>0.38</v>
      </c>
      <c r="M120">
        <v>1.08</v>
      </c>
      <c r="N120" t="s">
        <v>2465</v>
      </c>
      <c r="P120">
        <v>4153</v>
      </c>
    </row>
    <row r="121" spans="9:16">
      <c r="I121" t="s">
        <v>2466</v>
      </c>
      <c r="J121" s="190">
        <v>5388</v>
      </c>
      <c r="K121" s="239">
        <v>0.53</v>
      </c>
      <c r="L121" s="137">
        <v>0.15</v>
      </c>
      <c r="M121">
        <v>1.08</v>
      </c>
      <c r="N121" t="s">
        <v>2465</v>
      </c>
      <c r="P121">
        <v>4154</v>
      </c>
    </row>
    <row r="122" spans="9:16">
      <c r="I122" t="s">
        <v>2466</v>
      </c>
      <c r="J122" s="190">
        <v>8114</v>
      </c>
      <c r="K122" s="239">
        <v>0.19</v>
      </c>
      <c r="L122" s="137">
        <v>0.43</v>
      </c>
      <c r="M122">
        <v>1.08</v>
      </c>
      <c r="N122" t="s">
        <v>2465</v>
      </c>
      <c r="P122">
        <v>4160</v>
      </c>
    </row>
    <row r="123" spans="9:16">
      <c r="I123" t="s">
        <v>2466</v>
      </c>
      <c r="J123" s="190">
        <v>1476</v>
      </c>
      <c r="K123" s="239">
        <v>0.25</v>
      </c>
      <c r="L123" s="137">
        <v>0.27</v>
      </c>
      <c r="M123">
        <v>1.07</v>
      </c>
      <c r="N123" t="s">
        <v>2465</v>
      </c>
      <c r="P123">
        <v>4161</v>
      </c>
    </row>
    <row r="124" spans="9:16">
      <c r="I124" t="s">
        <v>2466</v>
      </c>
      <c r="J124" s="190">
        <v>1730</v>
      </c>
      <c r="K124" s="239">
        <v>0.15</v>
      </c>
      <c r="L124" s="137">
        <v>0.45</v>
      </c>
      <c r="M124">
        <v>1.07</v>
      </c>
      <c r="N124" t="s">
        <v>2465</v>
      </c>
      <c r="P124">
        <v>4164</v>
      </c>
    </row>
    <row r="125" spans="9:16">
      <c r="I125" t="s">
        <v>2466</v>
      </c>
      <c r="J125" s="190">
        <v>2228</v>
      </c>
      <c r="K125" s="239">
        <v>0.21</v>
      </c>
      <c r="L125" s="137">
        <v>0.32</v>
      </c>
      <c r="M125">
        <v>1.07</v>
      </c>
      <c r="N125" t="s">
        <v>2465</v>
      </c>
      <c r="P125">
        <v>4171</v>
      </c>
    </row>
    <row r="126" spans="9:16">
      <c r="I126" t="s">
        <v>2466</v>
      </c>
      <c r="J126" s="190">
        <v>2464</v>
      </c>
      <c r="K126" s="239">
        <v>0.39</v>
      </c>
      <c r="L126" s="137">
        <v>0.19</v>
      </c>
      <c r="M126">
        <v>1.07</v>
      </c>
      <c r="N126" t="s">
        <v>2465</v>
      </c>
      <c r="P126">
        <v>4180</v>
      </c>
    </row>
    <row r="127" spans="9:16">
      <c r="I127" t="s">
        <v>2466</v>
      </c>
      <c r="J127" s="190">
        <v>3105</v>
      </c>
      <c r="K127" s="239">
        <v>0.18</v>
      </c>
      <c r="L127" s="137">
        <v>0.4</v>
      </c>
      <c r="M127">
        <v>1.07</v>
      </c>
      <c r="N127" t="s">
        <v>2465</v>
      </c>
      <c r="P127">
        <v>4192</v>
      </c>
    </row>
    <row r="128" spans="9:16">
      <c r="I128" t="s">
        <v>2466</v>
      </c>
      <c r="J128" s="190">
        <v>3141</v>
      </c>
      <c r="K128" s="239">
        <v>0.17</v>
      </c>
      <c r="L128" s="137">
        <v>0.42</v>
      </c>
      <c r="M128">
        <v>1.07</v>
      </c>
      <c r="N128" t="s">
        <v>2465</v>
      </c>
      <c r="P128">
        <v>4415</v>
      </c>
    </row>
    <row r="129" spans="9:16">
      <c r="I129" t="s">
        <v>2466</v>
      </c>
      <c r="J129" s="190">
        <v>3373</v>
      </c>
      <c r="K129" s="239">
        <v>0.28000000000000003</v>
      </c>
      <c r="L129" s="137">
        <v>0.24</v>
      </c>
      <c r="M129">
        <v>1.07</v>
      </c>
      <c r="N129" t="s">
        <v>2465</v>
      </c>
      <c r="P129">
        <v>4420</v>
      </c>
    </row>
    <row r="130" spans="9:16">
      <c r="I130" t="s">
        <v>2466</v>
      </c>
      <c r="J130" s="190">
        <v>3684</v>
      </c>
      <c r="K130" s="239">
        <v>0.18</v>
      </c>
      <c r="L130" s="137">
        <v>0.39</v>
      </c>
      <c r="M130">
        <v>1.07</v>
      </c>
      <c r="N130" t="s">
        <v>2465</v>
      </c>
      <c r="P130">
        <v>4426</v>
      </c>
    </row>
    <row r="131" spans="9:16">
      <c r="I131" t="s">
        <v>2466</v>
      </c>
      <c r="J131" s="190">
        <v>4126</v>
      </c>
      <c r="K131" s="239">
        <v>0.18</v>
      </c>
      <c r="L131" s="137">
        <v>0.37</v>
      </c>
      <c r="M131">
        <v>1.07</v>
      </c>
      <c r="N131" t="s">
        <v>2465</v>
      </c>
      <c r="P131">
        <v>4502</v>
      </c>
    </row>
    <row r="132" spans="9:16">
      <c r="I132" t="s">
        <v>2466</v>
      </c>
      <c r="J132" s="190">
        <v>4180</v>
      </c>
      <c r="K132" s="239">
        <v>0.45</v>
      </c>
      <c r="L132" s="137">
        <v>0.16</v>
      </c>
      <c r="M132">
        <v>1.07</v>
      </c>
      <c r="N132" t="s">
        <v>2465</v>
      </c>
      <c r="P132">
        <v>4503</v>
      </c>
    </row>
    <row r="133" spans="9:16">
      <c r="I133" t="s">
        <v>2466</v>
      </c>
      <c r="J133" s="190">
        <v>4919</v>
      </c>
      <c r="K133" s="239">
        <v>0.17</v>
      </c>
      <c r="L133" s="137">
        <v>0.41</v>
      </c>
      <c r="M133">
        <v>1.07</v>
      </c>
      <c r="N133" t="s">
        <v>2465</v>
      </c>
      <c r="P133">
        <v>4523</v>
      </c>
    </row>
    <row r="134" spans="9:16">
      <c r="I134" t="s">
        <v>2466</v>
      </c>
      <c r="J134" s="190">
        <v>5392</v>
      </c>
      <c r="K134" s="239">
        <v>0.68</v>
      </c>
      <c r="L134" s="137">
        <v>0.11</v>
      </c>
      <c r="M134">
        <v>1.07</v>
      </c>
      <c r="N134" t="s">
        <v>2465</v>
      </c>
      <c r="P134">
        <v>4526</v>
      </c>
    </row>
    <row r="135" spans="9:16">
      <c r="I135" t="s">
        <v>2466</v>
      </c>
      <c r="J135" s="190">
        <v>6227</v>
      </c>
      <c r="K135" s="239">
        <v>0.79</v>
      </c>
      <c r="L135" s="137">
        <v>0.09</v>
      </c>
      <c r="M135">
        <v>1.07</v>
      </c>
      <c r="N135" t="s">
        <v>2465</v>
      </c>
      <c r="P135">
        <v>4527</v>
      </c>
    </row>
    <row r="136" spans="9:16">
      <c r="I136" t="s">
        <v>2466</v>
      </c>
      <c r="J136" s="190">
        <v>6404</v>
      </c>
      <c r="K136" s="239">
        <v>0.35</v>
      </c>
      <c r="L136" s="137">
        <v>0.2</v>
      </c>
      <c r="M136">
        <v>1.07</v>
      </c>
      <c r="N136" t="s">
        <v>2465</v>
      </c>
      <c r="P136">
        <v>4529</v>
      </c>
    </row>
    <row r="137" spans="9:16">
      <c r="I137" t="s">
        <v>2466</v>
      </c>
      <c r="J137" s="190">
        <v>6426</v>
      </c>
      <c r="K137" s="239">
        <v>0.2</v>
      </c>
      <c r="L137" s="137">
        <v>0.35</v>
      </c>
      <c r="M137">
        <v>1.07</v>
      </c>
      <c r="N137" t="s">
        <v>2465</v>
      </c>
      <c r="P137">
        <v>4735</v>
      </c>
    </row>
    <row r="138" spans="9:16">
      <c r="I138" t="s">
        <v>2466</v>
      </c>
      <c r="J138" s="190">
        <v>8042</v>
      </c>
      <c r="K138" s="239">
        <v>0.3</v>
      </c>
      <c r="L138" s="137">
        <v>0.24</v>
      </c>
      <c r="M138">
        <v>1.07</v>
      </c>
      <c r="N138" t="s">
        <v>2465</v>
      </c>
      <c r="P138">
        <v>4743</v>
      </c>
    </row>
    <row r="139" spans="9:16">
      <c r="I139" t="s">
        <v>2466</v>
      </c>
      <c r="J139" s="190">
        <v>8433</v>
      </c>
      <c r="K139" s="239">
        <v>0.28999999999999998</v>
      </c>
      <c r="L139" s="137">
        <v>0.25</v>
      </c>
      <c r="M139">
        <v>1.07</v>
      </c>
      <c r="N139" t="s">
        <v>2465</v>
      </c>
      <c r="P139">
        <v>4746</v>
      </c>
    </row>
    <row r="140" spans="9:16">
      <c r="I140" t="s">
        <v>2466</v>
      </c>
      <c r="J140" s="190">
        <v>1234</v>
      </c>
      <c r="K140" s="239">
        <v>0.15</v>
      </c>
      <c r="L140" s="137">
        <v>0.39</v>
      </c>
      <c r="M140">
        <v>1.06</v>
      </c>
      <c r="N140" t="s">
        <v>2465</v>
      </c>
      <c r="P140">
        <v>4747</v>
      </c>
    </row>
    <row r="141" spans="9:16">
      <c r="I141" t="s">
        <v>2466</v>
      </c>
      <c r="J141" s="190">
        <v>1442</v>
      </c>
      <c r="K141" s="239">
        <v>0.15</v>
      </c>
      <c r="L141" s="137">
        <v>0.37</v>
      </c>
      <c r="M141">
        <v>1.06</v>
      </c>
      <c r="N141" t="s">
        <v>2465</v>
      </c>
      <c r="P141">
        <v>4915</v>
      </c>
    </row>
    <row r="142" spans="9:16">
      <c r="I142" t="s">
        <v>2466</v>
      </c>
      <c r="J142" s="190">
        <v>1527</v>
      </c>
      <c r="K142" s="239">
        <v>0.2</v>
      </c>
      <c r="L142" s="137">
        <v>0.28999999999999998</v>
      </c>
      <c r="M142">
        <v>1.06</v>
      </c>
      <c r="N142" t="s">
        <v>2465</v>
      </c>
      <c r="P142">
        <v>4919</v>
      </c>
    </row>
    <row r="143" spans="9:16">
      <c r="I143" t="s">
        <v>2466</v>
      </c>
      <c r="J143" s="190">
        <v>2313</v>
      </c>
      <c r="K143" s="239">
        <v>0.38</v>
      </c>
      <c r="L143" s="137">
        <v>0.15</v>
      </c>
      <c r="M143">
        <v>1.06</v>
      </c>
      <c r="N143" t="s">
        <v>2465</v>
      </c>
      <c r="P143">
        <v>4947</v>
      </c>
    </row>
    <row r="144" spans="9:16">
      <c r="I144" t="s">
        <v>2466</v>
      </c>
      <c r="J144" s="190">
        <v>2465</v>
      </c>
      <c r="K144" s="239">
        <v>0.38</v>
      </c>
      <c r="L144" s="137">
        <v>0.16</v>
      </c>
      <c r="M144">
        <v>1.06</v>
      </c>
      <c r="N144" t="s">
        <v>2465</v>
      </c>
      <c r="P144">
        <v>4965</v>
      </c>
    </row>
    <row r="145" spans="9:16">
      <c r="I145" t="s">
        <v>2466</v>
      </c>
      <c r="J145" s="190">
        <v>3122</v>
      </c>
      <c r="K145" s="239">
        <v>0.18</v>
      </c>
      <c r="L145" s="137">
        <v>0.34</v>
      </c>
      <c r="M145">
        <v>1.06</v>
      </c>
      <c r="N145" t="s">
        <v>2465</v>
      </c>
      <c r="P145">
        <v>4966</v>
      </c>
    </row>
    <row r="146" spans="9:16">
      <c r="I146" t="s">
        <v>2466</v>
      </c>
      <c r="J146" s="190">
        <v>3285</v>
      </c>
      <c r="K146" s="239">
        <v>0.28000000000000003</v>
      </c>
      <c r="L146" s="137">
        <v>0.22</v>
      </c>
      <c r="M146">
        <v>1.06</v>
      </c>
      <c r="N146" t="s">
        <v>2465</v>
      </c>
      <c r="P146">
        <v>4979</v>
      </c>
    </row>
    <row r="147" spans="9:16">
      <c r="I147" t="s">
        <v>2466</v>
      </c>
      <c r="J147" s="190">
        <v>3443</v>
      </c>
      <c r="K147" s="239">
        <v>0.23</v>
      </c>
      <c r="L147" s="137">
        <v>0.26</v>
      </c>
      <c r="M147">
        <v>1.06</v>
      </c>
      <c r="N147" t="s">
        <v>2465</v>
      </c>
      <c r="P147">
        <v>4984</v>
      </c>
    </row>
    <row r="148" spans="9:16">
      <c r="I148" t="s">
        <v>2466</v>
      </c>
      <c r="J148" s="190">
        <v>3548</v>
      </c>
      <c r="K148" s="239">
        <v>0.23</v>
      </c>
      <c r="L148" s="137">
        <v>0.24</v>
      </c>
      <c r="M148">
        <v>1.06</v>
      </c>
      <c r="N148" t="s">
        <v>2465</v>
      </c>
      <c r="P148">
        <v>4991</v>
      </c>
    </row>
    <row r="149" spans="9:16">
      <c r="I149" t="s">
        <v>2466</v>
      </c>
      <c r="J149" s="190">
        <v>4139</v>
      </c>
      <c r="K149" s="239">
        <v>0.42</v>
      </c>
      <c r="L149" s="137">
        <v>0.15</v>
      </c>
      <c r="M149">
        <v>1.06</v>
      </c>
      <c r="N149" t="s">
        <v>2465</v>
      </c>
      <c r="P149">
        <v>5202</v>
      </c>
    </row>
    <row r="150" spans="9:16">
      <c r="I150" t="s">
        <v>2466</v>
      </c>
      <c r="J150" s="190">
        <v>4527</v>
      </c>
      <c r="K150" s="239">
        <v>0.27</v>
      </c>
      <c r="L150" s="137">
        <v>0.24</v>
      </c>
      <c r="M150">
        <v>1.06</v>
      </c>
      <c r="N150" t="s">
        <v>2465</v>
      </c>
      <c r="P150">
        <v>5206</v>
      </c>
    </row>
    <row r="151" spans="9:16">
      <c r="I151" t="s">
        <v>2466</v>
      </c>
      <c r="J151" s="190">
        <v>4915</v>
      </c>
      <c r="K151" s="239">
        <v>0.51</v>
      </c>
      <c r="L151" s="137">
        <v>0.11</v>
      </c>
      <c r="M151">
        <v>1.06</v>
      </c>
      <c r="N151" t="s">
        <v>2465</v>
      </c>
      <c r="P151">
        <v>5212</v>
      </c>
    </row>
    <row r="152" spans="9:16">
      <c r="I152" t="s">
        <v>2466</v>
      </c>
      <c r="J152" s="190">
        <v>5230</v>
      </c>
      <c r="K152" s="239">
        <v>0.17</v>
      </c>
      <c r="L152" s="137">
        <v>0.38</v>
      </c>
      <c r="M152">
        <v>1.06</v>
      </c>
      <c r="N152" t="s">
        <v>2465</v>
      </c>
      <c r="P152">
        <v>5213</v>
      </c>
    </row>
    <row r="153" spans="9:16">
      <c r="I153" t="s">
        <v>2466</v>
      </c>
      <c r="J153" s="190">
        <v>5284</v>
      </c>
      <c r="K153" s="239">
        <v>0.18</v>
      </c>
      <c r="L153" s="137">
        <v>0.35</v>
      </c>
      <c r="M153">
        <v>1.06</v>
      </c>
      <c r="N153" t="s">
        <v>2465</v>
      </c>
      <c r="P153">
        <v>5215</v>
      </c>
    </row>
    <row r="154" spans="9:16">
      <c r="I154" t="s">
        <v>2466</v>
      </c>
      <c r="J154" s="190">
        <v>5490</v>
      </c>
      <c r="K154" s="239">
        <v>0.19</v>
      </c>
      <c r="L154" s="137">
        <v>0.34</v>
      </c>
      <c r="M154">
        <v>1.06</v>
      </c>
      <c r="N154" t="s">
        <v>2465</v>
      </c>
      <c r="P154">
        <v>5225</v>
      </c>
    </row>
    <row r="155" spans="9:16">
      <c r="I155" t="s">
        <v>2466</v>
      </c>
      <c r="J155" s="190">
        <v>8048</v>
      </c>
      <c r="K155" s="239">
        <v>0.24</v>
      </c>
      <c r="L155" s="137">
        <v>0.24</v>
      </c>
      <c r="M155">
        <v>1.06</v>
      </c>
      <c r="N155" t="s">
        <v>2465</v>
      </c>
      <c r="P155">
        <v>5230</v>
      </c>
    </row>
    <row r="156" spans="9:16">
      <c r="I156" t="s">
        <v>2466</v>
      </c>
      <c r="J156" s="190">
        <v>1203</v>
      </c>
      <c r="K156" s="239">
        <v>0.19</v>
      </c>
      <c r="L156" s="137">
        <v>0.24</v>
      </c>
      <c r="M156">
        <v>1.05</v>
      </c>
      <c r="N156" t="s">
        <v>2465</v>
      </c>
      <c r="P156">
        <v>5264</v>
      </c>
    </row>
    <row r="157" spans="9:16">
      <c r="I157" t="s">
        <v>2466</v>
      </c>
      <c r="J157" s="190">
        <v>1603</v>
      </c>
      <c r="K157" s="239">
        <v>0.52</v>
      </c>
      <c r="L157" s="137">
        <v>0.1</v>
      </c>
      <c r="M157">
        <v>1.05</v>
      </c>
      <c r="N157" t="s">
        <v>2465</v>
      </c>
      <c r="P157">
        <v>5269</v>
      </c>
    </row>
    <row r="158" spans="9:16">
      <c r="I158" t="s">
        <v>2466</v>
      </c>
      <c r="J158" s="190">
        <v>1752</v>
      </c>
      <c r="K158" s="239">
        <v>0.15</v>
      </c>
      <c r="L158" s="137">
        <v>0.36</v>
      </c>
      <c r="M158">
        <v>1.05</v>
      </c>
      <c r="N158" t="s">
        <v>2465</v>
      </c>
      <c r="P158">
        <v>5284</v>
      </c>
    </row>
    <row r="159" spans="9:16">
      <c r="I159" t="s">
        <v>2466</v>
      </c>
      <c r="J159" s="190">
        <v>2419</v>
      </c>
      <c r="K159" s="239">
        <v>0.22</v>
      </c>
      <c r="L159" s="137">
        <v>0.22</v>
      </c>
      <c r="M159">
        <v>1.05</v>
      </c>
      <c r="N159" t="s">
        <v>2465</v>
      </c>
      <c r="P159">
        <v>5301</v>
      </c>
    </row>
    <row r="160" spans="9:16">
      <c r="I160" t="s">
        <v>2466</v>
      </c>
      <c r="J160" s="190">
        <v>2488</v>
      </c>
      <c r="K160" s="239">
        <v>0.19</v>
      </c>
      <c r="L160" s="137">
        <v>0.24</v>
      </c>
      <c r="M160">
        <v>1.05</v>
      </c>
      <c r="N160" t="s">
        <v>2465</v>
      </c>
      <c r="P160">
        <v>5306</v>
      </c>
    </row>
    <row r="161" spans="9:16">
      <c r="I161" t="s">
        <v>2466</v>
      </c>
      <c r="J161" s="190">
        <v>2637</v>
      </c>
      <c r="K161" s="239">
        <v>0.19</v>
      </c>
      <c r="L161" s="137">
        <v>0.24</v>
      </c>
      <c r="M161">
        <v>1.05</v>
      </c>
      <c r="N161" t="s">
        <v>2465</v>
      </c>
      <c r="P161">
        <v>5315</v>
      </c>
    </row>
    <row r="162" spans="9:16">
      <c r="I162" t="s">
        <v>2466</v>
      </c>
      <c r="J162" s="190">
        <v>3032</v>
      </c>
      <c r="K162" s="239">
        <v>0.26</v>
      </c>
      <c r="L162" s="137">
        <v>0.18</v>
      </c>
      <c r="M162">
        <v>1.05</v>
      </c>
      <c r="N162" t="s">
        <v>2465</v>
      </c>
      <c r="P162">
        <v>5364</v>
      </c>
    </row>
    <row r="163" spans="9:16">
      <c r="I163" t="s">
        <v>2466</v>
      </c>
      <c r="J163" s="190">
        <v>3050</v>
      </c>
      <c r="K163" s="239">
        <v>0.17</v>
      </c>
      <c r="L163" s="137">
        <v>0.28999999999999998</v>
      </c>
      <c r="M163">
        <v>1.05</v>
      </c>
      <c r="N163" t="s">
        <v>2465</v>
      </c>
      <c r="P163">
        <v>5388</v>
      </c>
    </row>
    <row r="164" spans="9:16">
      <c r="I164" t="s">
        <v>2466</v>
      </c>
      <c r="J164" s="190">
        <v>3325</v>
      </c>
      <c r="K164" s="239">
        <v>0.43</v>
      </c>
      <c r="L164" s="137">
        <v>0.12</v>
      </c>
      <c r="M164">
        <v>1.05</v>
      </c>
      <c r="N164" t="s">
        <v>2465</v>
      </c>
      <c r="P164">
        <v>5392</v>
      </c>
    </row>
    <row r="165" spans="9:16">
      <c r="I165" t="s">
        <v>2466</v>
      </c>
      <c r="J165" s="190">
        <v>3376</v>
      </c>
      <c r="K165" s="239">
        <v>0.15</v>
      </c>
      <c r="L165" s="137">
        <v>0.35</v>
      </c>
      <c r="M165">
        <v>1.05</v>
      </c>
      <c r="N165" t="s">
        <v>2465</v>
      </c>
      <c r="P165">
        <v>5395</v>
      </c>
    </row>
    <row r="166" spans="9:16">
      <c r="I166" t="s">
        <v>2466</v>
      </c>
      <c r="J166" s="190">
        <v>3499</v>
      </c>
      <c r="K166" s="239">
        <v>0.17</v>
      </c>
      <c r="L166" s="137">
        <v>0.27</v>
      </c>
      <c r="M166">
        <v>1.05</v>
      </c>
      <c r="N166" t="s">
        <v>2465</v>
      </c>
      <c r="P166">
        <v>5403</v>
      </c>
    </row>
    <row r="167" spans="9:16">
      <c r="I167" t="s">
        <v>2466</v>
      </c>
      <c r="J167" s="190">
        <v>3665</v>
      </c>
      <c r="K167" s="239">
        <v>0.2</v>
      </c>
      <c r="L167" s="137">
        <v>0.26</v>
      </c>
      <c r="M167">
        <v>1.05</v>
      </c>
      <c r="N167" t="s">
        <v>2465</v>
      </c>
      <c r="P167">
        <v>5410</v>
      </c>
    </row>
    <row r="168" spans="9:16">
      <c r="I168" t="s">
        <v>2466</v>
      </c>
      <c r="J168" s="190">
        <v>4526</v>
      </c>
      <c r="K168" s="239">
        <v>0.17</v>
      </c>
      <c r="L168" s="137">
        <v>0.27</v>
      </c>
      <c r="M168">
        <v>1.05</v>
      </c>
      <c r="N168" t="s">
        <v>2465</v>
      </c>
      <c r="P168">
        <v>5443</v>
      </c>
    </row>
    <row r="169" spans="9:16">
      <c r="I169" t="s">
        <v>2466</v>
      </c>
      <c r="J169" s="190">
        <v>5225</v>
      </c>
      <c r="K169" s="239">
        <v>0.3</v>
      </c>
      <c r="L169" s="137">
        <v>0.17</v>
      </c>
      <c r="M169">
        <v>1.05</v>
      </c>
      <c r="N169" t="s">
        <v>2465</v>
      </c>
      <c r="P169">
        <v>5487</v>
      </c>
    </row>
    <row r="170" spans="9:16">
      <c r="I170" t="s">
        <v>2466</v>
      </c>
      <c r="J170" s="190">
        <v>6136</v>
      </c>
      <c r="K170" s="239">
        <v>0.17</v>
      </c>
      <c r="L170" s="137">
        <v>0.3</v>
      </c>
      <c r="M170">
        <v>1.05</v>
      </c>
      <c r="N170" t="s">
        <v>2465</v>
      </c>
      <c r="P170">
        <v>5490</v>
      </c>
    </row>
    <row r="171" spans="9:16">
      <c r="I171" t="s">
        <v>2466</v>
      </c>
      <c r="J171" s="190">
        <v>6235</v>
      </c>
      <c r="K171" s="239">
        <v>0.4</v>
      </c>
      <c r="L171" s="137">
        <v>0.13</v>
      </c>
      <c r="M171">
        <v>1.05</v>
      </c>
      <c r="N171" t="s">
        <v>2465</v>
      </c>
      <c r="P171">
        <v>6103</v>
      </c>
    </row>
    <row r="172" spans="9:16">
      <c r="I172" t="s">
        <v>2466</v>
      </c>
      <c r="J172" s="190">
        <v>6239</v>
      </c>
      <c r="K172" s="239">
        <v>0.24</v>
      </c>
      <c r="L172" s="137">
        <v>0.19</v>
      </c>
      <c r="M172">
        <v>1.05</v>
      </c>
      <c r="N172" t="s">
        <v>2465</v>
      </c>
      <c r="P172">
        <v>6111</v>
      </c>
    </row>
    <row r="173" spans="9:16">
      <c r="I173" t="s">
        <v>2466</v>
      </c>
      <c r="J173" s="190">
        <v>6244</v>
      </c>
      <c r="K173" s="239">
        <v>0.71</v>
      </c>
      <c r="L173" s="137">
        <v>7.0000000000000007E-2</v>
      </c>
      <c r="M173">
        <v>1.05</v>
      </c>
      <c r="N173" t="s">
        <v>2465</v>
      </c>
      <c r="P173">
        <v>6136</v>
      </c>
    </row>
    <row r="174" spans="9:16">
      <c r="I174" t="s">
        <v>2466</v>
      </c>
      <c r="J174" s="190">
        <v>6245</v>
      </c>
      <c r="K174" s="239">
        <v>0.17</v>
      </c>
      <c r="L174" s="137">
        <v>0.31</v>
      </c>
      <c r="M174">
        <v>1.05</v>
      </c>
      <c r="N174" t="s">
        <v>2465</v>
      </c>
      <c r="P174">
        <v>6139</v>
      </c>
    </row>
    <row r="175" spans="9:16">
      <c r="I175" t="s">
        <v>2466</v>
      </c>
      <c r="J175" s="190">
        <v>6292</v>
      </c>
      <c r="K175" s="239">
        <v>0.18</v>
      </c>
      <c r="L175" s="137">
        <v>0.3</v>
      </c>
      <c r="M175">
        <v>1.05</v>
      </c>
      <c r="N175" t="s">
        <v>2465</v>
      </c>
      <c r="P175">
        <v>6144</v>
      </c>
    </row>
    <row r="176" spans="9:16">
      <c r="I176" t="s">
        <v>2466</v>
      </c>
      <c r="J176" s="190">
        <v>6294</v>
      </c>
      <c r="K176" s="239">
        <v>0.19</v>
      </c>
      <c r="L176" s="137">
        <v>0.28000000000000003</v>
      </c>
      <c r="M176">
        <v>1.05</v>
      </c>
      <c r="N176" t="s">
        <v>2465</v>
      </c>
      <c r="P176">
        <v>6171</v>
      </c>
    </row>
    <row r="177" spans="9:16">
      <c r="I177" t="s">
        <v>2466</v>
      </c>
      <c r="J177" s="190">
        <v>8016</v>
      </c>
      <c r="K177" s="239">
        <v>0.2</v>
      </c>
      <c r="L177" s="137">
        <v>0.26</v>
      </c>
      <c r="M177">
        <v>1.05</v>
      </c>
      <c r="N177" t="s">
        <v>2465</v>
      </c>
      <c r="P177">
        <v>6184</v>
      </c>
    </row>
    <row r="178" spans="9:16">
      <c r="I178" t="s">
        <v>2466</v>
      </c>
      <c r="J178" s="190">
        <v>8066</v>
      </c>
      <c r="K178" s="239">
        <v>0.35</v>
      </c>
      <c r="L178" s="137">
        <v>0.13</v>
      </c>
      <c r="M178">
        <v>1.05</v>
      </c>
      <c r="N178" t="s">
        <v>2465</v>
      </c>
      <c r="P178">
        <v>6214</v>
      </c>
    </row>
    <row r="179" spans="9:16">
      <c r="I179" t="s">
        <v>2466</v>
      </c>
      <c r="J179" s="190">
        <v>8411</v>
      </c>
      <c r="K179" s="239">
        <v>0.36</v>
      </c>
      <c r="L179" s="137">
        <v>0.15</v>
      </c>
      <c r="M179">
        <v>1.05</v>
      </c>
      <c r="N179" t="s">
        <v>2465</v>
      </c>
      <c r="P179">
        <v>6217</v>
      </c>
    </row>
    <row r="180" spans="9:16">
      <c r="I180" t="s">
        <v>2466</v>
      </c>
      <c r="J180" s="190">
        <v>8421</v>
      </c>
      <c r="K180" s="239">
        <v>0.32</v>
      </c>
      <c r="L180" s="137">
        <v>0.17</v>
      </c>
      <c r="M180">
        <v>1.05</v>
      </c>
      <c r="N180" t="s">
        <v>2465</v>
      </c>
      <c r="P180">
        <v>6227</v>
      </c>
    </row>
    <row r="181" spans="9:16">
      <c r="I181" t="s">
        <v>2466</v>
      </c>
      <c r="J181" s="190">
        <v>9958</v>
      </c>
      <c r="K181" s="239">
        <v>0.33</v>
      </c>
      <c r="L181" s="137">
        <v>0.15</v>
      </c>
      <c r="M181">
        <v>1.05</v>
      </c>
      <c r="N181" t="s">
        <v>2465</v>
      </c>
      <c r="P181">
        <v>6233</v>
      </c>
    </row>
    <row r="182" spans="9:16">
      <c r="P182">
        <v>6235</v>
      </c>
    </row>
    <row r="183" spans="9:16">
      <c r="P183">
        <v>6237</v>
      </c>
    </row>
    <row r="184" spans="9:16">
      <c r="P184">
        <v>6238</v>
      </c>
    </row>
    <row r="185" spans="9:16">
      <c r="P185">
        <v>6239</v>
      </c>
    </row>
    <row r="186" spans="9:16">
      <c r="P186">
        <v>6244</v>
      </c>
    </row>
    <row r="187" spans="9:16">
      <c r="P187">
        <v>6245</v>
      </c>
    </row>
    <row r="188" spans="9:16">
      <c r="P188">
        <v>6264</v>
      </c>
    </row>
    <row r="189" spans="9:16">
      <c r="P189">
        <v>6279</v>
      </c>
    </row>
    <row r="190" spans="9:16">
      <c r="P190">
        <v>6292</v>
      </c>
    </row>
    <row r="191" spans="9:16">
      <c r="P191">
        <v>6294</v>
      </c>
    </row>
    <row r="192" spans="9:16">
      <c r="P192">
        <v>6404</v>
      </c>
    </row>
    <row r="193" spans="16:16">
      <c r="P193">
        <v>6411</v>
      </c>
    </row>
    <row r="194" spans="16:16">
      <c r="P194">
        <v>6414</v>
      </c>
    </row>
    <row r="195" spans="16:16">
      <c r="P195">
        <v>6415</v>
      </c>
    </row>
    <row r="196" spans="16:16">
      <c r="P196">
        <v>6422</v>
      </c>
    </row>
    <row r="197" spans="16:16">
      <c r="P197">
        <v>6426</v>
      </c>
    </row>
    <row r="198" spans="16:16">
      <c r="P198">
        <v>6451</v>
      </c>
    </row>
    <row r="199" spans="16:16">
      <c r="P199">
        <v>6605</v>
      </c>
    </row>
    <row r="200" spans="16:16">
      <c r="P200">
        <v>8016</v>
      </c>
    </row>
    <row r="201" spans="16:16">
      <c r="P201">
        <v>8040</v>
      </c>
    </row>
    <row r="202" spans="16:16">
      <c r="P202">
        <v>8042</v>
      </c>
    </row>
    <row r="203" spans="16:16">
      <c r="P203">
        <v>8048</v>
      </c>
    </row>
    <row r="204" spans="16:16">
      <c r="P204">
        <v>8066</v>
      </c>
    </row>
    <row r="205" spans="16:16">
      <c r="P205">
        <v>8077</v>
      </c>
    </row>
    <row r="206" spans="16:16">
      <c r="P206">
        <v>8091</v>
      </c>
    </row>
    <row r="207" spans="16:16">
      <c r="P207">
        <v>8112</v>
      </c>
    </row>
    <row r="208" spans="16:16">
      <c r="P208">
        <v>8114</v>
      </c>
    </row>
    <row r="209" spans="16:16">
      <c r="P209">
        <v>8147</v>
      </c>
    </row>
    <row r="210" spans="16:16">
      <c r="P210">
        <v>8176</v>
      </c>
    </row>
    <row r="211" spans="16:16">
      <c r="P211">
        <v>8266</v>
      </c>
    </row>
    <row r="212" spans="16:16">
      <c r="P212">
        <v>8341</v>
      </c>
    </row>
    <row r="213" spans="16:16">
      <c r="P213">
        <v>8406</v>
      </c>
    </row>
    <row r="214" spans="16:16">
      <c r="P214">
        <v>8409</v>
      </c>
    </row>
    <row r="215" spans="16:16">
      <c r="P215">
        <v>8411</v>
      </c>
    </row>
    <row r="216" spans="16:16">
      <c r="P216">
        <v>8416</v>
      </c>
    </row>
    <row r="217" spans="16:16">
      <c r="P217">
        <v>8421</v>
      </c>
    </row>
    <row r="218" spans="16:16">
      <c r="P218">
        <v>8422</v>
      </c>
    </row>
    <row r="219" spans="16:16">
      <c r="P219">
        <v>8433</v>
      </c>
    </row>
    <row r="220" spans="16:16">
      <c r="P220">
        <v>8436</v>
      </c>
    </row>
    <row r="221" spans="16:16">
      <c r="P221">
        <v>8446</v>
      </c>
    </row>
    <row r="222" spans="16:16">
      <c r="P222">
        <v>8913</v>
      </c>
    </row>
    <row r="223" spans="16:16">
      <c r="P223">
        <v>8924</v>
      </c>
    </row>
    <row r="224" spans="16:16">
      <c r="P224">
        <v>9906</v>
      </c>
    </row>
    <row r="225" spans="16:16">
      <c r="P225">
        <v>9911</v>
      </c>
    </row>
    <row r="226" spans="16:16">
      <c r="P226">
        <v>9945</v>
      </c>
    </row>
    <row r="227" spans="16:16">
      <c r="P227">
        <v>9946</v>
      </c>
    </row>
    <row r="228" spans="16:16">
      <c r="P228">
        <v>9951</v>
      </c>
    </row>
    <row r="229" spans="16:16">
      <c r="P229">
        <v>9958</v>
      </c>
    </row>
  </sheetData>
  <sortState ref="P1:P348">
    <sortCondition ref="P1:P348"/>
  </sortState>
  <phoneticPr fontId="2" type="noConversion"/>
  <hyperlinks>
    <hyperlink ref="A2" r:id="rId1" display="1258_40.35%"/>
    <hyperlink ref="A3" r:id="rId2" display="1339_48.08%"/>
    <hyperlink ref="A4" r:id="rId3" display="1442_44.6%"/>
    <hyperlink ref="A5" r:id="rId4" display="1529_107.7%"/>
    <hyperlink ref="A6" r:id="rId5" display="1618_28.04%"/>
    <hyperlink ref="A7" r:id="rId6" display="1762_22.75%"/>
    <hyperlink ref="A8" r:id="rId7" display="2419_31.06%"/>
    <hyperlink ref="A9" r:id="rId8" display="2425_25.92%"/>
    <hyperlink ref="A10" r:id="rId9" display="2443_47.17%"/>
    <hyperlink ref="A11" r:id="rId10" display="2489_16.05%"/>
    <hyperlink ref="A12" r:id="rId11" display="3131_24.11%"/>
    <hyperlink ref="A13" r:id="rId12" display="3191_20.71%"/>
    <hyperlink ref="A14" r:id="rId13" display="4109_33.35%"/>
    <hyperlink ref="A15" r:id="rId14" display="4137_43.07%"/>
    <hyperlink ref="A16" r:id="rId15" display="4415_379.24%"/>
    <hyperlink ref="A17" r:id="rId16" display="4523_16.1%"/>
    <hyperlink ref="A18" r:id="rId17" display="6139_20.09%"/>
    <hyperlink ref="A19" r:id="rId18" display="6235_26.48%"/>
    <hyperlink ref="A20" r:id="rId19" display="6244_23.9%"/>
    <hyperlink ref="A21" r:id="rId20" display="6264_136.48%"/>
    <hyperlink ref="A22" r:id="rId21" display="8077_615.35%"/>
    <hyperlink ref="A23" r:id="rId22" display="8091_97%"/>
    <hyperlink ref="A24" r:id="rId23" display="8422_29.22%"/>
    <hyperlink ref="A25" r:id="rId24" display="9906_3375.38%"/>
    <hyperlink ref="A26" r:id="rId25" display="9951_20.03%"/>
    <hyperlink ref="B2" r:id="rId26" display="1529"/>
    <hyperlink ref="B3" r:id="rId27" display="1536"/>
    <hyperlink ref="B4" r:id="rId28" display="1618"/>
    <hyperlink ref="B5" r:id="rId29" display="2373"/>
    <hyperlink ref="B6" r:id="rId30" display="2406"/>
    <hyperlink ref="B7" r:id="rId31" display="2425"/>
    <hyperlink ref="B8" r:id="rId32" display="2442"/>
    <hyperlink ref="B9" r:id="rId33" display="2464"/>
    <hyperlink ref="B10" r:id="rId34" display="2485"/>
    <hyperlink ref="B11" r:id="rId35" display="2496"/>
    <hyperlink ref="B12" r:id="rId36" display="3205"/>
    <hyperlink ref="B13" r:id="rId37" display="3226"/>
    <hyperlink ref="B14" r:id="rId38" display="3552"/>
    <hyperlink ref="B15" r:id="rId39" display="3687"/>
    <hyperlink ref="B16" r:id="rId40" display="4109"/>
    <hyperlink ref="B17" r:id="rId41" display="4123"/>
    <hyperlink ref="B18" r:id="rId42" display="4137"/>
    <hyperlink ref="B19" r:id="rId43" display="4415"/>
    <hyperlink ref="B20" r:id="rId44" display="4420"/>
    <hyperlink ref="B21" r:id="rId45" display="4502"/>
    <hyperlink ref="B22" r:id="rId46" display="4965"/>
    <hyperlink ref="B23" r:id="rId47" display="5392"/>
    <hyperlink ref="B24" r:id="rId48" display="6103"/>
    <hyperlink ref="B25" r:id="rId49" display="6139"/>
    <hyperlink ref="B26" r:id="rId50" display="6235"/>
    <hyperlink ref="B27" r:id="rId51" display="6244"/>
    <hyperlink ref="B28" r:id="rId52" display="6264"/>
    <hyperlink ref="B29" r:id="rId53" display="6411"/>
    <hyperlink ref="B30" r:id="rId54" display="8077"/>
    <hyperlink ref="B31" r:id="rId55" display="8091"/>
    <hyperlink ref="B32" r:id="rId56" display="8422"/>
    <hyperlink ref="B33" r:id="rId57" display="8433"/>
    <hyperlink ref="B34" r:id="rId58" display="9951"/>
    <hyperlink ref="C2" r:id="rId59" display="1536"/>
    <hyperlink ref="C3" r:id="rId60" display="2231"/>
    <hyperlink ref="C4" r:id="rId61" display="2406"/>
    <hyperlink ref="C5" r:id="rId62" display="2433"/>
    <hyperlink ref="C6" r:id="rId63" display="2464"/>
    <hyperlink ref="C7" r:id="rId64" display="2485"/>
    <hyperlink ref="C8" r:id="rId65" display="2496"/>
    <hyperlink ref="C9" r:id="rId66" display="3105"/>
    <hyperlink ref="C10" r:id="rId67" display="3205"/>
    <hyperlink ref="C11" r:id="rId68" display="3552"/>
    <hyperlink ref="C12" r:id="rId69" display="3691"/>
    <hyperlink ref="C13" r:id="rId70" display="4109"/>
    <hyperlink ref="C14" r:id="rId71" display="4139"/>
    <hyperlink ref="C15" r:id="rId72" display="4502"/>
    <hyperlink ref="C16" r:id="rId73" display="4965"/>
    <hyperlink ref="C17" r:id="rId74" display="4979"/>
    <hyperlink ref="C18" r:id="rId75" display="5315"/>
    <hyperlink ref="C19" r:id="rId76" display="6184"/>
    <hyperlink ref="C20" r:id="rId77" display="6235"/>
    <hyperlink ref="C21" r:id="rId78" display="6244"/>
    <hyperlink ref="C22" r:id="rId79" display="6411"/>
    <hyperlink ref="C23" r:id="rId80" display="8112"/>
    <hyperlink ref="C24" r:id="rId81" display="8436"/>
    <hyperlink ref="F50" r:id="rId82" display="1339"/>
    <hyperlink ref="E50" r:id="rId83" display="1339"/>
    <hyperlink ref="F6" r:id="rId84" display="1442"/>
    <hyperlink ref="E6" r:id="rId85" display="1442"/>
    <hyperlink ref="F76" r:id="rId86" display="1464"/>
    <hyperlink ref="E76" r:id="rId87" display="1464"/>
    <hyperlink ref="F51" r:id="rId88" display="1512"/>
    <hyperlink ref="E51" r:id="rId89" display="1512"/>
    <hyperlink ref="F36" r:id="rId90" display="1519"/>
    <hyperlink ref="E36" r:id="rId91" display="1519"/>
    <hyperlink ref="F77" r:id="rId92" display="1618"/>
    <hyperlink ref="E77" r:id="rId93" display="1618"/>
    <hyperlink ref="F21" r:id="rId94" display="1707"/>
    <hyperlink ref="E21" r:id="rId95" display="1707"/>
    <hyperlink ref="F13" r:id="rId96" display="1736"/>
    <hyperlink ref="E13" r:id="rId97" display="1736"/>
    <hyperlink ref="F24" r:id="rId98" display="1762"/>
    <hyperlink ref="E24" r:id="rId99" display="1762"/>
    <hyperlink ref="F52" r:id="rId100" display="1810"/>
    <hyperlink ref="E52" r:id="rId101" display="1810"/>
    <hyperlink ref="F29" r:id="rId102" display="2221"/>
    <hyperlink ref="E29" r:id="rId103" display="2221"/>
    <hyperlink ref="F60" r:id="rId104" display="2233"/>
    <hyperlink ref="E60" r:id="rId105" display="2233"/>
    <hyperlink ref="F61" r:id="rId106" display="2305"/>
    <hyperlink ref="E61" r:id="rId107" display="2305"/>
    <hyperlink ref="F78" r:id="rId108" display="2362"/>
    <hyperlink ref="E78" r:id="rId109" display="2362"/>
    <hyperlink ref="F53" r:id="rId110" display="2379"/>
    <hyperlink ref="E53" r:id="rId111" display="2379"/>
    <hyperlink ref="F79" r:id="rId112" display="2419"/>
    <hyperlink ref="E79" r:id="rId113" display="2419"/>
    <hyperlink ref="F30" r:id="rId114" display="2423"/>
    <hyperlink ref="E30" r:id="rId115" display="2423"/>
    <hyperlink ref="F80" r:id="rId116" display="2465"/>
    <hyperlink ref="E80" r:id="rId117" display="2465"/>
    <hyperlink ref="F14" r:id="rId118" display="2495"/>
    <hyperlink ref="E14" r:id="rId119" display="2495"/>
    <hyperlink ref="F22" r:id="rId120" display="2496"/>
    <hyperlink ref="E22" r:id="rId121" display="2496"/>
    <hyperlink ref="F2" r:id="rId122" display="2702"/>
    <hyperlink ref="E2" r:id="rId123" display="2702"/>
    <hyperlink ref="F5" r:id="rId124" display="2916"/>
    <hyperlink ref="E5" r:id="rId125" display="2916"/>
    <hyperlink ref="F25" r:id="rId126" display="2926"/>
    <hyperlink ref="E25" r:id="rId127" display="2926"/>
    <hyperlink ref="F26" r:id="rId128" display="2929"/>
    <hyperlink ref="E26" r:id="rId129" display="2929"/>
    <hyperlink ref="F54" r:id="rId130" display="3004"/>
    <hyperlink ref="E54" r:id="rId131" display="3004"/>
    <hyperlink ref="F81" r:id="rId132" display="3078"/>
    <hyperlink ref="E81" r:id="rId133" display="3078"/>
    <hyperlink ref="F19" r:id="rId134" display="3122"/>
    <hyperlink ref="E19" r:id="rId135" display="3122"/>
    <hyperlink ref="F20" r:id="rId136" display="3131"/>
    <hyperlink ref="E20" r:id="rId137" display="3131"/>
    <hyperlink ref="F55" r:id="rId138" display="3169"/>
    <hyperlink ref="E55" r:id="rId139" display="3169"/>
    <hyperlink ref="F15" r:id="rId140" display="3205"/>
    <hyperlink ref="E15" r:id="rId141" display="3205"/>
    <hyperlink ref="F39" r:id="rId142" display="3234"/>
    <hyperlink ref="E39" r:id="rId143" display="3234"/>
    <hyperlink ref="F82" r:id="rId144" display="3325"/>
    <hyperlink ref="E82" r:id="rId145" display="3325"/>
    <hyperlink ref="F56" r:id="rId146" display="3376"/>
    <hyperlink ref="E56" r:id="rId147" display="3376"/>
    <hyperlink ref="F12" r:id="rId148" display="3416"/>
    <hyperlink ref="E12" r:id="rId149" display="3416"/>
    <hyperlink ref="F57" r:id="rId150" display="3490"/>
    <hyperlink ref="E57" r:id="rId151" display="3490"/>
    <hyperlink ref="F83" r:id="rId152" display="3521"/>
    <hyperlink ref="E83" r:id="rId153" display="3521"/>
    <hyperlink ref="F11" r:id="rId154" display="3529"/>
    <hyperlink ref="E11" r:id="rId155" display="3529"/>
    <hyperlink ref="F62" r:id="rId156" display="3548"/>
    <hyperlink ref="E62" r:id="rId157" display="3548"/>
    <hyperlink ref="F31" r:id="rId158" display="3552"/>
    <hyperlink ref="E31" r:id="rId159" display="3552"/>
    <hyperlink ref="F45" r:id="rId160" display="3652"/>
    <hyperlink ref="E45" r:id="rId161" display="3652"/>
    <hyperlink ref="F58" r:id="rId162" display="3687"/>
    <hyperlink ref="E58" r:id="rId163" display="3687"/>
    <hyperlink ref="F16" r:id="rId164" display="4109"/>
    <hyperlink ref="E16" r:id="rId165" display="4109"/>
    <hyperlink ref="F17" r:id="rId166" display="4123"/>
    <hyperlink ref="E17" r:id="rId167" display="4123"/>
    <hyperlink ref="F33" r:id="rId168" display="4129"/>
    <hyperlink ref="E33" r:id="rId169" display="4129"/>
    <hyperlink ref="F10" r:id="rId170" display="4137"/>
    <hyperlink ref="E10" r:id="rId171" display="4137"/>
    <hyperlink ref="F63" r:id="rId172" display="4139"/>
    <hyperlink ref="E63" r:id="rId173" display="4139"/>
    <hyperlink ref="F40" r:id="rId174" display="4141"/>
    <hyperlink ref="E40" r:id="rId175" display="4141"/>
    <hyperlink ref="F34" r:id="rId176" display="4154"/>
    <hyperlink ref="E34" r:id="rId177" display="4154"/>
    <hyperlink ref="F64" r:id="rId178" display="4161"/>
    <hyperlink ref="E64" r:id="rId179" display="4161"/>
    <hyperlink ref="F37" r:id="rId180" display="4164"/>
    <hyperlink ref="E37" r:id="rId181" display="4164"/>
    <hyperlink ref="F46" r:id="rId182" display="4426"/>
    <hyperlink ref="E46" r:id="rId183" display="4426"/>
    <hyperlink ref="F65" r:id="rId184" display="4527"/>
    <hyperlink ref="E65" r:id="rId185" display="4527"/>
    <hyperlink ref="F66" r:id="rId186" display="4735"/>
    <hyperlink ref="E66" r:id="rId187" display="4735"/>
    <hyperlink ref="F67" r:id="rId188" display="4746"/>
    <hyperlink ref="E67" r:id="rId189" display="4746"/>
    <hyperlink ref="F47" r:id="rId190" display="4747"/>
    <hyperlink ref="E47" r:id="rId191" display="4747"/>
    <hyperlink ref="F68" r:id="rId192" display="4979"/>
    <hyperlink ref="E68" r:id="rId193" display="4979"/>
    <hyperlink ref="F27" r:id="rId194" display="5202"/>
    <hyperlink ref="E27" r:id="rId195" display="5202"/>
    <hyperlink ref="F28" r:id="rId196" display="5206"/>
    <hyperlink ref="E28" r:id="rId197" display="5206"/>
    <hyperlink ref="F7" r:id="rId198" display="5212"/>
    <hyperlink ref="E7" r:id="rId199" display="5212"/>
    <hyperlink ref="F84" r:id="rId200" display="5215"/>
    <hyperlink ref="E84" r:id="rId201" display="5215"/>
    <hyperlink ref="F69" r:id="rId202" display="5264"/>
    <hyperlink ref="E69" r:id="rId203" display="5264"/>
    <hyperlink ref="F8" r:id="rId204" display="5301"/>
    <hyperlink ref="E8" r:id="rId205" display="5301"/>
    <hyperlink ref="F41" r:id="rId206" display="5395"/>
    <hyperlink ref="E41" r:id="rId207" display="5395"/>
    <hyperlink ref="F59" r:id="rId208" display="5403"/>
    <hyperlink ref="E59" r:id="rId209" display="5403"/>
    <hyperlink ref="F85" r:id="rId210" display="5410"/>
    <hyperlink ref="E85" r:id="rId211" display="5410"/>
    <hyperlink ref="F70" r:id="rId212" display="5487"/>
    <hyperlink ref="E70" r:id="rId213" display="5487"/>
    <hyperlink ref="F9" r:id="rId214" display="5490"/>
    <hyperlink ref="E9" r:id="rId215" display="5490"/>
    <hyperlink ref="F48" r:id="rId216" display="6144"/>
    <hyperlink ref="E48" r:id="rId217" display="6144"/>
    <hyperlink ref="F71" r:id="rId218" display="6214"/>
    <hyperlink ref="E71" r:id="rId219" display="6214"/>
    <hyperlink ref="F42" r:id="rId220" display="6237"/>
    <hyperlink ref="E42" r:id="rId221" display="6237"/>
    <hyperlink ref="F72" r:id="rId222" display="6245"/>
    <hyperlink ref="E72" r:id="rId223" display="6245"/>
    <hyperlink ref="F32" r:id="rId224" display="6279"/>
    <hyperlink ref="E32" r:id="rId225" display="6279"/>
    <hyperlink ref="F49" r:id="rId226" display="6404"/>
    <hyperlink ref="E49" r:id="rId227" display="6404"/>
    <hyperlink ref="F73" r:id="rId228" display="6422"/>
    <hyperlink ref="E73" r:id="rId229" display="6422"/>
    <hyperlink ref="F86" r:id="rId230" display="6451"/>
    <hyperlink ref="E86" r:id="rId231" display="6451"/>
    <hyperlink ref="F87" r:id="rId232" display="6605"/>
    <hyperlink ref="E87" r:id="rId233" display="6605"/>
    <hyperlink ref="F38" r:id="rId234" display="8040"/>
    <hyperlink ref="E38" r:id="rId235" display="8040"/>
    <hyperlink ref="F43" r:id="rId236" display="8077"/>
    <hyperlink ref="E43" r:id="rId237" display="8077"/>
    <hyperlink ref="F18" r:id="rId238" display="8091"/>
    <hyperlink ref="E18" r:id="rId239" display="8091"/>
    <hyperlink ref="F35" r:id="rId240" display="8147"/>
    <hyperlink ref="E35" r:id="rId241" display="8147"/>
    <hyperlink ref="F74" r:id="rId242" display="8176"/>
    <hyperlink ref="E74" r:id="rId243" display="8176"/>
    <hyperlink ref="F4" r:id="rId244" display="8409"/>
    <hyperlink ref="E4" r:id="rId245" display="8409"/>
    <hyperlink ref="F3" r:id="rId246" display="8416"/>
    <hyperlink ref="E3" r:id="rId247" display="8416"/>
    <hyperlink ref="F44" r:id="rId248" display="8446"/>
    <hyperlink ref="E44" r:id="rId249" display="8446"/>
    <hyperlink ref="F75" r:id="rId250" display="8924"/>
    <hyperlink ref="E75" r:id="rId251" display="8924"/>
    <hyperlink ref="F23" r:id="rId252" display="9911"/>
    <hyperlink ref="E23" r:id="rId253" display="9911"/>
    <hyperlink ref="K156" r:id="rId254" display="1203"/>
    <hyperlink ref="J156" r:id="rId255" display="1203"/>
    <hyperlink ref="K140" r:id="rId256" display="1234"/>
    <hyperlink ref="J140" r:id="rId257" display="1234"/>
    <hyperlink ref="K56" r:id="rId258" display="1258"/>
    <hyperlink ref="J56" r:id="rId259" display="1258"/>
    <hyperlink ref="K36" r:id="rId260" display="1339"/>
    <hyperlink ref="J36" r:id="rId261" display="1339"/>
    <hyperlink ref="K8" r:id="rId262" display="1432"/>
    <hyperlink ref="J8" r:id="rId263" display="1432"/>
    <hyperlink ref="K141" r:id="rId264" display="1442"/>
    <hyperlink ref="J141" r:id="rId265" display="1442"/>
    <hyperlink ref="K123" r:id="rId266" display="1476"/>
    <hyperlink ref="J123" r:id="rId267" display="1476"/>
    <hyperlink ref="K142" r:id="rId268" display="1527"/>
    <hyperlink ref="J142" r:id="rId269" display="1527"/>
    <hyperlink ref="K92" r:id="rId270" display="1536"/>
    <hyperlink ref="J92" r:id="rId271" display="1536"/>
    <hyperlink ref="K108" r:id="rId272" display="1565"/>
    <hyperlink ref="J108" r:id="rId273" display="1565"/>
    <hyperlink ref="K31" r:id="rId274" display="1566"/>
    <hyperlink ref="J31" r:id="rId275" display="1566"/>
    <hyperlink ref="K75" r:id="rId276" display="1570"/>
    <hyperlink ref="J75" r:id="rId277" display="1570"/>
    <hyperlink ref="K157" r:id="rId278" display="1603"/>
    <hyperlink ref="J157" r:id="rId279" display="1603"/>
    <hyperlink ref="K37" r:id="rId280" display="1618"/>
    <hyperlink ref="J37" r:id="rId281" display="1618"/>
    <hyperlink ref="K60" r:id="rId282" display="1707"/>
    <hyperlink ref="J60" r:id="rId283" display="1707"/>
    <hyperlink ref="K124" r:id="rId284" display="1730"/>
    <hyperlink ref="J124" r:id="rId285" display="1730"/>
    <hyperlink ref="K158" r:id="rId286" display="1752"/>
    <hyperlink ref="J158" r:id="rId287" display="1752"/>
    <hyperlink ref="K109" r:id="rId288" display="1762"/>
    <hyperlink ref="J109" r:id="rId289" display="1762"/>
    <hyperlink ref="K93" r:id="rId290" display="1777"/>
    <hyperlink ref="J93" r:id="rId291" display="1777"/>
    <hyperlink ref="K110" r:id="rId292" display="1783"/>
    <hyperlink ref="J110" r:id="rId293" display="1783"/>
    <hyperlink ref="K16" r:id="rId294" display="1786"/>
    <hyperlink ref="J16" r:id="rId295" display="1786"/>
    <hyperlink ref="K13" r:id="rId296" display="1795"/>
    <hyperlink ref="J13" r:id="rId297" display="1795"/>
    <hyperlink ref="K111" r:id="rId298" display="2221"/>
    <hyperlink ref="J111" r:id="rId299" display="2221"/>
    <hyperlink ref="K125" r:id="rId300" display="2228"/>
    <hyperlink ref="J125" r:id="rId301" display="2228"/>
    <hyperlink ref="K143" r:id="rId302" display="2313"/>
    <hyperlink ref="J143" r:id="rId303" display="2313"/>
    <hyperlink ref="K81" r:id="rId304" display="2373"/>
    <hyperlink ref="J81" r:id="rId305" display="2373"/>
    <hyperlink ref="K94" r:id="rId306" display="2379"/>
    <hyperlink ref="J94" r:id="rId307" display="2379"/>
    <hyperlink ref="K82" r:id="rId308" display="2406"/>
    <hyperlink ref="J82" r:id="rId309" display="2406"/>
    <hyperlink ref="K10" r:id="rId310" display="2417"/>
    <hyperlink ref="J10" r:id="rId311" display="2417"/>
    <hyperlink ref="K159" r:id="rId312" display="2419"/>
    <hyperlink ref="J159" r:id="rId313" display="2419"/>
    <hyperlink ref="K53" r:id="rId314" display="2427"/>
    <hyperlink ref="J53" r:id="rId315" display="2427"/>
    <hyperlink ref="K95" r:id="rId316" display="2433"/>
    <hyperlink ref="J95" r:id="rId317" display="2433"/>
    <hyperlink ref="K61" r:id="rId318" display="2438"/>
    <hyperlink ref="J61" r:id="rId319" display="2438"/>
    <hyperlink ref="K96" r:id="rId320" display="2442"/>
    <hyperlink ref="J96" r:id="rId321" display="2442"/>
    <hyperlink ref="K126" r:id="rId322" display="2464"/>
    <hyperlink ref="J126" r:id="rId323" display="2464"/>
    <hyperlink ref="K144" r:id="rId324" display="2465"/>
    <hyperlink ref="J144" r:id="rId325" display="2465"/>
    <hyperlink ref="K45" r:id="rId326" display="2474"/>
    <hyperlink ref="J45" r:id="rId327" display="2474"/>
    <hyperlink ref="K112" r:id="rId328" display="2485"/>
    <hyperlink ref="J112" r:id="rId329" display="2485"/>
    <hyperlink ref="K160" r:id="rId330" display="2488"/>
    <hyperlink ref="J160" r:id="rId331" display="2488"/>
    <hyperlink ref="K42" r:id="rId332" display="2496"/>
    <hyperlink ref="J42" r:id="rId333" display="2496"/>
    <hyperlink ref="K161" r:id="rId334" display="2637"/>
    <hyperlink ref="J161" r:id="rId335" display="2637"/>
    <hyperlink ref="K14" r:id="rId336" display="2702"/>
    <hyperlink ref="J14" r:id="rId337" display="2702"/>
    <hyperlink ref="K83" r:id="rId338" display="2729"/>
    <hyperlink ref="J83" r:id="rId339" display="2729"/>
    <hyperlink ref="K76" r:id="rId340" display="2926"/>
    <hyperlink ref="J76" r:id="rId341" display="2926"/>
    <hyperlink ref="K84" r:id="rId342" display="3004"/>
    <hyperlink ref="J84" r:id="rId343" display="3004"/>
    <hyperlink ref="K97" r:id="rId344" display="3027"/>
    <hyperlink ref="J97" r:id="rId345" display="3027"/>
    <hyperlink ref="K162" r:id="rId346" display="3032"/>
    <hyperlink ref="J162" r:id="rId347" display="3032"/>
    <hyperlink ref="K113" r:id="rId348" display="3046"/>
    <hyperlink ref="J113" r:id="rId349" display="3046"/>
    <hyperlink ref="K163" r:id="rId350" display="3050"/>
    <hyperlink ref="J163" r:id="rId351" display="3050"/>
    <hyperlink ref="K85" r:id="rId352" display="3078"/>
    <hyperlink ref="J85" r:id="rId353" display="3078"/>
    <hyperlink ref="K77" r:id="rId354" display="3088"/>
    <hyperlink ref="J77" r:id="rId355" display="3088"/>
    <hyperlink ref="K78" r:id="rId356" display="3094"/>
    <hyperlink ref="J78" r:id="rId357" display="3094"/>
    <hyperlink ref="K127" r:id="rId358" display="3105"/>
    <hyperlink ref="J127" r:id="rId359" display="3105"/>
    <hyperlink ref="K145" r:id="rId360" display="3122"/>
    <hyperlink ref="J145" r:id="rId361" display="3122"/>
    <hyperlink ref="K98" r:id="rId362" display="3131"/>
    <hyperlink ref="J98" r:id="rId363" display="3131"/>
    <hyperlink ref="K128" r:id="rId364" display="3141"/>
    <hyperlink ref="J128" r:id="rId365" display="3141"/>
    <hyperlink ref="K24" r:id="rId366" display="3152"/>
    <hyperlink ref="J24" r:id="rId367" display="3152"/>
    <hyperlink ref="K46" r:id="rId368" display="3169"/>
    <hyperlink ref="J46" r:id="rId369" display="3169"/>
    <hyperlink ref="K9" r:id="rId370" display="3205"/>
    <hyperlink ref="J9" r:id="rId371" display="3205"/>
    <hyperlink ref="K71" r:id="rId372" display="3226"/>
    <hyperlink ref="J71" r:id="rId373" display="3226"/>
    <hyperlink ref="K20" r:id="rId374" display="3234"/>
    <hyperlink ref="J20" r:id="rId375" display="3234"/>
    <hyperlink ref="K146" r:id="rId376" display="3285"/>
    <hyperlink ref="J146" r:id="rId377" display="3285"/>
    <hyperlink ref="K23" r:id="rId378" display="3293"/>
    <hyperlink ref="J23" r:id="rId379" display="3293"/>
    <hyperlink ref="K11" r:id="rId380" display="3310"/>
    <hyperlink ref="J11" r:id="rId381" display="3310"/>
    <hyperlink ref="K164" r:id="rId382" display="3325"/>
    <hyperlink ref="J164" r:id="rId383" display="3325"/>
    <hyperlink ref="K129" r:id="rId384" display="3373"/>
    <hyperlink ref="J129" r:id="rId385" display="3373"/>
    <hyperlink ref="K165" r:id="rId386" display="3376"/>
    <hyperlink ref="J165" r:id="rId387" display="3376"/>
    <hyperlink ref="K99" r:id="rId388" display="3428"/>
    <hyperlink ref="J99" r:id="rId389" display="3428"/>
    <hyperlink ref="K147" r:id="rId390" display="3443"/>
    <hyperlink ref="J147" r:id="rId391" display="3443"/>
    <hyperlink ref="K100" r:id="rId392" display="3450"/>
    <hyperlink ref="J100" r:id="rId393" display="3450"/>
    <hyperlink ref="K54" r:id="rId394" display="3454"/>
    <hyperlink ref="J54" r:id="rId395" display="3454"/>
    <hyperlink ref="K114" r:id="rId396" display="3479"/>
    <hyperlink ref="J114" r:id="rId397" display="3479"/>
    <hyperlink ref="K166" r:id="rId398" display="3499"/>
    <hyperlink ref="J166" r:id="rId399" display="3499"/>
    <hyperlink ref="K27" r:id="rId400" display="3521"/>
    <hyperlink ref="J27" r:id="rId401" display="3521"/>
    <hyperlink ref="K49" r:id="rId402" display="3529"/>
    <hyperlink ref="J49" r:id="rId403" display="3529"/>
    <hyperlink ref="K43" r:id="rId404" display="3535"/>
    <hyperlink ref="J43" r:id="rId405" display="3535"/>
    <hyperlink ref="K22" r:id="rId406" display="3545"/>
    <hyperlink ref="J22" r:id="rId407" display="3545"/>
    <hyperlink ref="K148" r:id="rId408" display="3548"/>
    <hyperlink ref="J148" r:id="rId409" display="3548"/>
    <hyperlink ref="K38" r:id="rId410" display="3552"/>
    <hyperlink ref="J38" r:id="rId411" display="3552"/>
    <hyperlink ref="K115" r:id="rId412" display="3587"/>
    <hyperlink ref="J115" r:id="rId413" display="3587"/>
    <hyperlink ref="K50" r:id="rId414" display="3593"/>
    <hyperlink ref="J50" r:id="rId415" display="3593"/>
    <hyperlink ref="K62" r:id="rId416" display="3617"/>
    <hyperlink ref="J62" r:id="rId417" display="3617"/>
    <hyperlink ref="K28" r:id="rId418" display="3662"/>
    <hyperlink ref="J28" r:id="rId419" display="3662"/>
    <hyperlink ref="K167" r:id="rId420" display="3665"/>
    <hyperlink ref="J167" r:id="rId421" display="3665"/>
    <hyperlink ref="K130" r:id="rId422" display="3684"/>
    <hyperlink ref="J130" r:id="rId423" display="3684"/>
    <hyperlink ref="K18" r:id="rId424" display="3687"/>
    <hyperlink ref="J18" r:id="rId425" display="3687"/>
    <hyperlink ref="K57" r:id="rId426" display="3691"/>
    <hyperlink ref="J57" r:id="rId427" display="3691"/>
    <hyperlink ref="K101" r:id="rId428" display="3694"/>
    <hyperlink ref="J101" r:id="rId429" display="3694"/>
    <hyperlink ref="K63" r:id="rId430" display="4105"/>
    <hyperlink ref="J63" r:id="rId431" display="4105"/>
    <hyperlink ref="K32" r:id="rId432" display="4109"/>
    <hyperlink ref="J32" r:id="rId433" display="4109"/>
    <hyperlink ref="K116" r:id="rId434" display="4114"/>
    <hyperlink ref="J116" r:id="rId435" display="4114"/>
    <hyperlink ref="K4" r:id="rId436" display="4123"/>
    <hyperlink ref="J4" r:id="rId437" display="4123"/>
    <hyperlink ref="K131" r:id="rId438" display="4126"/>
    <hyperlink ref="J131" r:id="rId439" display="4126"/>
    <hyperlink ref="K55" r:id="rId440" display="4129"/>
    <hyperlink ref="J55" r:id="rId441" display="4129"/>
    <hyperlink ref="K79" r:id="rId442" display="4130"/>
    <hyperlink ref="J79" r:id="rId443" display="4130"/>
    <hyperlink ref="K21" r:id="rId444" display="4137"/>
    <hyperlink ref="J21" r:id="rId445" display="4137"/>
    <hyperlink ref="K149" r:id="rId446" display="4139"/>
    <hyperlink ref="J149" r:id="rId447" display="4139"/>
    <hyperlink ref="K117" r:id="rId448" display="4153"/>
    <hyperlink ref="J117" r:id="rId449" display="4153"/>
    <hyperlink ref="K80" r:id="rId450" display="4160"/>
    <hyperlink ref="J80" r:id="rId451" display="4160"/>
    <hyperlink ref="K26" r:id="rId452" display="4171"/>
    <hyperlink ref="J26" r:id="rId453" display="4171"/>
    <hyperlink ref="K132" r:id="rId454" display="4180"/>
    <hyperlink ref="J132" r:id="rId455" display="4180"/>
    <hyperlink ref="K86" r:id="rId456" display="4192"/>
    <hyperlink ref="J86" r:id="rId457" display="4192"/>
    <hyperlink ref="K64" r:id="rId458" display="4420"/>
    <hyperlink ref="J64" r:id="rId459" display="4420"/>
    <hyperlink ref="K29" r:id="rId460" display="4426"/>
    <hyperlink ref="J29" r:id="rId461" display="4426"/>
    <hyperlink ref="K72" r:id="rId462" display="4502"/>
    <hyperlink ref="J72" r:id="rId463" display="4502"/>
    <hyperlink ref="K47" r:id="rId464" display="4503"/>
    <hyperlink ref="J47" r:id="rId465" display="4503"/>
    <hyperlink ref="K168" r:id="rId466" display="4526"/>
    <hyperlink ref="J168" r:id="rId467" display="4526"/>
    <hyperlink ref="K150" r:id="rId468" display="4527"/>
    <hyperlink ref="J150" r:id="rId469" display="4527"/>
    <hyperlink ref="K3" r:id="rId470" display="4529"/>
    <hyperlink ref="J3" r:id="rId471" display="4529"/>
    <hyperlink ref="K39" r:id="rId472" display="4743"/>
    <hyperlink ref="J39" r:id="rId473" display="4743"/>
    <hyperlink ref="K40" r:id="rId474" display="4746"/>
    <hyperlink ref="J40" r:id="rId475" display="4746"/>
    <hyperlink ref="K118" r:id="rId476" display="4747"/>
    <hyperlink ref="J118" r:id="rId477" display="4747"/>
    <hyperlink ref="K151" r:id="rId478" display="4915"/>
    <hyperlink ref="J151" r:id="rId479" display="4915"/>
    <hyperlink ref="K133" r:id="rId480" display="4919"/>
    <hyperlink ref="J133" r:id="rId481" display="4919"/>
    <hyperlink ref="K51" r:id="rId482" display="4947"/>
    <hyperlink ref="J51" r:id="rId483" display="4947"/>
    <hyperlink ref="K119" r:id="rId484" display="4965"/>
    <hyperlink ref="J119" r:id="rId485" display="4965"/>
    <hyperlink ref="K73" r:id="rId486" display="4966"/>
    <hyperlink ref="J73" r:id="rId487" display="4966"/>
    <hyperlink ref="K102" r:id="rId488" display="4979"/>
    <hyperlink ref="J102" r:id="rId489" display="4979"/>
    <hyperlink ref="K87" r:id="rId490" display="4984"/>
    <hyperlink ref="J87" r:id="rId491" display="4984"/>
    <hyperlink ref="K103" r:id="rId492" display="4991"/>
    <hyperlink ref="J103" r:id="rId493" display="4991"/>
    <hyperlink ref="K44" r:id="rId494" display="5202"/>
    <hyperlink ref="J44" r:id="rId495" display="5202"/>
    <hyperlink ref="K6" r:id="rId496" display="5206"/>
    <hyperlink ref="J6" r:id="rId497" display="5206"/>
    <hyperlink ref="K65" r:id="rId498" display="5213"/>
    <hyperlink ref="J65" r:id="rId499" display="5213"/>
    <hyperlink ref="K169" r:id="rId500" display="5225"/>
    <hyperlink ref="J169" r:id="rId501" display="5225"/>
    <hyperlink ref="K152" r:id="rId502" display="5230"/>
    <hyperlink ref="J152" r:id="rId503" display="5230"/>
    <hyperlink ref="K66" r:id="rId504" display="5269"/>
    <hyperlink ref="J66" r:id="rId505" display="5269"/>
    <hyperlink ref="K153" r:id="rId506" display="5284"/>
    <hyperlink ref="J153" r:id="rId507" display="5284"/>
    <hyperlink ref="K120" r:id="rId508" display="5306"/>
    <hyperlink ref="J120" r:id="rId509" display="5306"/>
    <hyperlink ref="K48" r:id="rId510" display="5364"/>
    <hyperlink ref="J48" r:id="rId511" display="5364"/>
    <hyperlink ref="K121" r:id="rId512" display="5388"/>
    <hyperlink ref="J121" r:id="rId513" display="5388"/>
    <hyperlink ref="K134" r:id="rId514" display="5392"/>
    <hyperlink ref="J134" r:id="rId515" display="5392"/>
    <hyperlink ref="K15" r:id="rId516" display="5395"/>
    <hyperlink ref="J15" r:id="rId517" display="5395"/>
    <hyperlink ref="K67" r:id="rId518" display="5443"/>
    <hyperlink ref="J67" r:id="rId519" display="5443"/>
    <hyperlink ref="K154" r:id="rId520" display="5490"/>
    <hyperlink ref="J154" r:id="rId521" display="5490"/>
    <hyperlink ref="K12" r:id="rId522" display="6103"/>
    <hyperlink ref="J12" r:id="rId523" display="6103"/>
    <hyperlink ref="K19" r:id="rId524" display="6111"/>
    <hyperlink ref="J19" r:id="rId525" display="6111"/>
    <hyperlink ref="K170" r:id="rId526" display="6136"/>
    <hyperlink ref="J170" r:id="rId527" display="6136"/>
    <hyperlink ref="K2" r:id="rId528" display="6171"/>
    <hyperlink ref="J2" r:id="rId529" display="6171"/>
    <hyperlink ref="K33" r:id="rId530" display="6184"/>
    <hyperlink ref="J33" r:id="rId531" display="6184"/>
    <hyperlink ref="K88" r:id="rId532" display="6217"/>
    <hyperlink ref="J88" r:id="rId533" display="6217"/>
    <hyperlink ref="K135" r:id="rId534" display="6227"/>
    <hyperlink ref="J135" r:id="rId535" display="6227"/>
    <hyperlink ref="K34" r:id="rId536" display="6233"/>
    <hyperlink ref="J34" r:id="rId537" display="6233"/>
    <hyperlink ref="K171" r:id="rId538" display="6235"/>
    <hyperlink ref="J171" r:id="rId539" display="6235"/>
    <hyperlink ref="K25" r:id="rId540" display="6238"/>
    <hyperlink ref="J25" r:id="rId541" display="6238"/>
    <hyperlink ref="K172" r:id="rId542" display="6239"/>
    <hyperlink ref="J172" r:id="rId543" display="6239"/>
    <hyperlink ref="K173" r:id="rId544" display="6244"/>
    <hyperlink ref="J173" r:id="rId545" display="6244"/>
    <hyperlink ref="K174" r:id="rId546" display="6245"/>
    <hyperlink ref="J174" r:id="rId547" display="6245"/>
    <hyperlink ref="K175" r:id="rId548" display="6292"/>
    <hyperlink ref="J175" r:id="rId549" display="6292"/>
    <hyperlink ref="K176" r:id="rId550" display="6294"/>
    <hyperlink ref="J176" r:id="rId551" display="6294"/>
    <hyperlink ref="K136" r:id="rId552" display="6404"/>
    <hyperlink ref="J136" r:id="rId553" display="6404"/>
    <hyperlink ref="K89" r:id="rId554" display="6411"/>
    <hyperlink ref="J89" r:id="rId555" display="6411"/>
    <hyperlink ref="K90" r:id="rId556" display="6414"/>
    <hyperlink ref="J90" r:id="rId557" display="6414"/>
    <hyperlink ref="K41" r:id="rId558" display="6415"/>
    <hyperlink ref="J41" r:id="rId559" display="6415"/>
    <hyperlink ref="K137" r:id="rId560" display="6426"/>
    <hyperlink ref="J137" r:id="rId561" display="6426"/>
    <hyperlink ref="K177" r:id="rId562" display="8016"/>
    <hyperlink ref="J177" r:id="rId563" display="8016"/>
    <hyperlink ref="K104" r:id="rId564" display="8040"/>
    <hyperlink ref="J104" r:id="rId565" display="8040"/>
    <hyperlink ref="K138" r:id="rId566" display="8042"/>
    <hyperlink ref="J138" r:id="rId567" display="8042"/>
    <hyperlink ref="K155" r:id="rId568" display="8048"/>
    <hyperlink ref="J155" r:id="rId569" display="8048"/>
    <hyperlink ref="K178" r:id="rId570" display="8066"/>
    <hyperlink ref="J178" r:id="rId571" display="8066"/>
    <hyperlink ref="K7" r:id="rId572" display="8077"/>
    <hyperlink ref="J7" r:id="rId573" display="8077"/>
    <hyperlink ref="K17" r:id="rId574" display="8091"/>
    <hyperlink ref="J17" r:id="rId575" display="8091"/>
    <hyperlink ref="K122" r:id="rId576" display="8114"/>
    <hyperlink ref="J122" r:id="rId577" display="8114"/>
    <hyperlink ref="K91" r:id="rId578" display="8147"/>
    <hyperlink ref="J91" r:id="rId579" display="8147"/>
    <hyperlink ref="K68" r:id="rId580" display="8176"/>
    <hyperlink ref="J68" r:id="rId581" display="8176"/>
    <hyperlink ref="K58" r:id="rId582" display="8266"/>
    <hyperlink ref="J58" r:id="rId583" display="8266"/>
    <hyperlink ref="K69" r:id="rId584" display="8341"/>
    <hyperlink ref="J69" r:id="rId585" display="8341"/>
    <hyperlink ref="K105" r:id="rId586" display="8406"/>
    <hyperlink ref="J105" r:id="rId587" display="8406"/>
    <hyperlink ref="K70" r:id="rId588" display="8409"/>
    <hyperlink ref="J70" r:id="rId589" display="8409"/>
    <hyperlink ref="K179" r:id="rId590" display="8411"/>
    <hyperlink ref="J179" r:id="rId591" display="8411"/>
    <hyperlink ref="K35" r:id="rId592" display="8416"/>
    <hyperlink ref="J35" r:id="rId593" display="8416"/>
    <hyperlink ref="K180" r:id="rId594" display="8421"/>
    <hyperlink ref="J180" r:id="rId595" display="8421"/>
    <hyperlink ref="K30" r:id="rId596" display="8422"/>
    <hyperlink ref="J30" r:id="rId597" display="8422"/>
    <hyperlink ref="K139" r:id="rId598" display="8433"/>
    <hyperlink ref="J139" r:id="rId599" display="8433"/>
    <hyperlink ref="K52" r:id="rId600" display="8436"/>
    <hyperlink ref="J52" r:id="rId601" display="8436"/>
    <hyperlink ref="K106" r:id="rId602" display="8446"/>
    <hyperlink ref="J106" r:id="rId603" display="8446"/>
    <hyperlink ref="K74" r:id="rId604" display="8913"/>
    <hyperlink ref="J74" r:id="rId605" display="8913"/>
    <hyperlink ref="K59" r:id="rId606" display="9945"/>
    <hyperlink ref="J59" r:id="rId607" display="9945"/>
    <hyperlink ref="K5" r:id="rId608" display="9946"/>
    <hyperlink ref="J5" r:id="rId609" display="9946"/>
    <hyperlink ref="K107" r:id="rId610" display="9951"/>
    <hyperlink ref="J107" r:id="rId611" display="9951"/>
    <hyperlink ref="K181" r:id="rId612" display="9958"/>
    <hyperlink ref="J181" r:id="rId613" display="9958"/>
    <hyperlink ref="S1" r:id="rId614"/>
    <hyperlink ref="S2" r:id="rId615"/>
    <hyperlink ref="S3" r:id="rId616"/>
    <hyperlink ref="S4" r:id="rId617"/>
    <hyperlink ref="S5" r:id="rId618"/>
    <hyperlink ref="S6" r:id="rId619"/>
    <hyperlink ref="S7" r:id="rId620"/>
    <hyperlink ref="S8" r:id="rId621"/>
    <hyperlink ref="S9" r:id="rId622"/>
    <hyperlink ref="S10" r:id="rId623"/>
    <hyperlink ref="S11" r:id="rId624"/>
    <hyperlink ref="S12" r:id="rId625"/>
    <hyperlink ref="S13" r:id="rId626"/>
    <hyperlink ref="S14" r:id="rId627"/>
    <hyperlink ref="S15" r:id="rId628"/>
    <hyperlink ref="V2" r:id="rId629" display="1215_1400%"/>
    <hyperlink ref="V3" r:id="rId630" display="1323_0%"/>
    <hyperlink ref="V4" r:id="rId631" display="1340_100%"/>
    <hyperlink ref="V5" r:id="rId632" display="1708_300%"/>
    <hyperlink ref="V6" r:id="rId633" display="1715_0%"/>
    <hyperlink ref="V7" r:id="rId634" display="1720_0%"/>
    <hyperlink ref="V8" r:id="rId635" display="1762_0%"/>
    <hyperlink ref="V9" r:id="rId636" display="2012_0%"/>
    <hyperlink ref="V10" r:id="rId637" display="2015_0%"/>
    <hyperlink ref="V11" r:id="rId638" display="2062_0%"/>
    <hyperlink ref="V12" r:id="rId639" display="2351_0%"/>
    <hyperlink ref="V13" r:id="rId640" display="2397_0%"/>
    <hyperlink ref="V14" r:id="rId641" display="2428_0%"/>
    <hyperlink ref="V15" r:id="rId642" display="2456_0%"/>
    <hyperlink ref="V16" r:id="rId643" display="2497_100%"/>
    <hyperlink ref="V17" r:id="rId644" display="2608_0%"/>
    <hyperlink ref="V18" r:id="rId645" display="3010_0%"/>
    <hyperlink ref="V19" r:id="rId646" display="3028_800%"/>
    <hyperlink ref="V20" r:id="rId647" display="3607_200%"/>
    <hyperlink ref="V21" r:id="rId648" display="3617_1300%"/>
    <hyperlink ref="V22" r:id="rId649" display="3653_100%"/>
    <hyperlink ref="V23" r:id="rId650" display="3661_0%"/>
    <hyperlink ref="V24" r:id="rId651" display="4144_0%"/>
    <hyperlink ref="V25" r:id="rId652" display="4934_1000%"/>
    <hyperlink ref="V26" r:id="rId653" display="5469_800%"/>
    <hyperlink ref="V27" r:id="rId654" display="6139_0%"/>
    <hyperlink ref="V28" r:id="rId655" display="6412_1700%"/>
    <hyperlink ref="V29" r:id="rId656" display="6442_100%"/>
    <hyperlink ref="V30" r:id="rId657" display="8081_0%"/>
    <hyperlink ref="V31" r:id="rId658" display="8101_0%"/>
    <hyperlink ref="V32" r:id="rId659" display="8210_0%"/>
    <hyperlink ref="V33" r:id="rId660" display="8427_100%"/>
    <hyperlink ref="V34" r:id="rId661" display="9905_0%"/>
    <hyperlink ref="V35" r:id="rId662" display="9927_200%"/>
    <hyperlink ref="V36" r:id="rId663" display="9937_0%"/>
    <hyperlink ref="V37" r:id="rId664" display="1785_0%"/>
    <hyperlink ref="V38" r:id="rId665" display="2926_0%"/>
    <hyperlink ref="V39" r:id="rId666" display="3324_0%"/>
    <hyperlink ref="V40" r:id="rId667" display="3374_500%"/>
    <hyperlink ref="V41" r:id="rId668" display="3558_100%"/>
    <hyperlink ref="V42" r:id="rId669" display="3587_0%"/>
    <hyperlink ref="V43" r:id="rId670" display="4114_0%"/>
    <hyperlink ref="V44" r:id="rId671" display="4126_0%"/>
    <hyperlink ref="V45" r:id="rId672" display="4736_0%"/>
    <hyperlink ref="V46" r:id="rId673" display="4909_0%"/>
    <hyperlink ref="V47" r:id="rId674" display="5287_0%"/>
    <hyperlink ref="V48" r:id="rId675" display="5536_0%"/>
    <hyperlink ref="V49" r:id="rId676" display="6231_0%"/>
    <hyperlink ref="V50" r:id="rId677" display="6803_0%"/>
    <hyperlink ref="V51" r:id="rId678" display="8050_100%"/>
    <hyperlink ref="V52" r:id="rId679" display="8091_200%"/>
    <hyperlink ref="V53" r:id="rId680" display="8403_0%"/>
    <hyperlink ref="V54" r:id="rId681" display="8436_0%"/>
  </hyperlinks>
  <pageMargins left="0.7" right="0.7" top="0.75" bottom="0.75" header="0.3" footer="0.3"/>
  <pageSetup paperSize="9" orientation="portrait" r:id="rId68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1"/>
  <sheetViews>
    <sheetView workbookViewId="0">
      <selection activeCell="L23" sqref="L23"/>
    </sheetView>
  </sheetViews>
  <sheetFormatPr defaultRowHeight="16.5"/>
  <sheetData>
    <row r="1" spans="1:3">
      <c r="A1" t="s">
        <v>2576</v>
      </c>
      <c r="B1" t="s">
        <v>2577</v>
      </c>
      <c r="C1" t="s">
        <v>2578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21</vt:i4>
      </vt:variant>
      <vt:variant>
        <vt:lpstr>圖表</vt:lpstr>
      </vt:variant>
      <vt:variant>
        <vt:i4>1</vt:i4>
      </vt:variant>
      <vt:variant>
        <vt:lpstr>已命名的範圍</vt:lpstr>
      </vt:variant>
      <vt:variant>
        <vt:i4>1093</vt:i4>
      </vt:variant>
    </vt:vector>
  </HeadingPairs>
  <TitlesOfParts>
    <vt:vector size="1115" baseType="lpstr">
      <vt:lpstr>基本設定</vt:lpstr>
      <vt:lpstr>紅綠燈</vt:lpstr>
      <vt:lpstr>收盤價</vt:lpstr>
      <vt:lpstr>權息</vt:lpstr>
      <vt:lpstr>公司債</vt:lpstr>
      <vt:lpstr>篩股系統</vt:lpstr>
      <vt:lpstr>財報PK</vt:lpstr>
      <vt:lpstr>營收搶先報</vt:lpstr>
      <vt:lpstr>買進檢查表</vt:lpstr>
      <vt:lpstr>PSR</vt:lpstr>
      <vt:lpstr>RPS</vt:lpstr>
      <vt:lpstr>葛林公式</vt:lpstr>
      <vt:lpstr>重訊追蹤</vt:lpstr>
      <vt:lpstr>季財報</vt:lpstr>
      <vt:lpstr>評比系統</vt:lpstr>
      <vt:lpstr>PK</vt:lpstr>
      <vt:lpstr>PKA</vt:lpstr>
      <vt:lpstr>PKB</vt:lpstr>
      <vt:lpstr>PKC</vt:lpstr>
      <vt:lpstr>選存</vt:lpstr>
      <vt:lpstr>讀書心得</vt:lpstr>
      <vt:lpstr>Chart2</vt:lpstr>
      <vt:lpstr>紅綠燈!Print_Area</vt:lpstr>
      <vt:lpstr>買進檢查表!Print_Area</vt:lpstr>
      <vt:lpstr>評比系統!外部資料_1000</vt:lpstr>
      <vt:lpstr>評比系統!外部資料_1001</vt:lpstr>
      <vt:lpstr>評比系統!外部資料_1002</vt:lpstr>
      <vt:lpstr>評比系統!外部資料_1003</vt:lpstr>
      <vt:lpstr>評比系統!外部資料_1004</vt:lpstr>
      <vt:lpstr>評比系統!外部資料_1005</vt:lpstr>
      <vt:lpstr>評比系統!外部資料_1006</vt:lpstr>
      <vt:lpstr>評比系統!外部資料_1007</vt:lpstr>
      <vt:lpstr>評比系統!外部資料_1008</vt:lpstr>
      <vt:lpstr>評比系統!外部資料_1009</vt:lpstr>
      <vt:lpstr>評比系統!外部資料_101</vt:lpstr>
      <vt:lpstr>評比系統!外部資料_1010</vt:lpstr>
      <vt:lpstr>評比系統!外部資料_1011</vt:lpstr>
      <vt:lpstr>評比系統!外部資料_1012</vt:lpstr>
      <vt:lpstr>評比系統!外部資料_1013</vt:lpstr>
      <vt:lpstr>評比系統!外部資料_1014</vt:lpstr>
      <vt:lpstr>評比系統!外部資料_1015</vt:lpstr>
      <vt:lpstr>評比系統!外部資料_1016</vt:lpstr>
      <vt:lpstr>評比系統!外部資料_1017</vt:lpstr>
      <vt:lpstr>評比系統!外部資料_1018</vt:lpstr>
      <vt:lpstr>評比系統!外部資料_1019</vt:lpstr>
      <vt:lpstr>評比系統!外部資料_102</vt:lpstr>
      <vt:lpstr>評比系統!外部資料_1020</vt:lpstr>
      <vt:lpstr>評比系統!外部資料_1021</vt:lpstr>
      <vt:lpstr>評比系統!外部資料_1022</vt:lpstr>
      <vt:lpstr>評比系統!外部資料_1023</vt:lpstr>
      <vt:lpstr>評比系統!外部資料_1024</vt:lpstr>
      <vt:lpstr>評比系統!外部資料_1025</vt:lpstr>
      <vt:lpstr>評比系統!外部資料_1026</vt:lpstr>
      <vt:lpstr>評比系統!外部資料_1027</vt:lpstr>
      <vt:lpstr>評比系統!外部資料_1028</vt:lpstr>
      <vt:lpstr>評比系統!外部資料_1029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評比系統!外部資料_150</vt:lpstr>
      <vt:lpstr>評比系統!外部資料_151</vt:lpstr>
      <vt:lpstr>評比系統!外部資料_152</vt:lpstr>
      <vt:lpstr>評比系統!外部資料_153</vt:lpstr>
      <vt:lpstr>評比系統!外部資料_154</vt:lpstr>
      <vt:lpstr>評比系統!外部資料_156</vt:lpstr>
      <vt:lpstr>評比系統!外部資料_157</vt:lpstr>
      <vt:lpstr>評比系統!外部資料_158</vt:lpstr>
      <vt:lpstr>評比系統!外部資料_159</vt:lpstr>
      <vt:lpstr>評比系統!外部資料_160</vt:lpstr>
      <vt:lpstr>評比系統!外部資料_161</vt:lpstr>
      <vt:lpstr>評比系統!外部資料_162</vt:lpstr>
      <vt:lpstr>評比系統!外部資料_163</vt:lpstr>
      <vt:lpstr>篩股系統!外部資料_1636</vt:lpstr>
      <vt:lpstr>評比系統!外部資料_164</vt:lpstr>
      <vt:lpstr>評比系統!外部資料_165</vt:lpstr>
      <vt:lpstr>評比系統!外部資料_166</vt:lpstr>
      <vt:lpstr>篩股系統!外部資料_1661</vt:lpstr>
      <vt:lpstr>評比系統!外部資料_167</vt:lpstr>
      <vt:lpstr>評比系統!外部資料_168</vt:lpstr>
      <vt:lpstr>評比系統!外部資料_169</vt:lpstr>
      <vt:lpstr>評比系統!外部資料_170</vt:lpstr>
      <vt:lpstr>評比系統!外部資料_171</vt:lpstr>
      <vt:lpstr>評比系統!外部資料_172</vt:lpstr>
      <vt:lpstr>評比系統!外部資料_173</vt:lpstr>
      <vt:lpstr>評比系統!外部資料_174</vt:lpstr>
      <vt:lpstr>評比系統!外部資料_175</vt:lpstr>
      <vt:lpstr>評比系統!外部資料_176</vt:lpstr>
      <vt:lpstr>評比系統!外部資料_177</vt:lpstr>
      <vt:lpstr>評比系統!外部資料_178</vt:lpstr>
      <vt:lpstr>評比系統!外部資料_179</vt:lpstr>
      <vt:lpstr>評比系統!外部資料_180</vt:lpstr>
      <vt:lpstr>評比系統!外部資料_181</vt:lpstr>
      <vt:lpstr>評比系統!外部資料_182</vt:lpstr>
      <vt:lpstr>評比系統!外部資料_183</vt:lpstr>
      <vt:lpstr>評比系統!外部資料_184</vt:lpstr>
      <vt:lpstr>評比系統!外部資料_185</vt:lpstr>
      <vt:lpstr>評比系統!外部資料_186</vt:lpstr>
      <vt:lpstr>評比系統!外部資料_187</vt:lpstr>
      <vt:lpstr>評比系統!外部資料_188</vt:lpstr>
      <vt:lpstr>評比系統!外部資料_189</vt:lpstr>
      <vt:lpstr>評比系統!外部資料_190</vt:lpstr>
      <vt:lpstr>評比系統!外部資料_191</vt:lpstr>
      <vt:lpstr>評比系統!外部資料_192</vt:lpstr>
      <vt:lpstr>評比系統!外部資料_193</vt:lpstr>
      <vt:lpstr>評比系統!外部資料_194</vt:lpstr>
      <vt:lpstr>評比系統!外部資料_195</vt:lpstr>
      <vt:lpstr>評比系統!外部資料_196</vt:lpstr>
      <vt:lpstr>評比系統!外部資料_197</vt:lpstr>
      <vt:lpstr>評比系統!外部資料_198</vt:lpstr>
      <vt:lpstr>評比系統!外部資料_199</vt:lpstr>
      <vt:lpstr>評比系統!外部資料_200</vt:lpstr>
      <vt:lpstr>評比系統!外部資料_201</vt:lpstr>
      <vt:lpstr>評比系統!外部資料_202</vt:lpstr>
      <vt:lpstr>評比系統!外部資料_203</vt:lpstr>
      <vt:lpstr>評比系統!外部資料_204</vt:lpstr>
      <vt:lpstr>評比系統!外部資料_205</vt:lpstr>
      <vt:lpstr>評比系統!外部資料_206</vt:lpstr>
      <vt:lpstr>評比系統!外部資料_207</vt:lpstr>
      <vt:lpstr>評比系統!外部資料_208</vt:lpstr>
      <vt:lpstr>評比系統!外部資料_209</vt:lpstr>
      <vt:lpstr>評比系統!外部資料_210</vt:lpstr>
      <vt:lpstr>評比系統!外部資料_211</vt:lpstr>
      <vt:lpstr>評比系統!外部資料_212</vt:lpstr>
      <vt:lpstr>評比系統!外部資料_213</vt:lpstr>
      <vt:lpstr>評比系統!外部資料_214</vt:lpstr>
      <vt:lpstr>評比系統!外部資料_215</vt:lpstr>
      <vt:lpstr>評比系統!外部資料_216</vt:lpstr>
      <vt:lpstr>評比系統!外部資料_217</vt:lpstr>
      <vt:lpstr>評比系統!外部資料_218</vt:lpstr>
      <vt:lpstr>篩股系統!外部資料_2183</vt:lpstr>
      <vt:lpstr>評比系統!外部資料_219</vt:lpstr>
      <vt:lpstr>評比系統!外部資料_220</vt:lpstr>
      <vt:lpstr>評比系統!外部資料_221</vt:lpstr>
      <vt:lpstr>評比系統!外部資料_222</vt:lpstr>
      <vt:lpstr>評比系統!外部資料_223</vt:lpstr>
      <vt:lpstr>評比系統!外部資料_224</vt:lpstr>
      <vt:lpstr>評比系統!外部資料_225</vt:lpstr>
      <vt:lpstr>評比系統!外部資料_226</vt:lpstr>
      <vt:lpstr>評比系統!外部資料_227</vt:lpstr>
      <vt:lpstr>評比系統!外部資料_228</vt:lpstr>
      <vt:lpstr>評比系統!外部資料_229</vt:lpstr>
      <vt:lpstr>評比系統!外部資料_230</vt:lpstr>
      <vt:lpstr>評比系統!外部資料_231</vt:lpstr>
      <vt:lpstr>評比系統!外部資料_232</vt:lpstr>
      <vt:lpstr>評比系統!外部資料_233</vt:lpstr>
      <vt:lpstr>評比系統!外部資料_234</vt:lpstr>
      <vt:lpstr>評比系統!外部資料_235</vt:lpstr>
      <vt:lpstr>評比系統!外部資料_236</vt:lpstr>
      <vt:lpstr>評比系統!外部資料_237</vt:lpstr>
      <vt:lpstr>評比系統!外部資料_238</vt:lpstr>
      <vt:lpstr>評比系統!外部資料_239</vt:lpstr>
      <vt:lpstr>評比系統!外部資料_240</vt:lpstr>
      <vt:lpstr>評比系統!外部資料_241</vt:lpstr>
      <vt:lpstr>評比系統!外部資料_242</vt:lpstr>
      <vt:lpstr>評比系統!外部資料_243</vt:lpstr>
      <vt:lpstr>評比系統!外部資料_244</vt:lpstr>
      <vt:lpstr>評比系統!外部資料_245</vt:lpstr>
      <vt:lpstr>評比系統!外部資料_246</vt:lpstr>
      <vt:lpstr>評比系統!外部資料_247</vt:lpstr>
      <vt:lpstr>營收搶先報!外部資料_247</vt:lpstr>
      <vt:lpstr>評比系統!外部資料_248</vt:lpstr>
      <vt:lpstr>營收搶先報!外部資料_248</vt:lpstr>
      <vt:lpstr>評比系統!外部資料_249</vt:lpstr>
      <vt:lpstr>營收搶先報!外部資料_249</vt:lpstr>
      <vt:lpstr>評比系統!外部資料_250</vt:lpstr>
      <vt:lpstr>營收搶先報!外部資料_250</vt:lpstr>
      <vt:lpstr>評比系統!外部資料_251</vt:lpstr>
      <vt:lpstr>營收搶先報!外部資料_251</vt:lpstr>
      <vt:lpstr>評比系統!外部資料_252</vt:lpstr>
      <vt:lpstr>營收搶先報!外部資料_252</vt:lpstr>
      <vt:lpstr>評比系統!外部資料_253</vt:lpstr>
      <vt:lpstr>評比系統!外部資料_254</vt:lpstr>
      <vt:lpstr>評比系統!外部資料_255</vt:lpstr>
      <vt:lpstr>評比系統!外部資料_256</vt:lpstr>
      <vt:lpstr>評比系統!外部資料_257</vt:lpstr>
      <vt:lpstr>評比系統!外部資料_258</vt:lpstr>
      <vt:lpstr>評比系統!外部資料_259</vt:lpstr>
      <vt:lpstr>評比系統!外部資料_260</vt:lpstr>
      <vt:lpstr>評比系統!外部資料_261</vt:lpstr>
      <vt:lpstr>評比系統!外部資料_262</vt:lpstr>
      <vt:lpstr>評比系統!外部資料_263</vt:lpstr>
      <vt:lpstr>評比系統!外部資料_264</vt:lpstr>
      <vt:lpstr>評比系統!外部資料_265</vt:lpstr>
      <vt:lpstr>評比系統!外部資料_266</vt:lpstr>
      <vt:lpstr>評比系統!外部資料_267</vt:lpstr>
      <vt:lpstr>評比系統!外部資料_268</vt:lpstr>
      <vt:lpstr>評比系統!外部資料_269</vt:lpstr>
      <vt:lpstr>評比系統!外部資料_270</vt:lpstr>
      <vt:lpstr>評比系統!外部資料_271</vt:lpstr>
      <vt:lpstr>評比系統!外部資料_272</vt:lpstr>
      <vt:lpstr>評比系統!外部資料_273</vt:lpstr>
      <vt:lpstr>評比系統!外部資料_274</vt:lpstr>
      <vt:lpstr>評比系統!外部資料_275</vt:lpstr>
      <vt:lpstr>評比系統!外部資料_276</vt:lpstr>
      <vt:lpstr>評比系統!外部資料_277</vt:lpstr>
      <vt:lpstr>評比系統!外部資料_278</vt:lpstr>
      <vt:lpstr>篩股系統!外部資料_2788</vt:lpstr>
      <vt:lpstr>評比系統!外部資料_279</vt:lpstr>
      <vt:lpstr>評比系統!外部資料_280</vt:lpstr>
      <vt:lpstr>評比系統!外部資料_281</vt:lpstr>
      <vt:lpstr>篩股系統!外部資料_2815</vt:lpstr>
      <vt:lpstr>評比系統!外部資料_282</vt:lpstr>
      <vt:lpstr>評比系統!外部資料_283</vt:lpstr>
      <vt:lpstr>篩股系統!外部資料_2834</vt:lpstr>
      <vt:lpstr>篩股系統!外部資料_2838</vt:lpstr>
      <vt:lpstr>評比系統!外部資料_284</vt:lpstr>
      <vt:lpstr>評比系統!外部資料_285</vt:lpstr>
      <vt:lpstr>篩股系統!外部資料_2850</vt:lpstr>
      <vt:lpstr>篩股系統!外部資料_2853</vt:lpstr>
      <vt:lpstr>評比系統!外部資料_286</vt:lpstr>
      <vt:lpstr>評比系統!外部資料_287</vt:lpstr>
      <vt:lpstr>評比系統!外部資料_288</vt:lpstr>
      <vt:lpstr>評比系統!外部資料_289</vt:lpstr>
      <vt:lpstr>評比系統!外部資料_290</vt:lpstr>
      <vt:lpstr>評比系統!外部資料_291</vt:lpstr>
      <vt:lpstr>評比系統!外部資料_292</vt:lpstr>
      <vt:lpstr>評比系統!外部資料_293</vt:lpstr>
      <vt:lpstr>評比系統!外部資料_294</vt:lpstr>
      <vt:lpstr>評比系統!外部資料_295</vt:lpstr>
      <vt:lpstr>評比系統!外部資料_296</vt:lpstr>
      <vt:lpstr>評比系統!外部資料_297</vt:lpstr>
      <vt:lpstr>評比系統!外部資料_298</vt:lpstr>
      <vt:lpstr>評比系統!外部資料_299</vt:lpstr>
      <vt:lpstr>評比系統!外部資料_300</vt:lpstr>
      <vt:lpstr>評比系統!外部資料_301</vt:lpstr>
      <vt:lpstr>評比系統!外部資料_302</vt:lpstr>
      <vt:lpstr>評比系統!外部資料_303</vt:lpstr>
      <vt:lpstr>評比系統!外部資料_304</vt:lpstr>
      <vt:lpstr>評比系統!外部資料_305</vt:lpstr>
      <vt:lpstr>評比系統!外部資料_306</vt:lpstr>
      <vt:lpstr>評比系統!外部資料_307</vt:lpstr>
      <vt:lpstr>評比系統!外部資料_308</vt:lpstr>
      <vt:lpstr>評比系統!外部資料_309</vt:lpstr>
      <vt:lpstr>評比系統!外部資料_310</vt:lpstr>
      <vt:lpstr>評比系統!外部資料_311</vt:lpstr>
      <vt:lpstr>評比系統!外部資料_312</vt:lpstr>
      <vt:lpstr>評比系統!外部資料_313</vt:lpstr>
      <vt:lpstr>評比系統!外部資料_314</vt:lpstr>
      <vt:lpstr>評比系統!外部資料_315</vt:lpstr>
      <vt:lpstr>評比系統!外部資料_316</vt:lpstr>
      <vt:lpstr>評比系統!外部資料_317</vt:lpstr>
      <vt:lpstr>評比系統!外部資料_318</vt:lpstr>
      <vt:lpstr>評比系統!外部資料_319</vt:lpstr>
      <vt:lpstr>評比系統!外部資料_320</vt:lpstr>
      <vt:lpstr>評比系統!外部資料_321</vt:lpstr>
      <vt:lpstr>評比系統!外部資料_322</vt:lpstr>
      <vt:lpstr>評比系統!外部資料_323</vt:lpstr>
      <vt:lpstr>評比系統!外部資料_324</vt:lpstr>
      <vt:lpstr>評比系統!外部資料_325</vt:lpstr>
      <vt:lpstr>評比系統!外部資料_326</vt:lpstr>
      <vt:lpstr>評比系統!外部資料_327</vt:lpstr>
      <vt:lpstr>評比系統!外部資料_328</vt:lpstr>
      <vt:lpstr>評比系統!外部資料_329</vt:lpstr>
      <vt:lpstr>評比系統!外部資料_330</vt:lpstr>
      <vt:lpstr>評比系統!外部資料_331</vt:lpstr>
      <vt:lpstr>評比系統!外部資料_332</vt:lpstr>
      <vt:lpstr>評比系統!外部資料_333</vt:lpstr>
      <vt:lpstr>評比系統!外部資料_334</vt:lpstr>
      <vt:lpstr>評比系統!外部資料_335</vt:lpstr>
      <vt:lpstr>評比系統!外部資料_336</vt:lpstr>
      <vt:lpstr>評比系統!外部資料_337</vt:lpstr>
      <vt:lpstr>評比系統!外部資料_338</vt:lpstr>
      <vt:lpstr>評比系統!外部資料_339</vt:lpstr>
      <vt:lpstr>評比系統!外部資料_340</vt:lpstr>
      <vt:lpstr>評比系統!外部資料_341</vt:lpstr>
      <vt:lpstr>評比系統!外部資料_342</vt:lpstr>
      <vt:lpstr>評比系統!外部資料_343</vt:lpstr>
      <vt:lpstr>評比系統!外部資料_344</vt:lpstr>
      <vt:lpstr>評比系統!外部資料_345</vt:lpstr>
      <vt:lpstr>評比系統!外部資料_346</vt:lpstr>
      <vt:lpstr>篩股系統!外部資料_346</vt:lpstr>
      <vt:lpstr>評比系統!外部資料_347</vt:lpstr>
      <vt:lpstr>評比系統!外部資料_348</vt:lpstr>
      <vt:lpstr>評比系統!外部資料_349</vt:lpstr>
      <vt:lpstr>評比系統!外部資料_350</vt:lpstr>
      <vt:lpstr>評比系統!外部資料_351</vt:lpstr>
      <vt:lpstr>評比系統!外部資料_352</vt:lpstr>
      <vt:lpstr>評比系統!外部資料_353</vt:lpstr>
      <vt:lpstr>評比系統!外部資料_354</vt:lpstr>
      <vt:lpstr>評比系統!外部資料_355</vt:lpstr>
      <vt:lpstr>評比系統!外部資料_356</vt:lpstr>
      <vt:lpstr>評比系統!外部資料_357</vt:lpstr>
      <vt:lpstr>評比系統!外部資料_358</vt:lpstr>
      <vt:lpstr>評比系統!外部資料_359</vt:lpstr>
      <vt:lpstr>評比系統!外部資料_360</vt:lpstr>
      <vt:lpstr>評比系統!外部資料_361</vt:lpstr>
      <vt:lpstr>評比系統!外部資料_362</vt:lpstr>
      <vt:lpstr>評比系統!外部資料_363</vt:lpstr>
      <vt:lpstr>評比系統!外部資料_364</vt:lpstr>
      <vt:lpstr>評比系統!外部資料_365</vt:lpstr>
      <vt:lpstr>評比系統!外部資料_366</vt:lpstr>
      <vt:lpstr>評比系統!外部資料_367</vt:lpstr>
      <vt:lpstr>評比系統!外部資料_368</vt:lpstr>
      <vt:lpstr>評比系統!外部資料_369</vt:lpstr>
      <vt:lpstr>評比系統!外部資料_370</vt:lpstr>
      <vt:lpstr>評比系統!外部資料_371</vt:lpstr>
      <vt:lpstr>評比系統!外部資料_372</vt:lpstr>
      <vt:lpstr>評比系統!外部資料_373</vt:lpstr>
      <vt:lpstr>評比系統!外部資料_374</vt:lpstr>
      <vt:lpstr>評比系統!外部資料_375</vt:lpstr>
      <vt:lpstr>評比系統!外部資料_376</vt:lpstr>
      <vt:lpstr>評比系統!外部資料_377</vt:lpstr>
      <vt:lpstr>評比系統!外部資料_378</vt:lpstr>
      <vt:lpstr>評比系統!外部資料_379</vt:lpstr>
      <vt:lpstr>評比系統!外部資料_380</vt:lpstr>
      <vt:lpstr>評比系統!外部資料_381</vt:lpstr>
      <vt:lpstr>評比系統!外部資料_382</vt:lpstr>
      <vt:lpstr>評比系統!外部資料_383</vt:lpstr>
      <vt:lpstr>評比系統!外部資料_384</vt:lpstr>
      <vt:lpstr>評比系統!外部資料_385</vt:lpstr>
      <vt:lpstr>評比系統!外部資料_386</vt:lpstr>
      <vt:lpstr>評比系統!外部資料_387</vt:lpstr>
      <vt:lpstr>評比系統!外部資料_388</vt:lpstr>
      <vt:lpstr>評比系統!外部資料_389</vt:lpstr>
      <vt:lpstr>評比系統!外部資料_390</vt:lpstr>
      <vt:lpstr>評比系統!外部資料_391</vt:lpstr>
      <vt:lpstr>評比系統!外部資料_392</vt:lpstr>
      <vt:lpstr>評比系統!外部資料_393</vt:lpstr>
      <vt:lpstr>評比系統!外部資料_394</vt:lpstr>
      <vt:lpstr>評比系統!外部資料_395</vt:lpstr>
      <vt:lpstr>評比系統!外部資料_396</vt:lpstr>
      <vt:lpstr>評比系統!外部資料_397</vt:lpstr>
      <vt:lpstr>評比系統!外部資料_398</vt:lpstr>
      <vt:lpstr>評比系統!外部資料_399</vt:lpstr>
      <vt:lpstr>評比系統!外部資料_400</vt:lpstr>
      <vt:lpstr>評比系統!外部資料_401</vt:lpstr>
      <vt:lpstr>評比系統!外部資料_402</vt:lpstr>
      <vt:lpstr>評比系統!外部資料_403</vt:lpstr>
      <vt:lpstr>評比系統!外部資料_404</vt:lpstr>
      <vt:lpstr>評比系統!外部資料_405</vt:lpstr>
      <vt:lpstr>評比系統!外部資料_406</vt:lpstr>
      <vt:lpstr>評比系統!外部資料_407</vt:lpstr>
      <vt:lpstr>評比系統!外部資料_408</vt:lpstr>
      <vt:lpstr>評比系統!外部資料_409</vt:lpstr>
      <vt:lpstr>評比系統!外部資料_410</vt:lpstr>
      <vt:lpstr>評比系統!外部資料_411</vt:lpstr>
      <vt:lpstr>評比系統!外部資料_412</vt:lpstr>
      <vt:lpstr>評比系統!外部資料_413</vt:lpstr>
      <vt:lpstr>評比系統!外部資料_414</vt:lpstr>
      <vt:lpstr>評比系統!外部資料_415</vt:lpstr>
      <vt:lpstr>評比系統!外部資料_416</vt:lpstr>
      <vt:lpstr>評比系統!外部資料_417</vt:lpstr>
      <vt:lpstr>評比系統!外部資料_418</vt:lpstr>
      <vt:lpstr>評比系統!外部資料_419</vt:lpstr>
      <vt:lpstr>評比系統!外部資料_420</vt:lpstr>
      <vt:lpstr>評比系統!外部資料_421</vt:lpstr>
      <vt:lpstr>評比系統!外部資料_422</vt:lpstr>
      <vt:lpstr>評比系統!外部資料_423</vt:lpstr>
      <vt:lpstr>評比系統!外部資料_424</vt:lpstr>
      <vt:lpstr>評比系統!外部資料_425</vt:lpstr>
      <vt:lpstr>評比系統!外部資料_426</vt:lpstr>
      <vt:lpstr>評比系統!外部資料_427</vt:lpstr>
      <vt:lpstr>評比系統!外部資料_428</vt:lpstr>
      <vt:lpstr>評比系統!外部資料_429</vt:lpstr>
      <vt:lpstr>評比系統!外部資料_430</vt:lpstr>
      <vt:lpstr>評比系統!外部資料_431</vt:lpstr>
      <vt:lpstr>評比系統!外部資料_432</vt:lpstr>
      <vt:lpstr>評比系統!外部資料_433</vt:lpstr>
      <vt:lpstr>評比系統!外部資料_434</vt:lpstr>
      <vt:lpstr>評比系統!外部資料_435</vt:lpstr>
      <vt:lpstr>評比系統!外部資料_436</vt:lpstr>
      <vt:lpstr>評比系統!外部資料_437</vt:lpstr>
      <vt:lpstr>評比系統!外部資料_438</vt:lpstr>
      <vt:lpstr>評比系統!外部資料_439</vt:lpstr>
      <vt:lpstr>評比系統!外部資料_440</vt:lpstr>
      <vt:lpstr>評比系統!外部資料_441</vt:lpstr>
      <vt:lpstr>評比系統!外部資料_442</vt:lpstr>
      <vt:lpstr>評比系統!外部資料_443</vt:lpstr>
      <vt:lpstr>評比系統!外部資料_444</vt:lpstr>
      <vt:lpstr>評比系統!外部資料_445</vt:lpstr>
      <vt:lpstr>評比系統!外部資料_446</vt:lpstr>
      <vt:lpstr>評比系統!外部資料_447</vt:lpstr>
      <vt:lpstr>評比系統!外部資料_448</vt:lpstr>
      <vt:lpstr>評比系統!外部資料_449</vt:lpstr>
      <vt:lpstr>評比系統!外部資料_450</vt:lpstr>
      <vt:lpstr>評比系統!外部資料_451</vt:lpstr>
      <vt:lpstr>評比系統!外部資料_452</vt:lpstr>
      <vt:lpstr>評比系統!外部資料_453</vt:lpstr>
      <vt:lpstr>評比系統!外部資料_454</vt:lpstr>
      <vt:lpstr>評比系統!外部資料_455</vt:lpstr>
      <vt:lpstr>評比系統!外部資料_456</vt:lpstr>
      <vt:lpstr>評比系統!外部資料_457</vt:lpstr>
      <vt:lpstr>評比系統!外部資料_458</vt:lpstr>
      <vt:lpstr>評比系統!外部資料_459</vt:lpstr>
      <vt:lpstr>評比系統!外部資料_460</vt:lpstr>
      <vt:lpstr>評比系統!外部資料_461</vt:lpstr>
      <vt:lpstr>評比系統!外部資料_462</vt:lpstr>
      <vt:lpstr>評比系統!外部資料_463</vt:lpstr>
      <vt:lpstr>評比系統!外部資料_464</vt:lpstr>
      <vt:lpstr>評比系統!外部資料_465</vt:lpstr>
      <vt:lpstr>評比系統!外部資料_466</vt:lpstr>
      <vt:lpstr>評比系統!外部資料_467</vt:lpstr>
      <vt:lpstr>評比系統!外部資料_468</vt:lpstr>
      <vt:lpstr>評比系統!外部資料_469</vt:lpstr>
      <vt:lpstr>評比系統!外部資料_470</vt:lpstr>
      <vt:lpstr>評比系統!外部資料_471</vt:lpstr>
      <vt:lpstr>評比系統!外部資料_472</vt:lpstr>
      <vt:lpstr>評比系統!外部資料_473</vt:lpstr>
      <vt:lpstr>評比系統!外部資料_474</vt:lpstr>
      <vt:lpstr>評比系統!外部資料_475</vt:lpstr>
      <vt:lpstr>評比系統!外部資料_476</vt:lpstr>
      <vt:lpstr>評比系統!外部資料_477</vt:lpstr>
      <vt:lpstr>評比系統!外部資料_478</vt:lpstr>
      <vt:lpstr>評比系統!外部資料_479</vt:lpstr>
      <vt:lpstr>評比系統!外部資料_480</vt:lpstr>
      <vt:lpstr>評比系統!外部資料_481</vt:lpstr>
      <vt:lpstr>評比系統!外部資料_482</vt:lpstr>
      <vt:lpstr>評比系統!外部資料_483</vt:lpstr>
      <vt:lpstr>評比系統!外部資料_484</vt:lpstr>
      <vt:lpstr>評比系統!外部資料_485</vt:lpstr>
      <vt:lpstr>評比系統!外部資料_486</vt:lpstr>
      <vt:lpstr>評比系統!外部資料_487</vt:lpstr>
      <vt:lpstr>評比系統!外部資料_488</vt:lpstr>
      <vt:lpstr>評比系統!外部資料_489</vt:lpstr>
      <vt:lpstr>評比系統!外部資料_490</vt:lpstr>
      <vt:lpstr>評比系統!外部資料_491</vt:lpstr>
      <vt:lpstr>評比系統!外部資料_492</vt:lpstr>
      <vt:lpstr>評比系統!外部資料_493</vt:lpstr>
      <vt:lpstr>評比系統!外部資料_494</vt:lpstr>
      <vt:lpstr>評比系統!外部資料_495</vt:lpstr>
      <vt:lpstr>評比系統!外部資料_496</vt:lpstr>
      <vt:lpstr>評比系統!外部資料_497</vt:lpstr>
      <vt:lpstr>評比系統!外部資料_498</vt:lpstr>
      <vt:lpstr>評比系統!外部資料_499</vt:lpstr>
      <vt:lpstr>篩股系統!外部資料_50</vt:lpstr>
      <vt:lpstr>評比系統!外部資料_500</vt:lpstr>
      <vt:lpstr>評比系統!外部資料_501</vt:lpstr>
      <vt:lpstr>評比系統!外部資料_502</vt:lpstr>
      <vt:lpstr>評比系統!外部資料_503</vt:lpstr>
      <vt:lpstr>評比系統!外部資料_504</vt:lpstr>
      <vt:lpstr>評比系統!外部資料_505</vt:lpstr>
      <vt:lpstr>評比系統!外部資料_506</vt:lpstr>
      <vt:lpstr>評比系統!外部資料_507</vt:lpstr>
      <vt:lpstr>評比系統!外部資料_508</vt:lpstr>
      <vt:lpstr>評比系統!外部資料_509</vt:lpstr>
      <vt:lpstr>評比系統!外部資料_51</vt:lpstr>
      <vt:lpstr>評比系統!外部資料_510</vt:lpstr>
      <vt:lpstr>評比系統!外部資料_511</vt:lpstr>
      <vt:lpstr>評比系統!外部資料_512</vt:lpstr>
      <vt:lpstr>評比系統!外部資料_513</vt:lpstr>
      <vt:lpstr>評比系統!外部資料_514</vt:lpstr>
      <vt:lpstr>評比系統!外部資料_515</vt:lpstr>
      <vt:lpstr>評比系統!外部資料_516</vt:lpstr>
      <vt:lpstr>評比系統!外部資料_517</vt:lpstr>
      <vt:lpstr>評比系統!外部資料_518</vt:lpstr>
      <vt:lpstr>評比系統!外部資料_519</vt:lpstr>
      <vt:lpstr>評比系統!外部資料_52</vt:lpstr>
      <vt:lpstr>評比系統!外部資料_520</vt:lpstr>
      <vt:lpstr>評比系統!外部資料_521</vt:lpstr>
      <vt:lpstr>評比系統!外部資料_522</vt:lpstr>
      <vt:lpstr>評比系統!外部資料_523</vt:lpstr>
      <vt:lpstr>評比系統!外部資料_524</vt:lpstr>
      <vt:lpstr>評比系統!外部資料_525</vt:lpstr>
      <vt:lpstr>評比系統!外部資料_526</vt:lpstr>
      <vt:lpstr>評比系統!外部資料_527</vt:lpstr>
      <vt:lpstr>評比系統!外部資料_528</vt:lpstr>
      <vt:lpstr>評比系統!外部資料_529</vt:lpstr>
      <vt:lpstr>評比系統!外部資料_53</vt:lpstr>
      <vt:lpstr>評比系統!外部資料_530</vt:lpstr>
      <vt:lpstr>評比系統!外部資料_531</vt:lpstr>
      <vt:lpstr>評比系統!外部資料_532</vt:lpstr>
      <vt:lpstr>評比系統!外部資料_533</vt:lpstr>
      <vt:lpstr>評比系統!外部資料_534</vt:lpstr>
      <vt:lpstr>評比系統!外部資料_535</vt:lpstr>
      <vt:lpstr>評比系統!外部資料_536</vt:lpstr>
      <vt:lpstr>評比系統!外部資料_537</vt:lpstr>
      <vt:lpstr>評比系統!外部資料_538</vt:lpstr>
      <vt:lpstr>評比系統!外部資料_539</vt:lpstr>
      <vt:lpstr>評比系統!外部資料_54</vt:lpstr>
      <vt:lpstr>評比系統!外部資料_540</vt:lpstr>
      <vt:lpstr>評比系統!外部資料_541</vt:lpstr>
      <vt:lpstr>評比系統!外部資料_542</vt:lpstr>
      <vt:lpstr>評比系統!外部資料_543</vt:lpstr>
      <vt:lpstr>評比系統!外部資料_544</vt:lpstr>
      <vt:lpstr>評比系統!外部資料_545</vt:lpstr>
      <vt:lpstr>評比系統!外部資料_546</vt:lpstr>
      <vt:lpstr>評比系統!外部資料_547</vt:lpstr>
      <vt:lpstr>評比系統!外部資料_548</vt:lpstr>
      <vt:lpstr>評比系統!外部資料_549</vt:lpstr>
      <vt:lpstr>評比系統!外部資料_55</vt:lpstr>
      <vt:lpstr>評比系統!外部資料_550</vt:lpstr>
      <vt:lpstr>評比系統!外部資料_551</vt:lpstr>
      <vt:lpstr>評比系統!外部資料_552</vt:lpstr>
      <vt:lpstr>評比系統!外部資料_553</vt:lpstr>
      <vt:lpstr>評比系統!外部資料_554</vt:lpstr>
      <vt:lpstr>評比系統!外部資料_555</vt:lpstr>
      <vt:lpstr>評比系統!外部資料_556</vt:lpstr>
      <vt:lpstr>評比系統!外部資料_557</vt:lpstr>
      <vt:lpstr>評比系統!外部資料_558</vt:lpstr>
      <vt:lpstr>評比系統!外部資料_559</vt:lpstr>
      <vt:lpstr>評比系統!外部資料_56</vt:lpstr>
      <vt:lpstr>評比系統!外部資料_560</vt:lpstr>
      <vt:lpstr>評比系統!外部資料_561</vt:lpstr>
      <vt:lpstr>評比系統!外部資料_562</vt:lpstr>
      <vt:lpstr>評比系統!外部資料_563</vt:lpstr>
      <vt:lpstr>評比系統!外部資料_564</vt:lpstr>
      <vt:lpstr>評比系統!外部資料_565</vt:lpstr>
      <vt:lpstr>評比系統!外部資料_566</vt:lpstr>
      <vt:lpstr>評比系統!外部資料_567</vt:lpstr>
      <vt:lpstr>評比系統!外部資料_568</vt:lpstr>
      <vt:lpstr>評比系統!外部資料_569</vt:lpstr>
      <vt:lpstr>評比系統!外部資料_57</vt:lpstr>
      <vt:lpstr>評比系統!外部資料_570</vt:lpstr>
      <vt:lpstr>評比系統!外部資料_571</vt:lpstr>
      <vt:lpstr>評比系統!外部資料_572</vt:lpstr>
      <vt:lpstr>評比系統!外部資料_573</vt:lpstr>
      <vt:lpstr>評比系統!外部資料_574</vt:lpstr>
      <vt:lpstr>評比系統!外部資料_575</vt:lpstr>
      <vt:lpstr>評比系統!外部資料_576</vt:lpstr>
      <vt:lpstr>評比系統!外部資料_577</vt:lpstr>
      <vt:lpstr>評比系統!外部資料_578</vt:lpstr>
      <vt:lpstr>評比系統!外部資料_579</vt:lpstr>
      <vt:lpstr>評比系統!外部資料_58</vt:lpstr>
      <vt:lpstr>評比系統!外部資料_580</vt:lpstr>
      <vt:lpstr>評比系統!外部資料_581</vt:lpstr>
      <vt:lpstr>評比系統!外部資料_582</vt:lpstr>
      <vt:lpstr>評比系統!外部資料_583</vt:lpstr>
      <vt:lpstr>評比系統!外部資料_584</vt:lpstr>
      <vt:lpstr>評比系統!外部資料_585</vt:lpstr>
      <vt:lpstr>評比系統!外部資料_586</vt:lpstr>
      <vt:lpstr>評比系統!外部資料_587</vt:lpstr>
      <vt:lpstr>評比系統!外部資料_588</vt:lpstr>
      <vt:lpstr>評比系統!外部資料_589</vt:lpstr>
      <vt:lpstr>評比系統!外部資料_59</vt:lpstr>
      <vt:lpstr>評比系統!外部資料_590</vt:lpstr>
      <vt:lpstr>評比系統!外部資料_591</vt:lpstr>
      <vt:lpstr>評比系統!外部資料_592</vt:lpstr>
      <vt:lpstr>評比系統!外部資料_593</vt:lpstr>
      <vt:lpstr>評比系統!外部資料_594</vt:lpstr>
      <vt:lpstr>評比系統!外部資料_595</vt:lpstr>
      <vt:lpstr>評比系統!外部資料_596</vt:lpstr>
      <vt:lpstr>評比系統!外部資料_597</vt:lpstr>
      <vt:lpstr>評比系統!外部資料_598</vt:lpstr>
      <vt:lpstr>評比系統!外部資料_599</vt:lpstr>
      <vt:lpstr>評比系統!外部資料_60</vt:lpstr>
      <vt:lpstr>評比系統!外部資料_600</vt:lpstr>
      <vt:lpstr>PKC!外部資料_601</vt:lpstr>
      <vt:lpstr>評比系統!外部資料_601</vt:lpstr>
      <vt:lpstr>PKC!外部資料_602</vt:lpstr>
      <vt:lpstr>評比系統!外部資料_602</vt:lpstr>
      <vt:lpstr>PKC!外部資料_603</vt:lpstr>
      <vt:lpstr>評比系統!外部資料_603</vt:lpstr>
      <vt:lpstr>評比系統!外部資料_604</vt:lpstr>
      <vt:lpstr>評比系統!外部資料_605</vt:lpstr>
      <vt:lpstr>評比系統!外部資料_606</vt:lpstr>
      <vt:lpstr>評比系統!外部資料_607</vt:lpstr>
      <vt:lpstr>評比系統!外部資料_608</vt:lpstr>
      <vt:lpstr>評比系統!外部資料_609</vt:lpstr>
      <vt:lpstr>評比系統!外部資料_61</vt:lpstr>
      <vt:lpstr>評比系統!外部資料_610</vt:lpstr>
      <vt:lpstr>評比系統!外部資料_611</vt:lpstr>
      <vt:lpstr>評比系統!外部資料_612</vt:lpstr>
      <vt:lpstr>評比系統!外部資料_613</vt:lpstr>
      <vt:lpstr>評比系統!外部資料_614</vt:lpstr>
      <vt:lpstr>評比系統!外部資料_615</vt:lpstr>
      <vt:lpstr>評比系統!外部資料_616</vt:lpstr>
      <vt:lpstr>評比系統!外部資料_617</vt:lpstr>
      <vt:lpstr>評比系統!外部資料_618</vt:lpstr>
      <vt:lpstr>評比系統!外部資料_619</vt:lpstr>
      <vt:lpstr>評比系統!外部資料_62</vt:lpstr>
      <vt:lpstr>評比系統!外部資料_620</vt:lpstr>
      <vt:lpstr>評比系統!外部資料_621</vt:lpstr>
      <vt:lpstr>評比系統!外部資料_622</vt:lpstr>
      <vt:lpstr>評比系統!外部資料_623</vt:lpstr>
      <vt:lpstr>評比系統!外部資料_624</vt:lpstr>
      <vt:lpstr>評比系統!外部資料_625</vt:lpstr>
      <vt:lpstr>評比系統!外部資料_626</vt:lpstr>
      <vt:lpstr>評比系統!外部資料_627</vt:lpstr>
      <vt:lpstr>評比系統!外部資料_628</vt:lpstr>
      <vt:lpstr>評比系統!外部資料_629</vt:lpstr>
      <vt:lpstr>評比系統!外部資料_63</vt:lpstr>
      <vt:lpstr>評比系統!外部資料_630</vt:lpstr>
      <vt:lpstr>評比系統!外部資料_631</vt:lpstr>
      <vt:lpstr>評比系統!外部資料_632</vt:lpstr>
      <vt:lpstr>評比系統!外部資料_633</vt:lpstr>
      <vt:lpstr>評比系統!外部資料_634</vt:lpstr>
      <vt:lpstr>評比系統!外部資料_635</vt:lpstr>
      <vt:lpstr>評比系統!外部資料_636</vt:lpstr>
      <vt:lpstr>評比系統!外部資料_637</vt:lpstr>
      <vt:lpstr>評比系統!外部資料_638</vt:lpstr>
      <vt:lpstr>評比系統!外部資料_639</vt:lpstr>
      <vt:lpstr>評比系統!外部資料_64</vt:lpstr>
      <vt:lpstr>評比系統!外部資料_640</vt:lpstr>
      <vt:lpstr>評比系統!外部資料_641</vt:lpstr>
      <vt:lpstr>評比系統!外部資料_642</vt:lpstr>
      <vt:lpstr>評比系統!外部資料_643</vt:lpstr>
      <vt:lpstr>評比系統!外部資料_644</vt:lpstr>
      <vt:lpstr>評比系統!外部資料_645</vt:lpstr>
      <vt:lpstr>評比系統!外部資料_646</vt:lpstr>
      <vt:lpstr>評比系統!外部資料_647</vt:lpstr>
      <vt:lpstr>評比系統!外部資料_648</vt:lpstr>
      <vt:lpstr>評比系統!外部資料_649</vt:lpstr>
      <vt:lpstr>評比系統!外部資料_65</vt:lpstr>
      <vt:lpstr>評比系統!外部資料_650</vt:lpstr>
      <vt:lpstr>評比系統!外部資料_651</vt:lpstr>
      <vt:lpstr>評比系統!外部資料_652</vt:lpstr>
      <vt:lpstr>評比系統!外部資料_653</vt:lpstr>
      <vt:lpstr>評比系統!外部資料_654</vt:lpstr>
      <vt:lpstr>評比系統!外部資料_655</vt:lpstr>
      <vt:lpstr>評比系統!外部資料_656</vt:lpstr>
      <vt:lpstr>評比系統!外部資料_657</vt:lpstr>
      <vt:lpstr>評比系統!外部資料_658</vt:lpstr>
      <vt:lpstr>評比系統!外部資料_659</vt:lpstr>
      <vt:lpstr>評比系統!外部資料_66</vt:lpstr>
      <vt:lpstr>評比系統!外部資料_660</vt:lpstr>
      <vt:lpstr>評比系統!外部資料_661</vt:lpstr>
      <vt:lpstr>評比系統!外部資料_662</vt:lpstr>
      <vt:lpstr>評比系統!外部資料_663</vt:lpstr>
      <vt:lpstr>評比系統!外部資料_664</vt:lpstr>
      <vt:lpstr>評比系統!外部資料_665</vt:lpstr>
      <vt:lpstr>評比系統!外部資料_666</vt:lpstr>
      <vt:lpstr>評比系統!外部資料_667</vt:lpstr>
      <vt:lpstr>評比系統!外部資料_668</vt:lpstr>
      <vt:lpstr>評比系統!外部資料_669</vt:lpstr>
      <vt:lpstr>評比系統!外部資料_67</vt:lpstr>
      <vt:lpstr>評比系統!外部資料_670</vt:lpstr>
      <vt:lpstr>評比系統!外部資料_671</vt:lpstr>
      <vt:lpstr>評比系統!外部資料_672</vt:lpstr>
      <vt:lpstr>評比系統!外部資料_673</vt:lpstr>
      <vt:lpstr>評比系統!外部資料_674</vt:lpstr>
      <vt:lpstr>評比系統!外部資料_675</vt:lpstr>
      <vt:lpstr>評比系統!外部資料_676</vt:lpstr>
      <vt:lpstr>評比系統!外部資料_677</vt:lpstr>
      <vt:lpstr>評比系統!外部資料_678</vt:lpstr>
      <vt:lpstr>評比系統!外部資料_679</vt:lpstr>
      <vt:lpstr>評比系統!外部資料_68</vt:lpstr>
      <vt:lpstr>評比系統!外部資料_680</vt:lpstr>
      <vt:lpstr>評比系統!外部資料_681</vt:lpstr>
      <vt:lpstr>評比系統!外部資料_682</vt:lpstr>
      <vt:lpstr>評比系統!外部資料_683</vt:lpstr>
      <vt:lpstr>評比系統!外部資料_684</vt:lpstr>
      <vt:lpstr>評比系統!外部資料_685</vt:lpstr>
      <vt:lpstr>評比系統!外部資料_686</vt:lpstr>
      <vt:lpstr>評比系統!外部資料_687</vt:lpstr>
      <vt:lpstr>評比系統!外部資料_688</vt:lpstr>
      <vt:lpstr>評比系統!外部資料_689</vt:lpstr>
      <vt:lpstr>評比系統!外部資料_69</vt:lpstr>
      <vt:lpstr>評比系統!外部資料_690</vt:lpstr>
      <vt:lpstr>評比系統!外部資料_691</vt:lpstr>
      <vt:lpstr>評比系統!外部資料_692</vt:lpstr>
      <vt:lpstr>評比系統!外部資料_693</vt:lpstr>
      <vt:lpstr>評比系統!外部資料_694</vt:lpstr>
      <vt:lpstr>評比系統!外部資料_695</vt:lpstr>
      <vt:lpstr>評比系統!外部資料_696</vt:lpstr>
      <vt:lpstr>評比系統!外部資料_697</vt:lpstr>
      <vt:lpstr>評比系統!外部資料_698</vt:lpstr>
      <vt:lpstr>評比系統!外部資料_699</vt:lpstr>
      <vt:lpstr>評比系統!外部資料_70</vt:lpstr>
      <vt:lpstr>評比系統!外部資料_700</vt:lpstr>
      <vt:lpstr>評比系統!外部資料_701</vt:lpstr>
      <vt:lpstr>評比系統!外部資料_702</vt:lpstr>
      <vt:lpstr>評比系統!外部資料_703</vt:lpstr>
      <vt:lpstr>評比系統!外部資料_704</vt:lpstr>
      <vt:lpstr>評比系統!外部資料_705</vt:lpstr>
      <vt:lpstr>評比系統!外部資料_706</vt:lpstr>
      <vt:lpstr>評比系統!外部資料_707</vt:lpstr>
      <vt:lpstr>評比系統!外部資料_708</vt:lpstr>
      <vt:lpstr>評比系統!外部資料_709</vt:lpstr>
      <vt:lpstr>評比系統!外部資料_71</vt:lpstr>
      <vt:lpstr>評比系統!外部資料_710</vt:lpstr>
      <vt:lpstr>評比系統!外部資料_711</vt:lpstr>
      <vt:lpstr>評比系統!外部資料_712</vt:lpstr>
      <vt:lpstr>評比系統!外部資料_713</vt:lpstr>
      <vt:lpstr>評比系統!外部資料_714</vt:lpstr>
      <vt:lpstr>評比系統!外部資料_715</vt:lpstr>
      <vt:lpstr>評比系統!外部資料_716</vt:lpstr>
      <vt:lpstr>評比系統!外部資料_717</vt:lpstr>
      <vt:lpstr>評比系統!外部資料_718</vt:lpstr>
      <vt:lpstr>評比系統!外部資料_719</vt:lpstr>
      <vt:lpstr>評比系統!外部資料_72</vt:lpstr>
      <vt:lpstr>評比系統!外部資料_720</vt:lpstr>
      <vt:lpstr>評比系統!外部資料_721</vt:lpstr>
      <vt:lpstr>評比系統!外部資料_722</vt:lpstr>
      <vt:lpstr>評比系統!外部資料_723</vt:lpstr>
      <vt:lpstr>評比系統!外部資料_724</vt:lpstr>
      <vt:lpstr>評比系統!外部資料_725</vt:lpstr>
      <vt:lpstr>評比系統!外部資料_726</vt:lpstr>
      <vt:lpstr>評比系統!外部資料_727</vt:lpstr>
      <vt:lpstr>評比系統!外部資料_728</vt:lpstr>
      <vt:lpstr>評比系統!外部資料_729</vt:lpstr>
      <vt:lpstr>評比系統!外部資料_73</vt:lpstr>
      <vt:lpstr>評比系統!外部資料_730</vt:lpstr>
      <vt:lpstr>評比系統!外部資料_731</vt:lpstr>
      <vt:lpstr>評比系統!外部資料_732</vt:lpstr>
      <vt:lpstr>評比系統!外部資料_733</vt:lpstr>
      <vt:lpstr>評比系統!外部資料_734</vt:lpstr>
      <vt:lpstr>評比系統!外部資料_735</vt:lpstr>
      <vt:lpstr>評比系統!外部資料_736</vt:lpstr>
      <vt:lpstr>評比系統!外部資料_737</vt:lpstr>
      <vt:lpstr>評比系統!外部資料_738</vt:lpstr>
      <vt:lpstr>評比系統!外部資料_739</vt:lpstr>
      <vt:lpstr>評比系統!外部資料_74</vt:lpstr>
      <vt:lpstr>評比系統!外部資料_740</vt:lpstr>
      <vt:lpstr>評比系統!外部資料_741</vt:lpstr>
      <vt:lpstr>評比系統!外部資料_742</vt:lpstr>
      <vt:lpstr>評比系統!外部資料_743</vt:lpstr>
      <vt:lpstr>評比系統!外部資料_744</vt:lpstr>
      <vt:lpstr>評比系統!外部資料_745</vt:lpstr>
      <vt:lpstr>評比系統!外部資料_746</vt:lpstr>
      <vt:lpstr>評比系統!外部資料_747</vt:lpstr>
      <vt:lpstr>評比系統!外部資料_748</vt:lpstr>
      <vt:lpstr>評比系統!外部資料_749</vt:lpstr>
      <vt:lpstr>評比系統!外部資料_75</vt:lpstr>
      <vt:lpstr>評比系統!外部資料_750</vt:lpstr>
      <vt:lpstr>評比系統!外部資料_751</vt:lpstr>
      <vt:lpstr>評比系統!外部資料_752</vt:lpstr>
      <vt:lpstr>評比系統!外部資料_753</vt:lpstr>
      <vt:lpstr>PKA!外部資料_754</vt:lpstr>
      <vt:lpstr>評比系統!外部資料_754</vt:lpstr>
      <vt:lpstr>PKA!外部資料_755</vt:lpstr>
      <vt:lpstr>評比系統!外部資料_755</vt:lpstr>
      <vt:lpstr>PKA!外部資料_756</vt:lpstr>
      <vt:lpstr>評比系統!外部資料_756</vt:lpstr>
      <vt:lpstr>評比系統!外部資料_757</vt:lpstr>
      <vt:lpstr>PKB!外部資料_758</vt:lpstr>
      <vt:lpstr>評比系統!外部資料_758</vt:lpstr>
      <vt:lpstr>PKB!外部資料_759</vt:lpstr>
      <vt:lpstr>評比系統!外部資料_759</vt:lpstr>
      <vt:lpstr>評比系統!外部資料_76</vt:lpstr>
      <vt:lpstr>PKB!外部資料_760</vt:lpstr>
      <vt:lpstr>評比系統!外部資料_760</vt:lpstr>
      <vt:lpstr>評比系統!外部資料_761</vt:lpstr>
      <vt:lpstr>評比系統!外部資料_762</vt:lpstr>
      <vt:lpstr>評比系統!外部資料_763</vt:lpstr>
      <vt:lpstr>評比系統!外部資料_764</vt:lpstr>
      <vt:lpstr>評比系統!外部資料_765</vt:lpstr>
      <vt:lpstr>評比系統!外部資料_766</vt:lpstr>
      <vt:lpstr>評比系統!外部資料_767</vt:lpstr>
      <vt:lpstr>評比系統!外部資料_768</vt:lpstr>
      <vt:lpstr>評比系統!外部資料_769</vt:lpstr>
      <vt:lpstr>評比系統!外部資料_77</vt:lpstr>
      <vt:lpstr>評比系統!外部資料_770</vt:lpstr>
      <vt:lpstr>評比系統!外部資料_771</vt:lpstr>
      <vt:lpstr>評比系統!外部資料_772</vt:lpstr>
      <vt:lpstr>評比系統!外部資料_773</vt:lpstr>
      <vt:lpstr>評比系統!外部資料_774</vt:lpstr>
      <vt:lpstr>評比系統!外部資料_775</vt:lpstr>
      <vt:lpstr>評比系統!外部資料_776</vt:lpstr>
      <vt:lpstr>評比系統!外部資料_777</vt:lpstr>
      <vt:lpstr>評比系統!外部資料_778</vt:lpstr>
      <vt:lpstr>評比系統!外部資料_779</vt:lpstr>
      <vt:lpstr>評比系統!外部資料_78</vt:lpstr>
      <vt:lpstr>評比系統!外部資料_780</vt:lpstr>
      <vt:lpstr>評比系統!外部資料_781</vt:lpstr>
      <vt:lpstr>評比系統!外部資料_782</vt:lpstr>
      <vt:lpstr>評比系統!外部資料_783</vt:lpstr>
      <vt:lpstr>評比系統!外部資料_784</vt:lpstr>
      <vt:lpstr>評比系統!外部資料_785</vt:lpstr>
      <vt:lpstr>評比系統!外部資料_786</vt:lpstr>
      <vt:lpstr>評比系統!外部資料_787</vt:lpstr>
      <vt:lpstr>評比系統!外部資料_788</vt:lpstr>
      <vt:lpstr>評比系統!外部資料_789</vt:lpstr>
      <vt:lpstr>評比系統!外部資料_79</vt:lpstr>
      <vt:lpstr>評比系統!外部資料_790</vt:lpstr>
      <vt:lpstr>評比系統!外部資料_791</vt:lpstr>
      <vt:lpstr>評比系統!外部資料_792</vt:lpstr>
      <vt:lpstr>評比系統!外部資料_793</vt:lpstr>
      <vt:lpstr>評比系統!外部資料_794</vt:lpstr>
      <vt:lpstr>評比系統!外部資料_795</vt:lpstr>
      <vt:lpstr>評比系統!外部資料_796</vt:lpstr>
      <vt:lpstr>評比系統!外部資料_797</vt:lpstr>
      <vt:lpstr>評比系統!外部資料_798</vt:lpstr>
      <vt:lpstr>評比系統!外部資料_799</vt:lpstr>
      <vt:lpstr>評比系統!外部資料_80</vt:lpstr>
      <vt:lpstr>評比系統!外部資料_800</vt:lpstr>
      <vt:lpstr>評比系統!外部資料_801</vt:lpstr>
      <vt:lpstr>評比系統!外部資料_802</vt:lpstr>
      <vt:lpstr>評比系統!外部資料_803</vt:lpstr>
      <vt:lpstr>評比系統!外部資料_804</vt:lpstr>
      <vt:lpstr>評比系統!外部資料_805</vt:lpstr>
      <vt:lpstr>評比系統!外部資料_806</vt:lpstr>
      <vt:lpstr>評比系統!外部資料_807</vt:lpstr>
      <vt:lpstr>評比系統!外部資料_808</vt:lpstr>
      <vt:lpstr>評比系統!外部資料_809</vt:lpstr>
      <vt:lpstr>評比系統!外部資料_81</vt:lpstr>
      <vt:lpstr>評比系統!外部資料_810</vt:lpstr>
      <vt:lpstr>評比系統!外部資料_811</vt:lpstr>
      <vt:lpstr>評比系統!外部資料_812</vt:lpstr>
      <vt:lpstr>評比系統!外部資料_813</vt:lpstr>
      <vt:lpstr>評比系統!外部資料_814</vt:lpstr>
      <vt:lpstr>評比系統!外部資料_815</vt:lpstr>
      <vt:lpstr>評比系統!外部資料_816</vt:lpstr>
      <vt:lpstr>評比系統!外部資料_817</vt:lpstr>
      <vt:lpstr>評比系統!外部資料_818</vt:lpstr>
      <vt:lpstr>評比系統!外部資料_819</vt:lpstr>
      <vt:lpstr>評比系統!外部資料_82</vt:lpstr>
      <vt:lpstr>評比系統!外部資料_820</vt:lpstr>
      <vt:lpstr>評比系統!外部資料_821</vt:lpstr>
      <vt:lpstr>評比系統!外部資料_822</vt:lpstr>
      <vt:lpstr>評比系統!外部資料_823</vt:lpstr>
      <vt:lpstr>評比系統!外部資料_824</vt:lpstr>
      <vt:lpstr>評比系統!外部資料_825</vt:lpstr>
      <vt:lpstr>評比系統!外部資料_826</vt:lpstr>
      <vt:lpstr>評比系統!外部資料_827</vt:lpstr>
      <vt:lpstr>評比系統!外部資料_828</vt:lpstr>
      <vt:lpstr>評比系統!外部資料_829</vt:lpstr>
      <vt:lpstr>評比系統!外部資料_83</vt:lpstr>
      <vt:lpstr>評比系統!外部資料_830</vt:lpstr>
      <vt:lpstr>評比系統!外部資料_831</vt:lpstr>
      <vt:lpstr>評比系統!外部資料_832</vt:lpstr>
      <vt:lpstr>評比系統!外部資料_833</vt:lpstr>
      <vt:lpstr>評比系統!外部資料_834</vt:lpstr>
      <vt:lpstr>評比系統!外部資料_835</vt:lpstr>
      <vt:lpstr>評比系統!外部資料_836</vt:lpstr>
      <vt:lpstr>評比系統!外部資料_837</vt:lpstr>
      <vt:lpstr>評比系統!外部資料_838</vt:lpstr>
      <vt:lpstr>評比系統!外部資料_839</vt:lpstr>
      <vt:lpstr>評比系統!外部資料_84</vt:lpstr>
      <vt:lpstr>評比系統!外部資料_840</vt:lpstr>
      <vt:lpstr>評比系統!外部資料_841</vt:lpstr>
      <vt:lpstr>評比系統!外部資料_842</vt:lpstr>
      <vt:lpstr>評比系統!外部資料_843</vt:lpstr>
      <vt:lpstr>評比系統!外部資料_844</vt:lpstr>
      <vt:lpstr>評比系統!外部資料_845</vt:lpstr>
      <vt:lpstr>評比系統!外部資料_846</vt:lpstr>
      <vt:lpstr>評比系統!外部資料_847</vt:lpstr>
      <vt:lpstr>評比系統!外部資料_848</vt:lpstr>
      <vt:lpstr>評比系統!外部資料_849</vt:lpstr>
      <vt:lpstr>評比系統!外部資料_85</vt:lpstr>
      <vt:lpstr>評比系統!外部資料_850</vt:lpstr>
      <vt:lpstr>評比系統!外部資料_851</vt:lpstr>
      <vt:lpstr>評比系統!外部資料_852</vt:lpstr>
      <vt:lpstr>評比系統!外部資料_853</vt:lpstr>
      <vt:lpstr>評比系統!外部資料_854</vt:lpstr>
      <vt:lpstr>評比系統!外部資料_855</vt:lpstr>
      <vt:lpstr>評比系統!外部資料_856</vt:lpstr>
      <vt:lpstr>評比系統!外部資料_857</vt:lpstr>
      <vt:lpstr>評比系統!外部資料_858</vt:lpstr>
      <vt:lpstr>評比系統!外部資料_859</vt:lpstr>
      <vt:lpstr>評比系統!外部資料_86</vt:lpstr>
      <vt:lpstr>評比系統!外部資料_860</vt:lpstr>
      <vt:lpstr>評比系統!外部資料_861</vt:lpstr>
      <vt:lpstr>評比系統!外部資料_862</vt:lpstr>
      <vt:lpstr>評比系統!外部資料_863</vt:lpstr>
      <vt:lpstr>評比系統!外部資料_864</vt:lpstr>
      <vt:lpstr>評比系統!外部資料_865</vt:lpstr>
      <vt:lpstr>評比系統!外部資料_866</vt:lpstr>
      <vt:lpstr>評比系統!外部資料_867</vt:lpstr>
      <vt:lpstr>評比系統!外部資料_868</vt:lpstr>
      <vt:lpstr>評比系統!外部資料_869</vt:lpstr>
      <vt:lpstr>評比系統!外部資料_87</vt:lpstr>
      <vt:lpstr>評比系統!外部資料_870</vt:lpstr>
      <vt:lpstr>評比系統!外部資料_871</vt:lpstr>
      <vt:lpstr>評比系統!外部資料_872</vt:lpstr>
      <vt:lpstr>評比系統!外部資料_873</vt:lpstr>
      <vt:lpstr>評比系統!外部資料_874</vt:lpstr>
      <vt:lpstr>評比系統!外部資料_875</vt:lpstr>
      <vt:lpstr>評比系統!外部資料_876</vt:lpstr>
      <vt:lpstr>評比系統!外部資料_877</vt:lpstr>
      <vt:lpstr>評比系統!外部資料_878</vt:lpstr>
      <vt:lpstr>評比系統!外部資料_879</vt:lpstr>
      <vt:lpstr>評比系統!外部資料_88</vt:lpstr>
      <vt:lpstr>評比系統!外部資料_880</vt:lpstr>
      <vt:lpstr>評比系統!外部資料_881</vt:lpstr>
      <vt:lpstr>評比系統!外部資料_882</vt:lpstr>
      <vt:lpstr>評比系統!外部資料_883</vt:lpstr>
      <vt:lpstr>評比系統!外部資料_884</vt:lpstr>
      <vt:lpstr>評比系統!外部資料_885</vt:lpstr>
      <vt:lpstr>評比系統!外部資料_886</vt:lpstr>
      <vt:lpstr>評比系統!外部資料_887</vt:lpstr>
      <vt:lpstr>評比系統!外部資料_888</vt:lpstr>
      <vt:lpstr>評比系統!外部資料_889</vt:lpstr>
      <vt:lpstr>評比系統!外部資料_89</vt:lpstr>
      <vt:lpstr>評比系統!外部資料_890</vt:lpstr>
      <vt:lpstr>評比系統!外部資料_891</vt:lpstr>
      <vt:lpstr>評比系統!外部資料_892</vt:lpstr>
      <vt:lpstr>評比系統!外部資料_893</vt:lpstr>
      <vt:lpstr>評比系統!外部資料_894</vt:lpstr>
      <vt:lpstr>評比系統!外部資料_895</vt:lpstr>
      <vt:lpstr>評比系統!外部資料_896</vt:lpstr>
      <vt:lpstr>評比系統!外部資料_897</vt:lpstr>
      <vt:lpstr>評比系統!外部資料_898</vt:lpstr>
      <vt:lpstr>評比系統!外部資料_899</vt:lpstr>
      <vt:lpstr>評比系統!外部資料_90</vt:lpstr>
      <vt:lpstr>評比系統!外部資料_900</vt:lpstr>
      <vt:lpstr>評比系統!外部資料_901</vt:lpstr>
      <vt:lpstr>評比系統!外部資料_902</vt:lpstr>
      <vt:lpstr>評比系統!外部資料_903</vt:lpstr>
      <vt:lpstr>評比系統!外部資料_904</vt:lpstr>
      <vt:lpstr>評比系統!外部資料_905</vt:lpstr>
      <vt:lpstr>評比系統!外部資料_906</vt:lpstr>
      <vt:lpstr>評比系統!外部資料_907</vt:lpstr>
      <vt:lpstr>評比系統!外部資料_908</vt:lpstr>
      <vt:lpstr>評比系統!外部資料_909</vt:lpstr>
      <vt:lpstr>評比系統!外部資料_91</vt:lpstr>
      <vt:lpstr>評比系統!外部資料_910</vt:lpstr>
      <vt:lpstr>評比系統!外部資料_911</vt:lpstr>
      <vt:lpstr>評比系統!外部資料_912</vt:lpstr>
      <vt:lpstr>評比系統!外部資料_913</vt:lpstr>
      <vt:lpstr>評比系統!外部資料_914</vt:lpstr>
      <vt:lpstr>評比系統!外部資料_915</vt:lpstr>
      <vt:lpstr>評比系統!外部資料_916</vt:lpstr>
      <vt:lpstr>評比系統!外部資料_917</vt:lpstr>
      <vt:lpstr>評比系統!外部資料_918</vt:lpstr>
      <vt:lpstr>評比系統!外部資料_919</vt:lpstr>
      <vt:lpstr>評比系統!外部資料_92</vt:lpstr>
      <vt:lpstr>評比系統!外部資料_920</vt:lpstr>
      <vt:lpstr>評比系統!外部資料_921</vt:lpstr>
      <vt:lpstr>評比系統!外部資料_922</vt:lpstr>
      <vt:lpstr>評比系統!外部資料_923</vt:lpstr>
      <vt:lpstr>評比系統!外部資料_924</vt:lpstr>
      <vt:lpstr>評比系統!外部資料_925</vt:lpstr>
      <vt:lpstr>評比系統!外部資料_926</vt:lpstr>
      <vt:lpstr>評比系統!外部資料_927</vt:lpstr>
      <vt:lpstr>評比系統!外部資料_928</vt:lpstr>
      <vt:lpstr>評比系統!外部資料_929</vt:lpstr>
      <vt:lpstr>評比系統!外部資料_93</vt:lpstr>
      <vt:lpstr>評比系統!外部資料_930</vt:lpstr>
      <vt:lpstr>評比系統!外部資料_931</vt:lpstr>
      <vt:lpstr>評比系統!外部資料_932</vt:lpstr>
      <vt:lpstr>評比系統!外部資料_933</vt:lpstr>
      <vt:lpstr>評比系統!外部資料_934</vt:lpstr>
      <vt:lpstr>評比系統!外部資料_935</vt:lpstr>
      <vt:lpstr>評比系統!外部資料_936</vt:lpstr>
      <vt:lpstr>評比系統!外部資料_937</vt:lpstr>
      <vt:lpstr>評比系統!外部資料_938</vt:lpstr>
      <vt:lpstr>評比系統!外部資料_939</vt:lpstr>
      <vt:lpstr>評比系統!外部資料_94</vt:lpstr>
      <vt:lpstr>評比系統!外部資料_940</vt:lpstr>
      <vt:lpstr>評比系統!外部資料_941</vt:lpstr>
      <vt:lpstr>評比系統!外部資料_942</vt:lpstr>
      <vt:lpstr>評比系統!外部資料_943</vt:lpstr>
      <vt:lpstr>評比系統!外部資料_944</vt:lpstr>
      <vt:lpstr>評比系統!外部資料_945</vt:lpstr>
      <vt:lpstr>評比系統!外部資料_946</vt:lpstr>
      <vt:lpstr>評比系統!外部資料_947</vt:lpstr>
      <vt:lpstr>評比系統!外部資料_948</vt:lpstr>
      <vt:lpstr>評比系統!外部資料_949</vt:lpstr>
      <vt:lpstr>評比系統!外部資料_95</vt:lpstr>
      <vt:lpstr>評比系統!外部資料_950</vt:lpstr>
      <vt:lpstr>評比系統!外部資料_951</vt:lpstr>
      <vt:lpstr>評比系統!外部資料_952</vt:lpstr>
      <vt:lpstr>評比系統!外部資料_953</vt:lpstr>
      <vt:lpstr>評比系統!外部資料_954</vt:lpstr>
      <vt:lpstr>評比系統!外部資料_955</vt:lpstr>
      <vt:lpstr>評比系統!外部資料_956</vt:lpstr>
      <vt:lpstr>評比系統!外部資料_957</vt:lpstr>
      <vt:lpstr>評比系統!外部資料_958</vt:lpstr>
      <vt:lpstr>評比系統!外部資料_959</vt:lpstr>
      <vt:lpstr>評比系統!外部資料_96</vt:lpstr>
      <vt:lpstr>評比系統!外部資料_960</vt:lpstr>
      <vt:lpstr>評比系統!外部資料_961</vt:lpstr>
      <vt:lpstr>評比系統!外部資料_962</vt:lpstr>
      <vt:lpstr>評比系統!外部資料_963</vt:lpstr>
      <vt:lpstr>評比系統!外部資料_964</vt:lpstr>
      <vt:lpstr>評比系統!外部資料_965</vt:lpstr>
      <vt:lpstr>評比系統!外部資料_966</vt:lpstr>
      <vt:lpstr>評比系統!外部資料_967</vt:lpstr>
      <vt:lpstr>評比系統!外部資料_968</vt:lpstr>
      <vt:lpstr>評比系統!外部資料_969</vt:lpstr>
      <vt:lpstr>評比系統!外部資料_97</vt:lpstr>
      <vt:lpstr>評比系統!外部資料_970</vt:lpstr>
      <vt:lpstr>評比系統!外部資料_971</vt:lpstr>
      <vt:lpstr>評比系統!外部資料_972</vt:lpstr>
      <vt:lpstr>評比系統!外部資料_973</vt:lpstr>
      <vt:lpstr>評比系統!外部資料_974</vt:lpstr>
      <vt:lpstr>評比系統!外部資料_975</vt:lpstr>
      <vt:lpstr>評比系統!外部資料_976</vt:lpstr>
      <vt:lpstr>評比系統!外部資料_977</vt:lpstr>
      <vt:lpstr>評比系統!外部資料_978</vt:lpstr>
      <vt:lpstr>評比系統!外部資料_979</vt:lpstr>
      <vt:lpstr>評比系統!外部資料_98</vt:lpstr>
      <vt:lpstr>評比系統!外部資料_980</vt:lpstr>
      <vt:lpstr>評比系統!外部資料_981</vt:lpstr>
      <vt:lpstr>評比系統!外部資料_982</vt:lpstr>
      <vt:lpstr>評比系統!外部資料_983</vt:lpstr>
      <vt:lpstr>評比系統!外部資料_984</vt:lpstr>
      <vt:lpstr>評比系統!外部資料_985</vt:lpstr>
      <vt:lpstr>評比系統!外部資料_986</vt:lpstr>
      <vt:lpstr>評比系統!外部資料_987</vt:lpstr>
      <vt:lpstr>評比系統!外部資料_988</vt:lpstr>
      <vt:lpstr>評比系統!外部資料_989</vt:lpstr>
      <vt:lpstr>評比系統!外部資料_99</vt:lpstr>
      <vt:lpstr>評比系統!外部資料_990</vt:lpstr>
      <vt:lpstr>評比系統!外部資料_991</vt:lpstr>
      <vt:lpstr>評比系統!外部資料_992</vt:lpstr>
      <vt:lpstr>評比系統!外部資料_993</vt:lpstr>
      <vt:lpstr>評比系統!外部資料_994</vt:lpstr>
      <vt:lpstr>評比系統!外部資料_995</vt:lpstr>
      <vt:lpstr>評比系統!外部資料_996</vt:lpstr>
      <vt:lpstr>評比系統!外部資料_997</vt:lpstr>
      <vt:lpstr>評比系統!外部資料_998</vt:lpstr>
      <vt:lpstr>評比系統!外部資料_999</vt:lpstr>
      <vt:lpstr>評比系統!持股分佈</vt:lpstr>
      <vt:lpstr>評比系統!持股分佈_11</vt:lpstr>
      <vt:lpstr>評比系統!持股分佈_14</vt:lpstr>
      <vt:lpstr>評比系統!持股分佈_17</vt:lpstr>
      <vt:lpstr>評比系統!持股分佈_20</vt:lpstr>
      <vt:lpstr>評比系統!持股分佈_23</vt:lpstr>
      <vt:lpstr>評比系統!持股分佈_26</vt:lpstr>
      <vt:lpstr>評比系統!持股分佈_29</vt:lpstr>
      <vt:lpstr>評比系統!持股分佈_32</vt:lpstr>
      <vt:lpstr>評比系統!持股分佈_35</vt:lpstr>
      <vt:lpstr>評比系統!持股分佈_38</vt:lpstr>
      <vt:lpstr>篩股系統!持股分佈_38</vt:lpstr>
      <vt:lpstr>評比系統!持股分佈_41</vt:lpstr>
      <vt:lpstr>評比系統!持股分佈_44</vt:lpstr>
      <vt:lpstr>評比系統!持股分佈_47</vt:lpstr>
      <vt:lpstr>評比系統!持股分佈_5</vt:lpstr>
      <vt:lpstr>評比系統!持股分佈_50</vt:lpstr>
      <vt:lpstr>評比系統!持股分佈_53</vt:lpstr>
      <vt:lpstr>評比系統!持股分佈_56</vt:lpstr>
      <vt:lpstr>評比系統!持股分佈_59</vt:lpstr>
      <vt:lpstr>評比系統!持股分佈_62</vt:lpstr>
      <vt:lpstr>評比系統!持股分佈_65</vt:lpstr>
      <vt:lpstr>評比系統!持股分佈_68</vt:lpstr>
      <vt:lpstr>評比系統!持股分佈_71</vt:lpstr>
      <vt:lpstr>評比系統!持股分佈_74</vt:lpstr>
      <vt:lpstr>評比系統!持股分佈_77</vt:lpstr>
      <vt:lpstr>評比系統!持股分佈_8</vt:lpstr>
      <vt:lpstr>評比系統!持股分佈_80</vt:lpstr>
      <vt:lpstr>評比系統!持股分佈_83</vt:lpstr>
      <vt:lpstr>評比系統!持股分佈_86</vt:lpstr>
      <vt:lpstr>評比系統!持股分佈_89</vt:lpstr>
      <vt:lpstr>收盤價!國內上市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  <vt:lpstr>收盤價!國內上市_29</vt:lpstr>
      <vt:lpstr>收盤價!國內上市_30</vt:lpstr>
      <vt:lpstr>收盤價!國內上市_31</vt:lpstr>
      <vt:lpstr>收盤價!國內上市_32</vt:lpstr>
      <vt:lpstr>收盤價!國內上市_33</vt:lpstr>
      <vt:lpstr>收盤價!國內上市_34</vt:lpstr>
      <vt:lpstr>收盤價!國內上市_35</vt:lpstr>
      <vt:lpstr>收盤價!國內上市_36</vt:lpstr>
      <vt:lpstr>收盤價!國內上市_37</vt:lpstr>
      <vt:lpstr>收盤價!國內上市_38</vt:lpstr>
      <vt:lpstr>收盤價!國內上市_39</vt:lpstr>
      <vt:lpstr>收盤價!國內上市_40</vt:lpstr>
      <vt:lpstr>收盤價!國內上市_41</vt:lpstr>
      <vt:lpstr>收盤價!國內上市_42</vt:lpstr>
      <vt:lpstr>收盤價!國內上市_43</vt:lpstr>
      <vt:lpstr>收盤價!國內上市_44</vt:lpstr>
      <vt:lpstr>收盤價!國內上市_45</vt:lpstr>
      <vt:lpstr>收盤價!國內上市_46</vt:lpstr>
      <vt:lpstr>收盤價!國內上市_47</vt:lpstr>
      <vt:lpstr>收盤價!國內上市_48</vt:lpstr>
      <vt:lpstr>收盤價!國內上市_49</vt:lpstr>
      <vt:lpstr>收盤價!國內上市_50</vt:lpstr>
      <vt:lpstr>收盤價!國內上市_51</vt:lpstr>
      <vt:lpstr>收盤價!國內上市_52</vt:lpstr>
      <vt:lpstr>收盤價!國內上市_53</vt:lpstr>
      <vt:lpstr>收盤價!國內上市_54</vt:lpstr>
      <vt:lpstr>收盤價!國內上市_55</vt:lpstr>
      <vt:lpstr>收盤價!國內上市_56</vt:lpstr>
      <vt:lpstr>收盤價!國內上市_57</vt:lpstr>
      <vt:lpstr>收盤價!國內上市_58</vt:lpstr>
      <vt:lpstr>收盤價!國內上市_59</vt:lpstr>
      <vt:lpstr>收盤價!國內上市_60</vt:lpstr>
      <vt:lpstr>收盤價!國內上市_61</vt:lpstr>
      <vt:lpstr>收盤價!國內上市_62</vt:lpstr>
      <vt:lpstr>收盤價!國內上市_63</vt:lpstr>
      <vt:lpstr>收盤價!國內上市_64</vt:lpstr>
      <vt:lpstr>收盤價!國內上市_65</vt:lpstr>
      <vt:lpstr>收盤價!國內上市_66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SW</cp:lastModifiedBy>
  <cp:lastPrinted>2016-02-04T22:15:06Z</cp:lastPrinted>
  <dcterms:created xsi:type="dcterms:W3CDTF">2015-03-09T15:48:32Z</dcterms:created>
  <dcterms:modified xsi:type="dcterms:W3CDTF">2016-03-09T14:11:41Z</dcterms:modified>
</cp:coreProperties>
</file>