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'老婆合資(投資)'!$A$1:$K$572</definedName>
    <definedName name="_xlnm._FilterDatabase" localSheetId="2" hidden="1">股份統計!$A$1:$J$43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N543" i="1"/>
  <c r="G543"/>
  <c r="C543"/>
  <c r="C541"/>
  <c r="C540"/>
  <c r="N569"/>
  <c r="J569"/>
  <c r="I569"/>
  <c r="H569"/>
  <c r="G569"/>
  <c r="B569"/>
  <c r="C569"/>
  <c r="C567"/>
  <c r="B503"/>
  <c r="J503" s="1"/>
  <c r="M573"/>
  <c r="I573"/>
  <c r="G573"/>
  <c r="C573"/>
  <c r="B573"/>
  <c r="C572"/>
  <c r="N509"/>
  <c r="O543"/>
  <c r="M543"/>
  <c r="O556"/>
  <c r="O569"/>
  <c r="O509"/>
  <c r="M509"/>
  <c r="M511"/>
  <c r="M556"/>
  <c r="M569"/>
  <c r="M571"/>
  <c r="C509"/>
  <c r="C511"/>
  <c r="C556"/>
  <c r="C571"/>
  <c r="J499"/>
  <c r="J498"/>
  <c r="C498"/>
  <c r="C499"/>
  <c r="J497"/>
  <c r="C497"/>
  <c r="G509"/>
  <c r="B496"/>
  <c r="J496" s="1"/>
  <c r="B543"/>
  <c r="I543"/>
  <c r="H543"/>
  <c r="C542"/>
  <c r="C539"/>
  <c r="C501"/>
  <c r="C502"/>
  <c r="I571"/>
  <c r="G571"/>
  <c r="B571"/>
  <c r="C570"/>
  <c r="C500"/>
  <c r="C568"/>
  <c r="C566"/>
  <c r="I556"/>
  <c r="G556"/>
  <c r="B556"/>
  <c r="C555"/>
  <c r="C565"/>
  <c r="C564"/>
  <c r="C563"/>
  <c r="I511"/>
  <c r="I509"/>
  <c r="C562"/>
  <c r="C561"/>
  <c r="C538"/>
  <c r="C554"/>
  <c r="C560"/>
  <c r="C559"/>
  <c r="C558"/>
  <c r="C537"/>
  <c r="C553"/>
  <c r="C552"/>
  <c r="C551"/>
  <c r="C550"/>
  <c r="C549"/>
  <c r="C557"/>
  <c r="B511"/>
  <c r="G511"/>
  <c r="B493"/>
  <c r="E493"/>
  <c r="C536"/>
  <c r="J484"/>
  <c r="J485"/>
  <c r="C548"/>
  <c r="C547"/>
  <c r="J481"/>
  <c r="J482"/>
  <c r="J483"/>
  <c r="C483"/>
  <c r="C484"/>
  <c r="C546"/>
  <c r="C545"/>
  <c r="C544"/>
  <c r="C482"/>
  <c r="C481"/>
  <c r="J480"/>
  <c r="J479"/>
  <c r="B477"/>
  <c r="J477" s="1"/>
  <c r="C535"/>
  <c r="B474"/>
  <c r="E474"/>
  <c r="C476"/>
  <c r="C475"/>
  <c r="C534"/>
  <c r="C533"/>
  <c r="B462"/>
  <c r="J462" s="1"/>
  <c r="C480"/>
  <c r="H509"/>
  <c r="D9" i="5"/>
  <c r="C532" i="1"/>
  <c r="C531"/>
  <c r="C530"/>
  <c r="C529"/>
  <c r="C525"/>
  <c r="C522"/>
  <c r="C519"/>
  <c r="C528"/>
  <c r="C527"/>
  <c r="C526"/>
  <c r="C524"/>
  <c r="C523"/>
  <c r="C521"/>
  <c r="C520"/>
  <c r="C514"/>
  <c r="C518"/>
  <c r="C517"/>
  <c r="C516"/>
  <c r="C515"/>
  <c r="B459"/>
  <c r="J459" s="1"/>
  <c r="B456"/>
  <c r="C457"/>
  <c r="C453"/>
  <c r="E456"/>
  <c r="C513"/>
  <c r="J451"/>
  <c r="C512"/>
  <c r="J447"/>
  <c r="C447"/>
  <c r="C458"/>
  <c r="B509"/>
  <c r="B446"/>
  <c r="J446" s="1"/>
  <c r="C451"/>
  <c r="C452"/>
  <c r="C445"/>
  <c r="J433"/>
  <c r="J422"/>
  <c r="E432"/>
  <c r="B432"/>
  <c r="B426"/>
  <c r="J426" s="1"/>
  <c r="C444"/>
  <c r="C443"/>
  <c r="C442"/>
  <c r="C422"/>
  <c r="C441"/>
  <c r="C423"/>
  <c r="C424"/>
  <c r="C440"/>
  <c r="C425"/>
  <c r="C428"/>
  <c r="C427"/>
  <c r="B421"/>
  <c r="J421" s="1"/>
  <c r="J409"/>
  <c r="C409"/>
  <c r="P9" i="5"/>
  <c r="C408" i="1"/>
  <c r="J408"/>
  <c r="B407"/>
  <c r="J407" s="1"/>
  <c r="J403"/>
  <c r="J402"/>
  <c r="J401"/>
  <c r="C510"/>
  <c r="C401"/>
  <c r="C439"/>
  <c r="C438"/>
  <c r="C400"/>
  <c r="J400"/>
  <c r="C399"/>
  <c r="J399"/>
  <c r="C398"/>
  <c r="J398"/>
  <c r="J397"/>
  <c r="C397"/>
  <c r="C420"/>
  <c r="J396"/>
  <c r="C489"/>
  <c r="J395"/>
  <c r="B394"/>
  <c r="C419"/>
  <c r="C418"/>
  <c r="C390"/>
  <c r="C437"/>
  <c r="C436"/>
  <c r="C435"/>
  <c r="C434"/>
  <c r="J389"/>
  <c r="J388"/>
  <c r="C387"/>
  <c r="J387"/>
  <c r="J386"/>
  <c r="C389"/>
  <c r="C386"/>
  <c r="C417"/>
  <c r="C416"/>
  <c r="J385"/>
  <c r="B384"/>
  <c r="C385"/>
  <c r="E384"/>
  <c r="C378"/>
  <c r="R9" i="5"/>
  <c r="C415" i="1"/>
  <c r="J374"/>
  <c r="E9" i="5"/>
  <c r="C460" i="1"/>
  <c r="J373"/>
  <c r="C373"/>
  <c r="C374"/>
  <c r="C488"/>
  <c r="B372"/>
  <c r="J372" s="1"/>
  <c r="C487"/>
  <c r="C461"/>
  <c r="B368"/>
  <c r="J368" s="1"/>
  <c r="J362"/>
  <c r="C410"/>
  <c r="C362"/>
  <c r="J361"/>
  <c r="C395"/>
  <c r="C486"/>
  <c r="J9" i="5"/>
  <c r="C360" i="1"/>
  <c r="J360"/>
  <c r="C413"/>
  <c r="C414"/>
  <c r="C412"/>
  <c r="C411"/>
  <c r="C367"/>
  <c r="G43" i="6"/>
  <c r="I43" s="1"/>
  <c r="G42"/>
  <c r="I42" s="1"/>
  <c r="F9" i="5"/>
  <c r="G41" i="6"/>
  <c r="H41" s="1"/>
  <c r="C371" i="1"/>
  <c r="C366"/>
  <c r="C365"/>
  <c r="B358"/>
  <c r="J358" s="1"/>
  <c r="C361"/>
  <c r="C377"/>
  <c r="J348"/>
  <c r="C350"/>
  <c r="C348"/>
  <c r="C364"/>
  <c r="C363"/>
  <c r="C370"/>
  <c r="C369"/>
  <c r="J347"/>
  <c r="C347"/>
  <c r="J346"/>
  <c r="C346"/>
  <c r="J343"/>
  <c r="G40" i="6"/>
  <c r="H40" s="1"/>
  <c r="G39"/>
  <c r="H39" s="1"/>
  <c r="J543" i="1" l="1"/>
  <c r="J573"/>
  <c r="J571"/>
  <c r="J511"/>
  <c r="J493"/>
  <c r="J556"/>
  <c r="J474"/>
  <c r="J456"/>
  <c r="J432"/>
  <c r="J384"/>
  <c r="J509"/>
  <c r="H43" i="6"/>
  <c r="H42"/>
  <c r="I41"/>
  <c r="C405" i="1"/>
  <c r="C376"/>
  <c r="G35" i="6"/>
  <c r="I35" s="1"/>
  <c r="G37"/>
  <c r="I37" s="1"/>
  <c r="G38"/>
  <c r="I38" s="1"/>
  <c r="G36"/>
  <c r="I36" s="1"/>
  <c r="C404" i="1"/>
  <c r="J342"/>
  <c r="K8" i="5"/>
  <c r="H37" i="6" l="1"/>
  <c r="H38"/>
  <c r="H36"/>
  <c r="H35"/>
  <c r="F7" i="5"/>
  <c r="C342" i="1"/>
  <c r="J337"/>
  <c r="C337"/>
  <c r="C375"/>
  <c r="J336"/>
  <c r="C396"/>
  <c r="K9" i="5"/>
  <c r="G33" i="6"/>
  <c r="G34"/>
  <c r="G32"/>
  <c r="G31"/>
  <c r="H31" l="1"/>
  <c r="I31"/>
  <c r="H33"/>
  <c r="I33"/>
  <c r="H34"/>
  <c r="I34"/>
  <c r="H32"/>
  <c r="I32"/>
  <c r="E8" i="5"/>
  <c r="H30" i="6"/>
  <c r="G30"/>
  <c r="I30" s="1"/>
  <c r="C393" i="1"/>
  <c r="I24" i="6"/>
  <c r="H24"/>
  <c r="C336" i="1"/>
  <c r="C392"/>
  <c r="C391"/>
  <c r="J327"/>
  <c r="C388"/>
  <c r="C485"/>
  <c r="C357"/>
  <c r="J324"/>
  <c r="J323"/>
  <c r="J318"/>
  <c r="B317"/>
  <c r="J317" s="1"/>
  <c r="C508"/>
  <c r="C318"/>
  <c r="J305"/>
  <c r="C495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402"/>
  <c r="G20" i="6"/>
  <c r="I20" s="1"/>
  <c r="G21"/>
  <c r="H21" s="1"/>
  <c r="C281" i="1"/>
  <c r="C275"/>
  <c r="H22" i="6" l="1"/>
  <c r="I23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H28" i="6" l="1"/>
  <c r="I28"/>
  <c r="H27"/>
  <c r="I27"/>
  <c r="H29"/>
  <c r="I29"/>
  <c r="Q8" i="5"/>
  <c r="R8"/>
  <c r="O8"/>
  <c r="N7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Q9" i="5" l="1"/>
  <c r="M26"/>
  <c r="O9"/>
  <c r="N9"/>
  <c r="C313" i="1"/>
  <c r="B254"/>
  <c r="J254" s="1"/>
  <c r="J250"/>
  <c r="C250"/>
  <c r="J249"/>
  <c r="C249"/>
  <c r="C326"/>
  <c r="C311"/>
  <c r="C261"/>
  <c r="C312"/>
  <c r="B248"/>
  <c r="J248" s="1"/>
  <c r="C310"/>
  <c r="C465"/>
  <c r="C464"/>
  <c r="C309"/>
  <c r="C308"/>
  <c r="C247"/>
  <c r="C307"/>
  <c r="C246"/>
  <c r="C463"/>
  <c r="C494"/>
  <c r="C321"/>
  <c r="C319"/>
  <c r="C320"/>
  <c r="C479"/>
  <c r="J245"/>
  <c r="B244"/>
  <c r="J244" s="1"/>
  <c r="C243"/>
  <c r="C354"/>
  <c r="J241"/>
  <c r="C241"/>
  <c r="C325"/>
  <c r="C245"/>
  <c r="B240"/>
  <c r="J240" s="1"/>
  <c r="C242"/>
  <c r="C238"/>
  <c r="C322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433"/>
  <c r="C227"/>
  <c r="C239"/>
  <c r="C226"/>
  <c r="C356"/>
  <c r="C355"/>
  <c r="C224"/>
  <c r="C353"/>
  <c r="C352"/>
  <c r="C351"/>
  <c r="C349"/>
  <c r="C380"/>
  <c r="C222"/>
  <c r="J221"/>
  <c r="C221"/>
  <c r="C287"/>
  <c r="C379"/>
  <c r="C284"/>
  <c r="C265"/>
  <c r="C283"/>
  <c r="C262"/>
  <c r="C282"/>
  <c r="C263"/>
  <c r="C251"/>
  <c r="C466"/>
  <c r="C403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H12" i="6" l="1"/>
  <c r="J235" i="1"/>
  <c r="I13" i="6"/>
  <c r="J8" i="5"/>
  <c r="E7"/>
  <c r="R19"/>
  <c r="K6"/>
  <c r="K7" s="1"/>
  <c r="J394" i="1"/>
</calcChain>
</file>

<file path=xl/sharedStrings.xml><?xml version="1.0" encoding="utf-8"?>
<sst xmlns="http://schemas.openxmlformats.org/spreadsheetml/2006/main" count="1385" uniqueCount="513">
  <si>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</si>
  <si>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</si>
  <si>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</si>
  <si>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</si>
  <si>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</si>
  <si>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</si>
  <si>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</si>
  <si>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</si>
  <si>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</si>
  <si>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</si>
  <si>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</si>
  <si>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</si>
  <si>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</si>
  <si>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</si>
  <si>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</si>
  <si>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</si>
  <si>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</si>
  <si>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</si>
  <si>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</si>
  <si>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</si>
  <si>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</si>
  <si>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</si>
  <si>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</si>
  <si>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</si>
  <si>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</si>
  <si>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</si>
  <si>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</si>
  <si>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</si>
  <si>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</si>
  <si>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</si>
  <si>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</si>
  <si>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</si>
  <si>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</si>
  <si>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</si>
  <si>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</si>
  <si>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</si>
  <si>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</si>
  <si>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</si>
  <si>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</si>
  <si>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</si>
  <si>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</si>
  <si>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</si>
  <si>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</si>
  <si>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</si>
  <si>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</si>
  <si>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</si>
  <si>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</si>
  <si>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</si>
  <si>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</si>
  <si>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</si>
  <si>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</si>
  <si>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</si>
  <si>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</si>
  <si>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</si>
  <si>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</si>
  <si>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</si>
  <si>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</si>
  <si>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</si>
  <si>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</si>
  <si>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</si>
  <si>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</si>
  <si>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</si>
  <si>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</si>
  <si>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</si>
  <si>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</si>
  <si>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</si>
  <si>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</si>
  <si>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</si>
  <si>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</si>
  <si>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</si>
  <si>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</si>
  <si>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</si>
  <si>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</si>
  <si>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</si>
  <si>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</si>
  <si>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</si>
  <si>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</si>
  <si>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</si>
  <si>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</si>
  <si>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</si>
  <si>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</si>
  <si>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</si>
  <si>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</si>
  <si>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</si>
  <si>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</si>
  <si>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</si>
  <si>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</si>
  <si>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</si>
  <si>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</si>
  <si>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</si>
  <si>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</si>
  <si>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</si>
  <si>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</si>
  <si>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</si>
  <si>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</si>
  <si>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</si>
  <si>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</si>
  <si>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</si>
  <si>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</si>
  <si>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</si>
  <si>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</si>
  <si>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</si>
  <si>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</si>
  <si>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</si>
  <si>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</si>
  <si>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</si>
  <si>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</si>
  <si>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</si>
  <si>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</si>
  <si>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</si>
  <si>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</si>
  <si>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</si>
  <si>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</si>
  <si>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</si>
  <si>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</si>
  <si>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</si>
  <si>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</si>
  <si>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</si>
  <si>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</si>
  <si>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</si>
  <si>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</si>
  <si>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</si>
  <si>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</si>
  <si>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</si>
  <si>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</si>
  <si>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</si>
  <si>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</si>
  <si>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</si>
  <si>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</si>
  <si>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</si>
  <si>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</si>
  <si>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</si>
  <si>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</si>
  <si>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</si>
  <si>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</si>
  <si>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</si>
  <si>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</si>
  <si>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</si>
  <si>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</si>
  <si>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</si>
  <si>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</si>
  <si>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</si>
  <si>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</si>
  <si>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</si>
  <si>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</si>
  <si>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</si>
  <si>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</si>
  <si>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</si>
  <si>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</si>
  <si>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</si>
  <si>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</si>
  <si>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</si>
  <si>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</si>
  <si>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</si>
  <si>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</si>
  <si>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</si>
  <si>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</si>
  <si>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</si>
  <si>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</si>
  <si>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</si>
  <si>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</si>
  <si>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</si>
  <si>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</si>
  <si>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</si>
  <si>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</si>
  <si>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</si>
  <si>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</si>
  <si>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</si>
  <si>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</si>
  <si>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</si>
  <si>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</si>
  <si>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</si>
  <si>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</si>
  <si>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</si>
  <si>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</si>
  <si>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</si>
  <si>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</si>
  <si>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</si>
  <si>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</si>
  <si>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</si>
  <si>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</si>
  <si>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</si>
  <si>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</si>
  <si>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</si>
  <si>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</si>
  <si>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</si>
  <si>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</si>
  <si>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</si>
  <si>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</si>
  <si>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</si>
  <si>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</si>
  <si>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</si>
  <si>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</si>
  <si>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</si>
  <si>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</si>
  <si>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</si>
  <si>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</si>
  <si>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</si>
  <si>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</si>
  <si>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</si>
  <si>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</si>
  <si>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</si>
  <si>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</si>
  <si>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</si>
  <si>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</si>
  <si>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</si>
  <si>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</si>
  <si>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</si>
  <si>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</si>
  <si>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</si>
  <si>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</si>
  <si>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</si>
  <si>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</si>
  <si>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</si>
  <si>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</si>
  <si>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</si>
  <si>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</si>
  <si>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</si>
  <si>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</si>
  <si>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</si>
  <si>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</si>
  <si>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</si>
  <si>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</si>
  <si>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</si>
  <si>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</si>
  <si>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</si>
  <si>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</si>
  <si>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</si>
  <si>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</si>
  <si>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</si>
  <si>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</si>
  <si>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</si>
  <si>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</si>
  <si>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</si>
  <si>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</si>
  <si>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</si>
  <si>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</si>
  <si>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</si>
  <si>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</si>
  <si>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</si>
  <si>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</si>
  <si>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</si>
  <si>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</si>
  <si>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</si>
  <si>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</si>
  <si>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</si>
  <si>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</si>
  <si>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</si>
  <si>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</si>
  <si>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</si>
  <si>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</si>
  <si>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</si>
  <si>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</si>
  <si>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</si>
  <si>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</si>
  <si>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</si>
  <si>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</si>
  <si>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</si>
  <si>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</si>
  <si>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</si>
  <si>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</si>
  <si>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</si>
  <si>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</si>
  <si>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</si>
  <si>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</si>
  <si>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</si>
  <si>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</si>
  <si>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</si>
  <si>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</si>
  <si>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</si>
  <si>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</si>
  <si>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</si>
  <si>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</si>
  <si>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</si>
  <si>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</si>
  <si>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</si>
  <si>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</si>
  <si>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</si>
  <si>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</si>
  <si>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</si>
  <si>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</si>
  <si>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</si>
  <si>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</si>
  <si>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</si>
  <si>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</si>
  <si>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</si>
  <si>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</si>
  <si>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</si>
  <si>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</si>
  <si>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</si>
  <si>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</si>
  <si>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</si>
  <si>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</si>
  <si>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</si>
  <si>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</si>
  <si>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</si>
  <si>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</si>
  <si>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</si>
  <si>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</si>
  <si>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</si>
  <si>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</si>
  <si>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</si>
  <si>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</si>
  <si>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</si>
  <si>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</si>
  <si>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</si>
  <si>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</si>
  <si>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</si>
  <si>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</si>
  <si>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</si>
  <si>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</si>
  <si>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</si>
  <si>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</si>
  <si>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</si>
  <si>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</si>
  <si>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</si>
  <si>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</si>
  <si>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</si>
  <si>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</si>
  <si>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</si>
  <si>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</si>
  <si>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</si>
  <si>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</si>
  <si>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</si>
  <si>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</si>
  <si>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</si>
  <si>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</si>
  <si>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</si>
  <si>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</si>
  <si>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</si>
  <si>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</si>
  <si>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</si>
  <si>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</si>
  <si>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</si>
  <si>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</si>
  <si>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</si>
  <si>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</si>
  <si>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</si>
  <si>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</si>
  <si>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</si>
  <si>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</si>
  <si>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</si>
  <si>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</si>
  <si>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</si>
  <si>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</si>
  <si>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</si>
  <si>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</si>
  <si>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</si>
  <si>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</si>
  <si>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</si>
  <si>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</si>
  <si>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</si>
  <si>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</si>
  <si>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</si>
  <si>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</si>
  <si>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</si>
  <si>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</si>
  <si>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</si>
  <si>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</si>
  <si>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</si>
  <si>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</si>
  <si>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</si>
  <si>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</si>
  <si>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</si>
  <si>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</si>
  <si>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</si>
  <si>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</si>
  <si>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</si>
  <si>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</si>
  <si>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</si>
  <si>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</si>
  <si>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</si>
  <si>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</si>
  <si>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</si>
  <si>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</si>
  <si>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</si>
  <si>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</si>
  <si>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</si>
  <si>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</si>
  <si>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</si>
  <si>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</si>
  <si>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</si>
  <si>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</si>
  <si>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</si>
  <si>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</si>
  <si>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</si>
  <si>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</si>
  <si>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</si>
  <si>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</si>
  <si>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</si>
  <si>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</si>
  <si>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</si>
  <si>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</si>
  <si>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</si>
  <si>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</si>
  <si>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</si>
  <si>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</si>
  <si>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</si>
  <si>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</si>
  <si>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</si>
  <si>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</si>
  <si>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</si>
  <si>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</si>
  <si>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</si>
  <si>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</si>
  <si>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</si>
  <si>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</si>
  <si>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</si>
  <si>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</si>
  <si>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</si>
  <si>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</si>
  <si>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</si>
  <si>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</si>
  <si>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</si>
  <si>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</si>
  <si>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</si>
  <si>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</si>
  <si>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</si>
  <si>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</si>
  <si>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</si>
  <si>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</si>
  <si>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</si>
  <si>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</si>
  <si>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</si>
  <si>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</si>
  <si>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</si>
  <si>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</si>
  <si>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</si>
  <si>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</si>
  <si>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</si>
  <si>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</si>
  <si>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</si>
  <si>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</si>
  <si>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</si>
  <si>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</si>
  <si>
    <t>(4912)聯德53張</t>
    <phoneticPr fontId="1" type="noConversion"/>
  </si>
  <si>
    <t>通訊行認列剩餘10萬  投資通訊行(品讚總部)(總共63.5萬, 我37.5跟我姊6, 維修20)</t>
    <phoneticPr fontId="1" type="noConversion"/>
  </si>
  <si>
    <t>(3068美磊)3張</t>
    <phoneticPr fontId="1" type="noConversion"/>
  </si>
  <si>
    <t>2017信用貸款每月出資轉認股</t>
    <phoneticPr fontId="1" type="noConversion"/>
  </si>
  <si>
    <t>(5289 宜鼎)2張</t>
    <phoneticPr fontId="1" type="noConversion"/>
  </si>
  <si>
    <t>(3068美磊)6張</t>
    <phoneticPr fontId="1" type="noConversion"/>
  </si>
  <si>
    <t>(5289 宜鼎)3張</t>
    <phoneticPr fontId="1" type="noConversion"/>
  </si>
  <si>
    <t>(5289 宜鼎)5張</t>
    <phoneticPr fontId="1" type="noConversion"/>
  </si>
  <si>
    <t>(4119旭富)10張</t>
    <phoneticPr fontId="1" type="noConversion"/>
  </si>
  <si>
    <t>(4958 臻鼎)20張</t>
    <phoneticPr fontId="1" type="noConversion"/>
  </si>
  <si>
    <t>(5289 宜鼎)1張</t>
    <phoneticPr fontId="1" type="noConversion"/>
  </si>
  <si>
    <t>(5289 宜鼎)29張</t>
    <phoneticPr fontId="1" type="noConversion"/>
  </si>
  <si>
    <t>(4958 臻鼎)1張</t>
    <phoneticPr fontId="1" type="noConversion"/>
  </si>
  <si>
    <t>(4958 臻鼎)12張</t>
    <phoneticPr fontId="1" type="noConversion"/>
  </si>
  <si>
    <t>(3068 美磊)2張</t>
    <phoneticPr fontId="1" type="noConversion"/>
  </si>
  <si>
    <t>(3068 美磊)1張</t>
    <phoneticPr fontId="1" type="noConversion"/>
  </si>
  <si>
    <t>湯石未實現損益</t>
    <phoneticPr fontId="1" type="noConversion"/>
  </si>
  <si>
    <t>旭富未實現損益</t>
    <phoneticPr fontId="1" type="noConversion"/>
  </si>
  <si>
    <t>(3068 美磊)4張</t>
    <phoneticPr fontId="1" type="noConversion"/>
  </si>
  <si>
    <t>(3068 美磊)2張</t>
    <phoneticPr fontId="1" type="noConversion"/>
  </si>
  <si>
    <t>(3068 美磊)1張</t>
    <phoneticPr fontId="1" type="noConversion"/>
  </si>
  <si>
    <t>(3068 美磊)3張</t>
    <phoneticPr fontId="1" type="noConversion"/>
  </si>
  <si>
    <t>(4958 臻鼎)6張</t>
    <phoneticPr fontId="1" type="noConversion"/>
  </si>
  <si>
    <t>(4119旭富)3張</t>
    <phoneticPr fontId="1" type="noConversion"/>
  </si>
  <si>
    <t>(5289 宜鼎)5張</t>
    <phoneticPr fontId="1" type="noConversion"/>
  </si>
  <si>
    <t>(4119旭富)6張</t>
    <phoneticPr fontId="1" type="noConversion"/>
  </si>
  <si>
    <t>(3068 美磊)6張</t>
    <phoneticPr fontId="1" type="noConversion"/>
  </si>
  <si>
    <t>(589 宜鼎)6張</t>
    <phoneticPr fontId="1" type="noConversion"/>
  </si>
  <si>
    <t>(4119旭富)9張</t>
    <phoneticPr fontId="1" type="noConversion"/>
  </si>
  <si>
    <t>(589 宜鼎)23張</t>
    <phoneticPr fontId="1" type="noConversion"/>
  </si>
  <si>
    <t>(6202 盛群)3張</t>
    <phoneticPr fontId="1" type="noConversion"/>
  </si>
  <si>
    <t>(6202 盛群)26張</t>
    <phoneticPr fontId="1" type="noConversion"/>
  </si>
  <si>
    <t>(3068 美磊)9張</t>
    <phoneticPr fontId="1" type="noConversion"/>
  </si>
  <si>
    <t>(5289 宜鼎)20張</t>
    <phoneticPr fontId="1" type="noConversion"/>
  </si>
  <si>
    <t>(3068 美磊)14張</t>
    <phoneticPr fontId="1" type="noConversion"/>
  </si>
  <si>
    <t>(6202 盛群)2張</t>
    <phoneticPr fontId="1" type="noConversion"/>
  </si>
  <si>
    <t>(4912)旭富9張借券收入</t>
    <phoneticPr fontId="1" type="noConversion"/>
  </si>
  <si>
    <t>美磊未實現損益</t>
    <phoneticPr fontId="1" type="noConversion"/>
  </si>
  <si>
    <t>稅金</t>
    <phoneticPr fontId="1" type="noConversion"/>
  </si>
  <si>
    <t>退稅</t>
    <phoneticPr fontId="1" type="noConversion"/>
  </si>
  <si>
    <t>(5289 宜鼎)10張</t>
    <phoneticPr fontId="1" type="noConversion"/>
  </si>
  <si>
    <t>(3068 美磊)10張</t>
    <phoneticPr fontId="1" type="noConversion"/>
  </si>
  <si>
    <t>(3068 美磊)15張</t>
    <phoneticPr fontId="1" type="noConversion"/>
  </si>
  <si>
    <t>(3068 美磊)6張</t>
    <phoneticPr fontId="1" type="noConversion"/>
  </si>
  <si>
    <t>(3068 美磊)4張</t>
    <phoneticPr fontId="1" type="noConversion"/>
  </si>
  <si>
    <t>(3068 美磊)5張</t>
    <phoneticPr fontId="1" type="noConversion"/>
  </si>
  <si>
    <t>(3481 群創)3張</t>
    <phoneticPr fontId="1" type="noConversion"/>
  </si>
  <si>
    <t>購買汪汪關鍵點資料</t>
    <phoneticPr fontId="1" type="noConversion"/>
  </si>
  <si>
    <t>(2428 興勤)1張</t>
    <phoneticPr fontId="1" type="noConversion"/>
  </si>
  <si>
    <t>(8091 翔名)2張</t>
    <phoneticPr fontId="1" type="noConversion"/>
  </si>
  <si>
    <t>(8091 翔名)1張</t>
    <phoneticPr fontId="1" type="noConversion"/>
  </si>
  <si>
    <t>翔名未實現損益</t>
    <phoneticPr fontId="1" type="noConversion"/>
  </si>
  <si>
    <t>(4972湯石)8張</t>
    <phoneticPr fontId="1" type="noConversion"/>
  </si>
  <si>
    <t>(4972湯石)2張</t>
    <phoneticPr fontId="1" type="noConversion"/>
  </si>
  <si>
    <t>湯石</t>
    <phoneticPr fontId="1" type="noConversion"/>
  </si>
  <si>
    <t>美磊</t>
    <phoneticPr fontId="1" type="noConversion"/>
  </si>
  <si>
    <t>旭富</t>
    <phoneticPr fontId="1" type="noConversion"/>
  </si>
  <si>
    <t>湯石</t>
    <phoneticPr fontId="1" type="noConversion"/>
  </si>
  <si>
    <t>宜鼎</t>
    <phoneticPr fontId="1" type="noConversion"/>
  </si>
  <si>
    <t>盛群</t>
    <phoneticPr fontId="1" type="noConversion"/>
  </si>
  <si>
    <t>臻鼎</t>
    <phoneticPr fontId="1" type="noConversion"/>
  </si>
  <si>
    <t>臻鼎</t>
  </si>
  <si>
    <t>(5289 宜鼎)2張</t>
    <phoneticPr fontId="1" type="noConversion"/>
  </si>
  <si>
    <t>宜鼎未實現損益</t>
    <phoneticPr fontId="1" type="noConversion"/>
  </si>
  <si>
    <t>(8091 翔名)4張</t>
    <phoneticPr fontId="1" type="noConversion"/>
  </si>
  <si>
    <t>(6496 科懋)1張</t>
    <phoneticPr fontId="1" type="noConversion"/>
  </si>
  <si>
    <t>茂訊未實現損益</t>
    <phoneticPr fontId="1" type="noConversion"/>
  </si>
  <si>
    <t>(3213 茂訊)1張</t>
    <phoneticPr fontId="1" type="noConversion"/>
  </si>
  <si>
    <t>(3068 美磊)3張</t>
    <phoneticPr fontId="1" type="noConversion"/>
  </si>
  <si>
    <t>湯石</t>
    <phoneticPr fontId="1" type="noConversion"/>
  </si>
  <si>
    <t>(3068 美磊)4張</t>
    <phoneticPr fontId="1" type="noConversion"/>
  </si>
  <si>
    <t>(3418 群創)1張</t>
    <phoneticPr fontId="1" type="noConversion"/>
  </si>
  <si>
    <t>琬婷</t>
    <phoneticPr fontId="1" type="noConversion"/>
  </si>
  <si>
    <t>大妹</t>
    <phoneticPr fontId="1" type="noConversion"/>
  </si>
  <si>
    <t>我</t>
    <phoneticPr fontId="1" type="noConversion"/>
  </si>
  <si>
    <t>小妹</t>
    <phoneticPr fontId="1" type="noConversion"/>
  </si>
  <si>
    <t>(3481 群創)1張</t>
    <phoneticPr fontId="1" type="noConversion"/>
  </si>
  <si>
    <t>群創未實現損益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</si>
</sst>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股票獲利曲線!$B$2:$B$9</c:f>
              <c:numCache>
                <c:formatCode>General</c:formatCode>
                <c:ptCount val="8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  <c:pt idx="7">
                  <c:v>1885333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股票獲利曲線!$D$2:$D$9</c:f>
              <c:numCache>
                <c:formatCode>General</c:formatCode>
                <c:ptCount val="8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  <c:pt idx="7">
                  <c:v>4571087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股票獲利曲線!$C$2:$C$9</c:f>
              <c:numCache>
                <c:formatCode>General</c:formatCode>
                <c:ptCount val="8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  <c:pt idx="7">
                  <c:v>0</c:v>
                </c:pt>
              </c:numCache>
            </c:numRef>
          </c:val>
        </c:ser>
        <c:marker val="1"/>
        <c:axId val="153089536"/>
        <c:axId val="153091072"/>
      </c:lineChart>
      <c:catAx>
        <c:axId val="153089536"/>
        <c:scaling>
          <c:orientation val="minMax"/>
        </c:scaling>
        <c:axPos val="b"/>
        <c:tickLblPos val="nextTo"/>
        <c:crossAx val="153091072"/>
        <c:crosses val="autoZero"/>
        <c:auto val="1"/>
        <c:lblAlgn val="ctr"/>
        <c:lblOffset val="100"/>
      </c:catAx>
      <c:valAx>
        <c:axId val="153091072"/>
        <c:scaling>
          <c:orientation val="minMax"/>
        </c:scaling>
        <c:axPos val="l"/>
        <c:majorGridlines/>
        <c:numFmt formatCode="General" sourceLinked="1"/>
        <c:tickLblPos val="nextTo"/>
        <c:crossAx val="153089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14"/>
  <sheetViews>
    <sheetView tabSelected="1" topLeftCell="A436" zoomScale="85" zoomScaleNormal="85" workbookViewId="0">
      <selection activeCell="N445" sqref="N445"/>
    </sheetView>
  </sheetViews>
  <sheetFormatPr defaultRowHeight="16.5"/>
  <cols>
    <col min="1" max="1" width="15.375" customWidth="1"/>
    <col min="2" max="2" width="10" bestFit="1" customWidth="1"/>
    <col min="3" max="3" width="10.87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6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  <c r="M1" s="2" t="s">
        <v>507</v>
      </c>
      <c r="N1" s="2" t="s">
        <v>509</v>
      </c>
      <c r="O1" s="2" t="s">
        <v>508</v>
      </c>
      <c r="P1" s="2" t="s">
        <v>510</v>
      </c>
    </row>
    <row r="2" spans="1:16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6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6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6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6">
      <c r="A6" s="1">
        <v>40755</v>
      </c>
      <c r="K6" s="12" t="s">
        <v>51</v>
      </c>
    </row>
    <row r="7" spans="1:16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6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6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6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6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6">
      <c r="A12" s="1">
        <v>40981</v>
      </c>
      <c r="B12">
        <v>-31044</v>
      </c>
      <c r="F12" t="s">
        <v>72</v>
      </c>
      <c r="K12" t="s">
        <v>83</v>
      </c>
    </row>
    <row r="13" spans="1:16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6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6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6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407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409</v>
      </c>
    </row>
    <row r="331" spans="1:12">
      <c r="A331" s="1">
        <v>42611</v>
      </c>
      <c r="D331" s="1"/>
      <c r="J331">
        <v>93117</v>
      </c>
      <c r="K331" t="s">
        <v>410</v>
      </c>
    </row>
    <row r="332" spans="1:12">
      <c r="A332" s="1">
        <v>42611</v>
      </c>
      <c r="D332" s="1"/>
      <c r="J332">
        <v>30941</v>
      </c>
      <c r="K332" t="s">
        <v>410</v>
      </c>
    </row>
    <row r="333" spans="1:12">
      <c r="A333" s="1">
        <v>42611</v>
      </c>
      <c r="D333" s="1"/>
      <c r="J333">
        <v>158</v>
      </c>
      <c r="K333" t="s">
        <v>410</v>
      </c>
    </row>
    <row r="334" spans="1:12">
      <c r="A334" s="1">
        <v>42602</v>
      </c>
      <c r="D334" s="1"/>
      <c r="J334">
        <v>2000</v>
      </c>
      <c r="K334" t="s">
        <v>414</v>
      </c>
    </row>
    <row r="335" spans="1:12">
      <c r="A335" s="1">
        <v>42636</v>
      </c>
      <c r="D335" s="1"/>
      <c r="J335">
        <v>3093</v>
      </c>
      <c r="K335" t="s">
        <v>418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419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s="12" t="s">
        <v>426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425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408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429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430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433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42548</v>
      </c>
      <c r="B357">
        <v>418697</v>
      </c>
      <c r="C357" s="5">
        <f>B357/5</f>
        <v>83739.399999999994</v>
      </c>
      <c r="D357" s="1"/>
      <c r="F357" t="s">
        <v>7</v>
      </c>
      <c r="K357" t="s">
        <v>326</v>
      </c>
      <c r="L357">
        <v>5</v>
      </c>
    </row>
    <row r="358" spans="1:12">
      <c r="A358" s="1"/>
      <c r="B358">
        <f>SUM(B349:B357)</f>
        <v>4819176</v>
      </c>
      <c r="C358" s="5"/>
      <c r="D358" s="1">
        <v>42776</v>
      </c>
      <c r="E358">
        <v>6377309</v>
      </c>
      <c r="J358">
        <f>E358-B358</f>
        <v>1558133</v>
      </c>
      <c r="K358" t="s">
        <v>435</v>
      </c>
    </row>
    <row r="359" spans="1:12">
      <c r="A359" s="1">
        <v>42552</v>
      </c>
      <c r="B359" s="5">
        <v>375000</v>
      </c>
      <c r="J359">
        <v>-100000</v>
      </c>
      <c r="K359" s="12" t="s">
        <v>436</v>
      </c>
    </row>
    <row r="360" spans="1:12">
      <c r="A360" s="1">
        <v>42783</v>
      </c>
      <c r="B360" s="5">
        <v>765654</v>
      </c>
      <c r="C360">
        <f>B360/10</f>
        <v>76565.399999999994</v>
      </c>
      <c r="D360" s="1">
        <v>42783</v>
      </c>
      <c r="E360">
        <v>779097</v>
      </c>
      <c r="F360" t="s">
        <v>7</v>
      </c>
      <c r="J360">
        <f>E360-B360</f>
        <v>13443</v>
      </c>
      <c r="K360" t="s">
        <v>443</v>
      </c>
      <c r="L360">
        <v>10</v>
      </c>
    </row>
    <row r="361" spans="1:12">
      <c r="A361" s="1">
        <v>42774</v>
      </c>
      <c r="B361" s="5">
        <v>74853</v>
      </c>
      <c r="C361">
        <f>B361/1</f>
        <v>74853</v>
      </c>
      <c r="D361" s="1">
        <v>42786</v>
      </c>
      <c r="E361">
        <v>78696</v>
      </c>
      <c r="F361" t="s">
        <v>7</v>
      </c>
      <c r="J361">
        <f>E361-B361</f>
        <v>3843</v>
      </c>
      <c r="K361" t="s">
        <v>408</v>
      </c>
      <c r="L361">
        <v>1</v>
      </c>
    </row>
    <row r="362" spans="1:12">
      <c r="A362" s="1">
        <v>42772</v>
      </c>
      <c r="B362" s="5">
        <v>90064</v>
      </c>
      <c r="C362">
        <f>B362/1</f>
        <v>90064</v>
      </c>
      <c r="D362" s="1">
        <v>42787</v>
      </c>
      <c r="E362">
        <v>90564</v>
      </c>
      <c r="F362" t="s">
        <v>7</v>
      </c>
      <c r="J362">
        <f>E362-B362</f>
        <v>500</v>
      </c>
      <c r="K362" t="s">
        <v>445</v>
      </c>
      <c r="L362">
        <v>1</v>
      </c>
    </row>
    <row r="363" spans="1:12">
      <c r="A363" s="1">
        <v>42772</v>
      </c>
      <c r="B363" s="5">
        <v>130292</v>
      </c>
      <c r="C363">
        <f>B363/2</f>
        <v>65146</v>
      </c>
      <c r="F363" t="s">
        <v>7</v>
      </c>
      <c r="K363" t="s">
        <v>431</v>
      </c>
      <c r="L363">
        <v>2</v>
      </c>
    </row>
    <row r="364" spans="1:12">
      <c r="A364" s="1">
        <v>42772</v>
      </c>
      <c r="B364" s="5">
        <v>131093</v>
      </c>
      <c r="C364">
        <f>B364/2</f>
        <v>65546.5</v>
      </c>
      <c r="F364" t="s">
        <v>7</v>
      </c>
      <c r="K364" t="s">
        <v>431</v>
      </c>
      <c r="L364">
        <v>2</v>
      </c>
    </row>
    <row r="365" spans="1:12">
      <c r="A365" s="1">
        <v>42779</v>
      </c>
      <c r="B365" s="5">
        <v>64946</v>
      </c>
      <c r="C365">
        <f>B365/1</f>
        <v>64946</v>
      </c>
      <c r="F365" t="s">
        <v>7</v>
      </c>
      <c r="K365" t="s">
        <v>432</v>
      </c>
      <c r="L365">
        <v>1</v>
      </c>
    </row>
    <row r="366" spans="1:12">
      <c r="A366" s="1">
        <v>42779</v>
      </c>
      <c r="B366" s="5">
        <v>193938</v>
      </c>
      <c r="C366">
        <f>B366/3</f>
        <v>64646</v>
      </c>
      <c r="F366" t="s">
        <v>7</v>
      </c>
      <c r="K366" t="s">
        <v>437</v>
      </c>
      <c r="L366">
        <v>3</v>
      </c>
    </row>
    <row r="367" spans="1:12">
      <c r="A367" s="1">
        <v>42780</v>
      </c>
      <c r="B367" s="5">
        <v>389143</v>
      </c>
      <c r="C367">
        <f>B367/6</f>
        <v>64857.166666666664</v>
      </c>
      <c r="F367" t="s">
        <v>7</v>
      </c>
      <c r="K367" t="s">
        <v>440</v>
      </c>
      <c r="L367">
        <v>6</v>
      </c>
    </row>
    <row r="368" spans="1:12">
      <c r="A368" s="1"/>
      <c r="B368" s="5">
        <f>SUM(B363:B367)</f>
        <v>909412</v>
      </c>
      <c r="D368" s="1">
        <v>42787</v>
      </c>
      <c r="E368">
        <v>922563</v>
      </c>
      <c r="J368">
        <f>E368-B368</f>
        <v>13151</v>
      </c>
      <c r="K368" t="s">
        <v>490</v>
      </c>
    </row>
    <row r="369" spans="1:12">
      <c r="A369" s="1">
        <v>42768</v>
      </c>
      <c r="B369" s="5">
        <v>128091</v>
      </c>
      <c r="C369">
        <f>B369/2</f>
        <v>64045.5</v>
      </c>
      <c r="F369" t="s">
        <v>7</v>
      </c>
      <c r="K369" t="s">
        <v>431</v>
      </c>
      <c r="L369">
        <v>2</v>
      </c>
    </row>
    <row r="370" spans="1:12">
      <c r="A370" s="1">
        <v>42769</v>
      </c>
      <c r="B370" s="5">
        <v>64145</v>
      </c>
      <c r="C370">
        <f>B370/1</f>
        <v>64145</v>
      </c>
      <c r="F370" t="s">
        <v>7</v>
      </c>
      <c r="K370" t="s">
        <v>432</v>
      </c>
      <c r="L370">
        <v>1</v>
      </c>
    </row>
    <row r="371" spans="1:12">
      <c r="A371" s="1">
        <v>42779</v>
      </c>
      <c r="B371" s="5">
        <v>191836</v>
      </c>
      <c r="C371">
        <f>B371/3</f>
        <v>63945.333333333336</v>
      </c>
      <c r="F371" t="s">
        <v>7</v>
      </c>
      <c r="K371" t="s">
        <v>437</v>
      </c>
      <c r="L371">
        <v>3</v>
      </c>
    </row>
    <row r="372" spans="1:12">
      <c r="A372" s="1"/>
      <c r="B372" s="5">
        <f>SUM(B369:B371)</f>
        <v>384072</v>
      </c>
      <c r="D372" s="1">
        <v>42788</v>
      </c>
      <c r="E372">
        <v>424945</v>
      </c>
      <c r="J372">
        <f>E372-B372</f>
        <v>40873</v>
      </c>
      <c r="K372" t="s">
        <v>490</v>
      </c>
    </row>
    <row r="373" spans="1:12">
      <c r="A373" s="1">
        <v>42796</v>
      </c>
      <c r="B373" s="5">
        <v>66747</v>
      </c>
      <c r="C373">
        <f>B373/1</f>
        <v>66747</v>
      </c>
      <c r="D373" s="1">
        <v>42800</v>
      </c>
      <c r="E373">
        <v>68247</v>
      </c>
      <c r="F373" t="s">
        <v>7</v>
      </c>
      <c r="J373">
        <f>E373-B373</f>
        <v>1500</v>
      </c>
      <c r="K373" t="s">
        <v>450</v>
      </c>
      <c r="L373">
        <v>1</v>
      </c>
    </row>
    <row r="374" spans="1:12">
      <c r="A374" s="1">
        <v>42789</v>
      </c>
      <c r="B374" s="5">
        <v>138498</v>
      </c>
      <c r="C374">
        <f>B374/2</f>
        <v>69249</v>
      </c>
      <c r="D374" s="1">
        <v>42803</v>
      </c>
      <c r="E374">
        <v>142271</v>
      </c>
      <c r="F374" t="s">
        <v>7</v>
      </c>
      <c r="J374">
        <f>E374-B374</f>
        <v>3773</v>
      </c>
      <c r="K374" t="s">
        <v>449</v>
      </c>
      <c r="L374">
        <v>2</v>
      </c>
    </row>
    <row r="375" spans="1:12">
      <c r="A375" s="1">
        <v>42663</v>
      </c>
      <c r="B375" s="5">
        <v>34624</v>
      </c>
      <c r="C375" s="5">
        <f>B375/1</f>
        <v>34624</v>
      </c>
      <c r="D375" s="1"/>
      <c r="E375" s="5"/>
      <c r="F375" t="s">
        <v>7</v>
      </c>
      <c r="K375" t="s">
        <v>331</v>
      </c>
      <c r="L375">
        <v>1</v>
      </c>
    </row>
    <row r="376" spans="1:12">
      <c r="A376" s="1">
        <v>42746</v>
      </c>
      <c r="B376" s="5">
        <v>34424</v>
      </c>
      <c r="C376" s="5">
        <f>B376/1</f>
        <v>34424</v>
      </c>
      <c r="D376" s="4"/>
      <c r="E376" s="5"/>
      <c r="F376" t="s">
        <v>7</v>
      </c>
      <c r="K376" t="s">
        <v>331</v>
      </c>
      <c r="L376">
        <v>1</v>
      </c>
    </row>
    <row r="377" spans="1:12">
      <c r="A377" s="1">
        <v>42773</v>
      </c>
      <c r="B377" s="5">
        <v>33523</v>
      </c>
      <c r="C377" s="5">
        <f>B377/1</f>
        <v>33523</v>
      </c>
      <c r="D377" s="4"/>
      <c r="E377" s="5"/>
      <c r="F377" t="s">
        <v>7</v>
      </c>
      <c r="K377" t="s">
        <v>331</v>
      </c>
      <c r="L377">
        <v>1</v>
      </c>
    </row>
    <row r="378" spans="1:12">
      <c r="A378" s="1">
        <v>42807</v>
      </c>
      <c r="B378" s="5">
        <v>34580</v>
      </c>
      <c r="C378" s="5">
        <f>B378/1</f>
        <v>34580</v>
      </c>
      <c r="D378" s="4"/>
      <c r="E378" s="5"/>
      <c r="F378" t="s">
        <v>7</v>
      </c>
      <c r="K378" t="s">
        <v>331</v>
      </c>
      <c r="L378">
        <v>1</v>
      </c>
    </row>
    <row r="379" spans="1:12">
      <c r="A379" s="1">
        <v>42241</v>
      </c>
      <c r="B379" s="5">
        <v>65856</v>
      </c>
      <c r="C379" s="5">
        <f>B379/2</f>
        <v>32928</v>
      </c>
      <c r="D379" s="4"/>
      <c r="E379" s="5"/>
      <c r="F379" t="s">
        <v>7</v>
      </c>
      <c r="K379" t="s">
        <v>341</v>
      </c>
      <c r="L379">
        <v>2</v>
      </c>
    </row>
    <row r="380" spans="1:12">
      <c r="A380" s="1">
        <v>42249</v>
      </c>
      <c r="B380" s="5">
        <v>135315</v>
      </c>
      <c r="C380" s="5">
        <f>B380/4</f>
        <v>33828.75</v>
      </c>
      <c r="D380" s="4"/>
      <c r="E380" s="5"/>
      <c r="F380" t="s">
        <v>7</v>
      </c>
      <c r="K380" t="s">
        <v>348</v>
      </c>
      <c r="L380">
        <v>4</v>
      </c>
    </row>
    <row r="381" spans="1:12">
      <c r="A381" s="1"/>
      <c r="B381" s="5"/>
      <c r="C381" s="5"/>
      <c r="D381" s="4">
        <v>42808</v>
      </c>
      <c r="E381" s="5">
        <v>174072</v>
      </c>
      <c r="K381" t="s">
        <v>489</v>
      </c>
    </row>
    <row r="382" spans="1:12">
      <c r="A382" s="1"/>
      <c r="B382" s="5"/>
      <c r="C382" s="5"/>
      <c r="D382" s="4">
        <v>42808</v>
      </c>
      <c r="E382" s="5">
        <v>139282</v>
      </c>
      <c r="K382" t="s">
        <v>489</v>
      </c>
    </row>
    <row r="383" spans="1:12">
      <c r="A383" s="1"/>
      <c r="B383" s="5"/>
      <c r="C383" s="5"/>
      <c r="D383" s="4">
        <v>42808</v>
      </c>
      <c r="E383" s="5">
        <v>34817</v>
      </c>
      <c r="K383" t="s">
        <v>489</v>
      </c>
    </row>
    <row r="384" spans="1:12">
      <c r="A384" s="1"/>
      <c r="B384" s="5">
        <f>SUM(B375:B380)</f>
        <v>338322</v>
      </c>
      <c r="C384" s="5"/>
      <c r="D384" s="4">
        <v>42808</v>
      </c>
      <c r="E384" s="5">
        <f>SUM(E381:E383)</f>
        <v>348171</v>
      </c>
      <c r="J384">
        <f t="shared" ref="J384:J389" si="18">E384-B384</f>
        <v>9849</v>
      </c>
      <c r="K384" t="s">
        <v>489</v>
      </c>
    </row>
    <row r="385" spans="1:12">
      <c r="A385" s="1">
        <v>42808</v>
      </c>
      <c r="B385" s="5">
        <v>282649</v>
      </c>
      <c r="C385">
        <f>B385/4</f>
        <v>70662.25</v>
      </c>
      <c r="D385" s="4">
        <v>42809</v>
      </c>
      <c r="E385" s="5">
        <v>287679</v>
      </c>
      <c r="F385" t="s">
        <v>7</v>
      </c>
      <c r="J385">
        <f t="shared" si="18"/>
        <v>5030</v>
      </c>
      <c r="K385" t="s">
        <v>453</v>
      </c>
      <c r="L385">
        <v>4</v>
      </c>
    </row>
    <row r="386" spans="1:12">
      <c r="A386" s="1">
        <v>42657</v>
      </c>
      <c r="B386" s="5">
        <v>35125</v>
      </c>
      <c r="C386" s="5">
        <f>B386/1</f>
        <v>35125</v>
      </c>
      <c r="D386" s="4">
        <v>42810</v>
      </c>
      <c r="E386" s="5">
        <v>36167</v>
      </c>
      <c r="F386" t="s">
        <v>7</v>
      </c>
      <c r="J386">
        <f t="shared" si="18"/>
        <v>1042</v>
      </c>
      <c r="K386" t="s">
        <v>331</v>
      </c>
      <c r="L386">
        <v>1</v>
      </c>
    </row>
    <row r="387" spans="1:12">
      <c r="A387" s="1">
        <v>42811</v>
      </c>
      <c r="B387" s="5">
        <v>141901</v>
      </c>
      <c r="C387">
        <f>B387/2</f>
        <v>70950.5</v>
      </c>
      <c r="D387" s="1">
        <v>42811</v>
      </c>
      <c r="E387" s="5">
        <v>142470</v>
      </c>
      <c r="F387" t="s">
        <v>7</v>
      </c>
      <c r="J387">
        <f t="shared" si="18"/>
        <v>569</v>
      </c>
      <c r="K387" t="s">
        <v>454</v>
      </c>
      <c r="L387">
        <v>2</v>
      </c>
    </row>
    <row r="388" spans="1:12">
      <c r="A388" s="1">
        <v>42580</v>
      </c>
      <c r="B388" s="5">
        <v>435207</v>
      </c>
      <c r="C388">
        <f>B388/5</f>
        <v>87041.4</v>
      </c>
      <c r="D388" s="1">
        <v>42814</v>
      </c>
      <c r="E388" s="5">
        <v>390877</v>
      </c>
      <c r="F388" t="s">
        <v>7</v>
      </c>
      <c r="J388">
        <f t="shared" si="18"/>
        <v>-44330</v>
      </c>
      <c r="K388" t="s">
        <v>406</v>
      </c>
      <c r="L388">
        <v>5</v>
      </c>
    </row>
    <row r="389" spans="1:12">
      <c r="A389" s="1">
        <v>42657</v>
      </c>
      <c r="B389" s="5">
        <v>35125</v>
      </c>
      <c r="C389" s="5">
        <f>B389/1</f>
        <v>35125</v>
      </c>
      <c r="D389" s="1">
        <v>42814</v>
      </c>
      <c r="E389" s="5">
        <v>36359</v>
      </c>
      <c r="F389" t="s">
        <v>7</v>
      </c>
      <c r="J389">
        <f t="shared" si="18"/>
        <v>1234</v>
      </c>
      <c r="K389" t="s">
        <v>331</v>
      </c>
      <c r="L389">
        <v>1</v>
      </c>
    </row>
    <row r="390" spans="1:12">
      <c r="A390" s="1">
        <v>42550</v>
      </c>
      <c r="B390" s="5">
        <v>291153</v>
      </c>
      <c r="C390">
        <f>B390/3</f>
        <v>97051</v>
      </c>
      <c r="K390" t="s">
        <v>458</v>
      </c>
      <c r="L390">
        <v>3</v>
      </c>
    </row>
    <row r="391" spans="1:12">
      <c r="A391" s="1">
        <v>42580</v>
      </c>
      <c r="B391" s="5">
        <v>85961</v>
      </c>
      <c r="C391">
        <f>B391/1</f>
        <v>85961</v>
      </c>
      <c r="F391" t="s">
        <v>7</v>
      </c>
      <c r="K391" t="s">
        <v>408</v>
      </c>
      <c r="L391">
        <v>1</v>
      </c>
    </row>
    <row r="392" spans="1:12">
      <c r="A392" s="1">
        <v>42600</v>
      </c>
      <c r="B392" s="5">
        <v>85060</v>
      </c>
      <c r="C392">
        <f>B392/1</f>
        <v>85060</v>
      </c>
      <c r="F392" t="s">
        <v>7</v>
      </c>
      <c r="K392" t="s">
        <v>408</v>
      </c>
      <c r="L392">
        <v>1</v>
      </c>
    </row>
    <row r="393" spans="1:12">
      <c r="A393" s="1">
        <v>42639</v>
      </c>
      <c r="B393" s="5">
        <v>88462</v>
      </c>
      <c r="C393">
        <f>B393/1</f>
        <v>88462</v>
      </c>
      <c r="F393" t="s">
        <v>7</v>
      </c>
      <c r="K393" t="s">
        <v>408</v>
      </c>
      <c r="L393">
        <v>1</v>
      </c>
    </row>
    <row r="394" spans="1:12">
      <c r="A394" s="1"/>
      <c r="B394" s="5">
        <f>SUM(B390:B393)</f>
        <v>550636</v>
      </c>
      <c r="D394" s="1">
        <v>42815</v>
      </c>
      <c r="E394">
        <v>464988</v>
      </c>
      <c r="J394">
        <f>E394-B394</f>
        <v>-85648</v>
      </c>
      <c r="K394" t="s">
        <v>491</v>
      </c>
    </row>
    <row r="395" spans="1:12">
      <c r="A395" s="1">
        <v>42786</v>
      </c>
      <c r="B395" s="5">
        <v>75052</v>
      </c>
      <c r="C395">
        <f>B395/1</f>
        <v>75052</v>
      </c>
      <c r="D395" s="1">
        <v>42816</v>
      </c>
      <c r="E395">
        <v>76801</v>
      </c>
      <c r="F395" t="s">
        <v>7</v>
      </c>
      <c r="J395">
        <f>E395-B395</f>
        <v>1749</v>
      </c>
      <c r="K395" t="s">
        <v>447</v>
      </c>
      <c r="L395">
        <v>1</v>
      </c>
    </row>
    <row r="396" spans="1:12">
      <c r="A396" s="1">
        <v>42646</v>
      </c>
      <c r="B396" s="5">
        <v>88763</v>
      </c>
      <c r="C396">
        <f>B396/1</f>
        <v>88763</v>
      </c>
      <c r="D396" s="1">
        <v>42816</v>
      </c>
      <c r="E396">
        <v>76503</v>
      </c>
      <c r="F396" t="s">
        <v>7</v>
      </c>
      <c r="J396">
        <f>E396-B396</f>
        <v>-12260</v>
      </c>
      <c r="K396" t="s">
        <v>408</v>
      </c>
      <c r="L396">
        <v>1</v>
      </c>
    </row>
    <row r="397" spans="1:12">
      <c r="A397" s="1">
        <v>42550</v>
      </c>
      <c r="B397" s="5">
        <v>582306</v>
      </c>
      <c r="C397">
        <f>B397/6</f>
        <v>97051</v>
      </c>
      <c r="D397" s="1">
        <v>42817</v>
      </c>
      <c r="E397">
        <v>458414</v>
      </c>
      <c r="F397" t="s">
        <v>7</v>
      </c>
      <c r="J397">
        <f>E397-B397</f>
        <v>-123892</v>
      </c>
      <c r="K397" t="s">
        <v>460</v>
      </c>
      <c r="L397">
        <v>6</v>
      </c>
    </row>
    <row r="398" spans="1:12">
      <c r="A398" s="1">
        <v>42823</v>
      </c>
      <c r="B398" s="5">
        <v>391345</v>
      </c>
      <c r="C398">
        <f>B398/6</f>
        <v>65224.166666666664</v>
      </c>
      <c r="D398" s="4">
        <v>42823</v>
      </c>
      <c r="E398" s="5">
        <v>397451</v>
      </c>
      <c r="F398" t="s">
        <v>7</v>
      </c>
      <c r="J398">
        <f t="shared" ref="J398" si="19">E398-B398</f>
        <v>6106</v>
      </c>
      <c r="K398" t="s">
        <v>461</v>
      </c>
      <c r="L398">
        <v>6</v>
      </c>
    </row>
    <row r="399" spans="1:12">
      <c r="A399" s="1">
        <v>42830</v>
      </c>
      <c r="B399" s="5">
        <v>68660</v>
      </c>
      <c r="C399">
        <f>B399/1</f>
        <v>68660</v>
      </c>
      <c r="D399" s="1">
        <v>42830</v>
      </c>
      <c r="E399" s="5">
        <v>69032</v>
      </c>
      <c r="F399" t="s">
        <v>7</v>
      </c>
      <c r="J399">
        <f t="shared" ref="J399" si="20">E399-B399</f>
        <v>372</v>
      </c>
      <c r="K399" t="s">
        <v>461</v>
      </c>
      <c r="L399">
        <v>6</v>
      </c>
    </row>
    <row r="400" spans="1:12">
      <c r="A400" s="1">
        <v>42832</v>
      </c>
      <c r="B400" s="5">
        <v>595725</v>
      </c>
      <c r="C400">
        <f>B400/6</f>
        <v>99287.5</v>
      </c>
      <c r="D400" s="1">
        <v>42832</v>
      </c>
      <c r="E400" s="5">
        <v>596587</v>
      </c>
      <c r="F400" t="s">
        <v>7</v>
      </c>
      <c r="J400">
        <f t="shared" ref="J400:J403" si="21">E400-B400</f>
        <v>862</v>
      </c>
      <c r="K400" t="s">
        <v>462</v>
      </c>
      <c r="L400">
        <v>6</v>
      </c>
    </row>
    <row r="401" spans="1:12">
      <c r="A401" s="1">
        <v>42550</v>
      </c>
      <c r="B401" s="5">
        <v>97051</v>
      </c>
      <c r="C401">
        <f>B401/1</f>
        <v>97051</v>
      </c>
      <c r="D401" s="1">
        <v>42835</v>
      </c>
      <c r="E401" s="5">
        <v>74312</v>
      </c>
      <c r="F401" t="s">
        <v>7</v>
      </c>
      <c r="J401">
        <f t="shared" si="21"/>
        <v>-22739</v>
      </c>
      <c r="K401" t="s">
        <v>408</v>
      </c>
      <c r="L401">
        <v>1</v>
      </c>
    </row>
    <row r="402" spans="1:12">
      <c r="A402" s="1">
        <v>42418</v>
      </c>
      <c r="B402" s="5">
        <v>37131</v>
      </c>
      <c r="C402" s="5">
        <f>B402/1</f>
        <v>37131</v>
      </c>
      <c r="D402" s="1">
        <v>42835</v>
      </c>
      <c r="E402" s="5">
        <v>36359</v>
      </c>
      <c r="F402" t="s">
        <v>7</v>
      </c>
      <c r="J402">
        <f t="shared" si="21"/>
        <v>-772</v>
      </c>
      <c r="K402" t="s">
        <v>331</v>
      </c>
      <c r="L402">
        <v>1</v>
      </c>
    </row>
    <row r="403" spans="1:12">
      <c r="A403" s="1">
        <v>42170</v>
      </c>
      <c r="B403" s="5">
        <v>37732</v>
      </c>
      <c r="C403" s="5">
        <f>B403/1</f>
        <v>37732</v>
      </c>
      <c r="D403" s="1">
        <v>42835</v>
      </c>
      <c r="E403" s="5">
        <v>36359</v>
      </c>
      <c r="F403" t="s">
        <v>7</v>
      </c>
      <c r="J403">
        <f t="shared" si="21"/>
        <v>-1373</v>
      </c>
      <c r="K403" t="s">
        <v>331</v>
      </c>
      <c r="L403">
        <v>1</v>
      </c>
    </row>
    <row r="404" spans="1:12">
      <c r="A404" s="1">
        <v>42745</v>
      </c>
      <c r="B404" s="5">
        <v>15659</v>
      </c>
      <c r="C404" s="5">
        <f>B404/0.452</f>
        <v>34643.805309734511</v>
      </c>
      <c r="D404" s="1"/>
      <c r="E404" s="5"/>
      <c r="F404" t="s">
        <v>7</v>
      </c>
      <c r="K404" t="s">
        <v>427</v>
      </c>
      <c r="L404">
        <v>0.45200000000000001</v>
      </c>
    </row>
    <row r="405" spans="1:12">
      <c r="A405" s="1">
        <v>42746</v>
      </c>
      <c r="B405" s="5">
        <v>8562</v>
      </c>
      <c r="C405" s="5">
        <f>B405/0.248</f>
        <v>34524.193548387098</v>
      </c>
      <c r="D405" s="1"/>
      <c r="E405" s="5"/>
      <c r="F405" t="s">
        <v>7</v>
      </c>
      <c r="K405" t="s">
        <v>427</v>
      </c>
      <c r="L405">
        <v>0.248</v>
      </c>
    </row>
    <row r="406" spans="1:12">
      <c r="A406" s="1">
        <v>42235</v>
      </c>
      <c r="B406" s="5">
        <v>0</v>
      </c>
      <c r="C406" s="5"/>
      <c r="D406" s="4"/>
      <c r="E406" s="5"/>
      <c r="K406" t="s">
        <v>353</v>
      </c>
      <c r="L406">
        <v>0.3</v>
      </c>
    </row>
    <row r="407" spans="1:12">
      <c r="A407" s="1"/>
      <c r="B407" s="5">
        <f>SUM(B404:B405)</f>
        <v>24221</v>
      </c>
      <c r="D407" s="1">
        <v>42835</v>
      </c>
      <c r="E407">
        <v>36409</v>
      </c>
      <c r="J407">
        <f>E407-B407</f>
        <v>12188</v>
      </c>
      <c r="K407" t="s">
        <v>492</v>
      </c>
    </row>
    <row r="408" spans="1:12">
      <c r="A408" s="1">
        <v>42837</v>
      </c>
      <c r="B408" s="5">
        <v>2299730</v>
      </c>
      <c r="C408">
        <f>B408/23</f>
        <v>99988.260869565216</v>
      </c>
      <c r="D408" s="1">
        <v>42837</v>
      </c>
      <c r="E408" s="5">
        <v>2314376</v>
      </c>
      <c r="F408" t="s">
        <v>7</v>
      </c>
      <c r="J408">
        <f t="shared" ref="J408:J409" si="22">E408-B408</f>
        <v>14646</v>
      </c>
      <c r="K408" t="s">
        <v>464</v>
      </c>
      <c r="L408">
        <v>23</v>
      </c>
    </row>
    <row r="409" spans="1:12">
      <c r="A409" s="1">
        <v>42838</v>
      </c>
      <c r="B409" s="5">
        <v>398351</v>
      </c>
      <c r="C409">
        <f>B409/6</f>
        <v>66391.833333333328</v>
      </c>
      <c r="D409" s="1">
        <v>42838</v>
      </c>
      <c r="E409">
        <v>401739</v>
      </c>
      <c r="F409" t="s">
        <v>7</v>
      </c>
      <c r="J409">
        <f t="shared" si="22"/>
        <v>3388</v>
      </c>
      <c r="K409" t="s">
        <v>440</v>
      </c>
      <c r="L409">
        <v>6</v>
      </c>
    </row>
    <row r="410" spans="1:12">
      <c r="A410" s="1">
        <v>42772</v>
      </c>
      <c r="B410" s="5">
        <v>2611859</v>
      </c>
      <c r="C410">
        <f>B410/29</f>
        <v>90064.103448275855</v>
      </c>
      <c r="F410" t="s">
        <v>7</v>
      </c>
      <c r="K410" t="s">
        <v>446</v>
      </c>
      <c r="L410">
        <v>29</v>
      </c>
    </row>
    <row r="411" spans="1:12">
      <c r="A411" s="1">
        <v>42780</v>
      </c>
      <c r="B411" s="5">
        <v>179558</v>
      </c>
      <c r="C411">
        <f>B411/2</f>
        <v>89779</v>
      </c>
      <c r="F411" t="s">
        <v>7</v>
      </c>
      <c r="K411" t="s">
        <v>439</v>
      </c>
      <c r="L411">
        <v>2</v>
      </c>
    </row>
    <row r="412" spans="1:12">
      <c r="A412" s="1">
        <v>42780</v>
      </c>
      <c r="B412" s="5">
        <v>268737</v>
      </c>
      <c r="C412">
        <f>B412/3</f>
        <v>89579</v>
      </c>
      <c r="F412" t="s">
        <v>7</v>
      </c>
      <c r="K412" t="s">
        <v>441</v>
      </c>
      <c r="L412">
        <v>3</v>
      </c>
    </row>
    <row r="413" spans="1:12">
      <c r="A413" s="1">
        <v>42780</v>
      </c>
      <c r="B413" s="5">
        <v>448395</v>
      </c>
      <c r="C413">
        <f>B413/5</f>
        <v>89679</v>
      </c>
      <c r="F413" t="s">
        <v>7</v>
      </c>
      <c r="K413" t="s">
        <v>442</v>
      </c>
      <c r="L413">
        <v>5</v>
      </c>
    </row>
    <row r="414" spans="1:12">
      <c r="A414" s="1">
        <v>42780</v>
      </c>
      <c r="B414" s="5">
        <v>269337</v>
      </c>
      <c r="C414">
        <f>B414/3</f>
        <v>89779</v>
      </c>
      <c r="F414" t="s">
        <v>7</v>
      </c>
      <c r="K414" t="s">
        <v>441</v>
      </c>
      <c r="L414">
        <v>3</v>
      </c>
    </row>
    <row r="415" spans="1:12">
      <c r="A415" s="1">
        <v>42803</v>
      </c>
      <c r="B415" s="5">
        <v>93382</v>
      </c>
      <c r="C415">
        <f>B415/1</f>
        <v>93382</v>
      </c>
      <c r="F415" t="s">
        <v>7</v>
      </c>
      <c r="K415" t="s">
        <v>445</v>
      </c>
      <c r="L415">
        <v>1</v>
      </c>
    </row>
    <row r="416" spans="1:12">
      <c r="A416" s="1">
        <v>42809</v>
      </c>
      <c r="B416" s="5">
        <v>92281</v>
      </c>
      <c r="C416">
        <f>B416/1</f>
        <v>92281</v>
      </c>
      <c r="F416" t="s">
        <v>7</v>
      </c>
      <c r="K416" t="s">
        <v>445</v>
      </c>
      <c r="L416">
        <v>1</v>
      </c>
    </row>
    <row r="417" spans="1:12">
      <c r="A417" s="1">
        <v>42810</v>
      </c>
      <c r="B417" s="5">
        <v>281348</v>
      </c>
      <c r="C417">
        <f>B417/3</f>
        <v>93782.666666666672</v>
      </c>
      <c r="F417" t="s">
        <v>7</v>
      </c>
      <c r="K417" t="s">
        <v>441</v>
      </c>
      <c r="L417">
        <v>3</v>
      </c>
    </row>
    <row r="418" spans="1:12">
      <c r="A418" s="1">
        <v>42815</v>
      </c>
      <c r="B418" s="5">
        <v>465410</v>
      </c>
      <c r="C418">
        <f>B418/5</f>
        <v>93082</v>
      </c>
      <c r="F418" t="s">
        <v>7</v>
      </c>
      <c r="K418" t="s">
        <v>459</v>
      </c>
      <c r="L418">
        <v>5</v>
      </c>
    </row>
    <row r="419" spans="1:12">
      <c r="A419" s="1">
        <v>42816</v>
      </c>
      <c r="B419" s="5">
        <v>91080</v>
      </c>
      <c r="C419">
        <f>B419/1</f>
        <v>91080</v>
      </c>
      <c r="F419" t="s">
        <v>7</v>
      </c>
      <c r="K419" t="s">
        <v>445</v>
      </c>
      <c r="L419">
        <v>1</v>
      </c>
    </row>
    <row r="420" spans="1:12">
      <c r="A420" s="1">
        <v>42817</v>
      </c>
      <c r="B420" s="5">
        <v>470415</v>
      </c>
      <c r="C420">
        <f>B420/5</f>
        <v>94083</v>
      </c>
      <c r="F420" t="s">
        <v>7</v>
      </c>
      <c r="K420" t="s">
        <v>442</v>
      </c>
      <c r="L420">
        <v>5</v>
      </c>
    </row>
    <row r="421" spans="1:12">
      <c r="A421" s="1"/>
      <c r="B421" s="5">
        <f>SUM(B410:B420)</f>
        <v>5271802</v>
      </c>
      <c r="D421" s="1">
        <v>42839</v>
      </c>
      <c r="E421">
        <v>5777476</v>
      </c>
      <c r="J421">
        <f>E421-B421</f>
        <v>505674</v>
      </c>
      <c r="K421" t="s">
        <v>493</v>
      </c>
    </row>
    <row r="422" spans="1:12">
      <c r="A422" s="1">
        <v>42844</v>
      </c>
      <c r="B422" s="5">
        <v>2051811</v>
      </c>
      <c r="C422">
        <f>B422/20</f>
        <v>102590.55</v>
      </c>
      <c r="D422" s="1">
        <v>42845</v>
      </c>
      <c r="E422">
        <v>1992233</v>
      </c>
      <c r="J422">
        <f>E422-B422</f>
        <v>-59578</v>
      </c>
      <c r="K422" t="s">
        <v>468</v>
      </c>
      <c r="L422">
        <v>20</v>
      </c>
    </row>
    <row r="423" spans="1:12">
      <c r="A423" s="1">
        <v>42843</v>
      </c>
      <c r="B423" s="5">
        <v>69861</v>
      </c>
      <c r="C423">
        <f>B423/1</f>
        <v>69861</v>
      </c>
      <c r="F423" t="s">
        <v>7</v>
      </c>
      <c r="K423" t="s">
        <v>450</v>
      </c>
      <c r="L423">
        <v>1</v>
      </c>
    </row>
    <row r="424" spans="1:12">
      <c r="A424" s="1">
        <v>42843</v>
      </c>
      <c r="B424" s="5">
        <v>839541</v>
      </c>
      <c r="C424">
        <f>B424/12</f>
        <v>69961.75</v>
      </c>
      <c r="F424" t="s">
        <v>7</v>
      </c>
      <c r="K424" t="s">
        <v>467</v>
      </c>
      <c r="L424">
        <v>12</v>
      </c>
    </row>
    <row r="425" spans="1:12">
      <c r="A425" s="1">
        <v>42843</v>
      </c>
      <c r="B425" s="5">
        <v>626953</v>
      </c>
      <c r="C425">
        <f>B425/9</f>
        <v>69661.444444444438</v>
      </c>
      <c r="F425" t="s">
        <v>7</v>
      </c>
      <c r="K425" t="s">
        <v>467</v>
      </c>
      <c r="L425">
        <v>9</v>
      </c>
    </row>
    <row r="426" spans="1:12">
      <c r="A426" s="1"/>
      <c r="B426" s="5">
        <f>SUM(B423:B425)</f>
        <v>1536355</v>
      </c>
      <c r="D426" s="1">
        <v>42846</v>
      </c>
      <c r="E426">
        <v>1555934</v>
      </c>
      <c r="J426">
        <f>E426-B426</f>
        <v>19579</v>
      </c>
      <c r="K426" t="s">
        <v>490</v>
      </c>
    </row>
    <row r="427" spans="1:12">
      <c r="A427" s="1">
        <v>42842</v>
      </c>
      <c r="B427" s="5">
        <v>164845</v>
      </c>
      <c r="C427">
        <f>B427/3</f>
        <v>54948.333333333336</v>
      </c>
      <c r="K427" t="s">
        <v>465</v>
      </c>
      <c r="L427">
        <v>3</v>
      </c>
    </row>
    <row r="428" spans="1:12">
      <c r="A428" s="1">
        <v>42842</v>
      </c>
      <c r="B428" s="5">
        <v>1431263</v>
      </c>
      <c r="C428">
        <f>B428/26</f>
        <v>55048.576923076922</v>
      </c>
      <c r="K428" t="s">
        <v>466</v>
      </c>
      <c r="L428">
        <v>26</v>
      </c>
    </row>
    <row r="429" spans="1:12">
      <c r="A429" s="1"/>
      <c r="B429" s="5"/>
      <c r="D429" s="1">
        <v>42846</v>
      </c>
      <c r="E429">
        <v>725173</v>
      </c>
      <c r="K429" t="s">
        <v>494</v>
      </c>
    </row>
    <row r="430" spans="1:12">
      <c r="A430" s="1"/>
      <c r="B430" s="5"/>
      <c r="D430" s="1">
        <v>42846</v>
      </c>
      <c r="E430">
        <v>223131</v>
      </c>
      <c r="K430" t="s">
        <v>494</v>
      </c>
    </row>
    <row r="431" spans="1:12">
      <c r="A431" s="1"/>
      <c r="B431" s="5"/>
      <c r="D431" s="1">
        <v>42846</v>
      </c>
      <c r="E431">
        <v>669391</v>
      </c>
      <c r="K431" t="s">
        <v>494</v>
      </c>
    </row>
    <row r="432" spans="1:12">
      <c r="A432" s="1"/>
      <c r="B432" s="5">
        <f>SUM(B427:B428)</f>
        <v>1596108</v>
      </c>
      <c r="E432">
        <f>SUM(E429:E431)</f>
        <v>1617695</v>
      </c>
      <c r="J432">
        <f>E432-B432</f>
        <v>21587</v>
      </c>
      <c r="K432" t="s">
        <v>494</v>
      </c>
    </row>
    <row r="433" spans="1:12">
      <c r="A433" s="1">
        <v>42200</v>
      </c>
      <c r="B433">
        <v>4302</v>
      </c>
      <c r="C433" s="5">
        <f>B433/0.054</f>
        <v>79666.666666666672</v>
      </c>
      <c r="D433" s="1">
        <v>42846</v>
      </c>
      <c r="E433">
        <v>7410</v>
      </c>
      <c r="F433" t="s">
        <v>7</v>
      </c>
      <c r="J433">
        <f>E433-B433</f>
        <v>3108</v>
      </c>
      <c r="K433" t="s">
        <v>346</v>
      </c>
      <c r="L433">
        <v>5.3999999999999999E-2</v>
      </c>
    </row>
    <row r="434" spans="1:12">
      <c r="A434" s="1">
        <v>42815</v>
      </c>
      <c r="B434" s="5">
        <v>71162</v>
      </c>
      <c r="C434">
        <f>B434/1</f>
        <v>71162</v>
      </c>
      <c r="F434" t="s">
        <v>7</v>
      </c>
      <c r="K434" t="s">
        <v>455</v>
      </c>
      <c r="L434">
        <v>1</v>
      </c>
    </row>
    <row r="435" spans="1:12">
      <c r="A435" s="1">
        <v>42815</v>
      </c>
      <c r="B435" s="5">
        <v>71162</v>
      </c>
      <c r="C435">
        <f>B435/1</f>
        <v>71162</v>
      </c>
      <c r="F435" t="s">
        <v>7</v>
      </c>
      <c r="K435" t="s">
        <v>455</v>
      </c>
      <c r="L435">
        <v>1</v>
      </c>
    </row>
    <row r="436" spans="1:12">
      <c r="A436" s="1">
        <v>42815</v>
      </c>
      <c r="B436" s="5">
        <v>71362</v>
      </c>
      <c r="C436">
        <f>B436/1</f>
        <v>71362</v>
      </c>
      <c r="F436" t="s">
        <v>7</v>
      </c>
      <c r="K436" t="s">
        <v>455</v>
      </c>
      <c r="L436">
        <v>1</v>
      </c>
    </row>
    <row r="437" spans="1:12">
      <c r="A437" s="1">
        <v>42815</v>
      </c>
      <c r="B437" s="5">
        <v>214389</v>
      </c>
      <c r="C437">
        <f>B437/3</f>
        <v>71463</v>
      </c>
      <c r="F437" t="s">
        <v>7</v>
      </c>
      <c r="K437" t="s">
        <v>456</v>
      </c>
      <c r="L437">
        <v>3</v>
      </c>
    </row>
    <row r="438" spans="1:12">
      <c r="A438" s="1">
        <v>42835</v>
      </c>
      <c r="B438" s="5">
        <v>69661</v>
      </c>
      <c r="C438">
        <f>B438/1</f>
        <v>69661</v>
      </c>
      <c r="F438" t="s">
        <v>7</v>
      </c>
      <c r="K438" t="s">
        <v>450</v>
      </c>
      <c r="L438">
        <v>1</v>
      </c>
    </row>
    <row r="439" spans="1:12">
      <c r="A439" s="1">
        <v>42835</v>
      </c>
      <c r="B439" s="5">
        <v>139332</v>
      </c>
      <c r="C439">
        <f>B439/2</f>
        <v>69666</v>
      </c>
      <c r="F439" t="s">
        <v>7</v>
      </c>
      <c r="K439" t="s">
        <v>449</v>
      </c>
      <c r="L439">
        <v>2</v>
      </c>
    </row>
    <row r="440" spans="1:12">
      <c r="A440" s="1">
        <v>42843</v>
      </c>
      <c r="B440" s="5">
        <v>139322</v>
      </c>
      <c r="C440">
        <f>B440/2</f>
        <v>69661</v>
      </c>
      <c r="F440" t="s">
        <v>7</v>
      </c>
      <c r="K440" t="s">
        <v>449</v>
      </c>
      <c r="L440">
        <v>2</v>
      </c>
    </row>
    <row r="441" spans="1:12">
      <c r="A441" s="1">
        <v>42843</v>
      </c>
      <c r="B441" s="5">
        <v>139723</v>
      </c>
      <c r="C441">
        <f>B441/2</f>
        <v>69861.5</v>
      </c>
      <c r="F441" t="s">
        <v>7</v>
      </c>
      <c r="K441" t="s">
        <v>449</v>
      </c>
      <c r="L441">
        <v>2</v>
      </c>
    </row>
    <row r="442" spans="1:12">
      <c r="A442" s="1">
        <v>42846</v>
      </c>
      <c r="B442" s="5">
        <v>68860</v>
      </c>
      <c r="C442">
        <f>B442/1</f>
        <v>68860</v>
      </c>
      <c r="F442" t="s">
        <v>7</v>
      </c>
      <c r="K442" t="s">
        <v>450</v>
      </c>
      <c r="L442">
        <v>1</v>
      </c>
    </row>
    <row r="443" spans="1:12">
      <c r="A443" s="1">
        <v>42846</v>
      </c>
      <c r="B443" s="5">
        <v>68660</v>
      </c>
      <c r="C443">
        <f>B443/1</f>
        <v>68660</v>
      </c>
      <c r="F443" t="s">
        <v>7</v>
      </c>
      <c r="K443" t="s">
        <v>450</v>
      </c>
      <c r="L443">
        <v>1</v>
      </c>
    </row>
    <row r="444" spans="1:12">
      <c r="A444" s="1">
        <v>42846</v>
      </c>
      <c r="B444" s="5">
        <v>68660</v>
      </c>
      <c r="C444">
        <f>B444/1</f>
        <v>68660</v>
      </c>
      <c r="F444" t="s">
        <v>7</v>
      </c>
      <c r="K444" t="s">
        <v>450</v>
      </c>
      <c r="L444">
        <v>1</v>
      </c>
    </row>
    <row r="445" spans="1:12">
      <c r="A445" s="1">
        <v>42849</v>
      </c>
      <c r="B445" s="5">
        <v>980865</v>
      </c>
      <c r="C445">
        <f>B445/14</f>
        <v>70061.78571428571</v>
      </c>
      <c r="F445" t="s">
        <v>7</v>
      </c>
      <c r="K445" t="s">
        <v>469</v>
      </c>
      <c r="L445">
        <v>14</v>
      </c>
    </row>
    <row r="446" spans="1:12">
      <c r="A446" s="1"/>
      <c r="B446" s="5">
        <f>SUM(B434:B445)</f>
        <v>2103158</v>
      </c>
      <c r="D446" s="1">
        <v>42851</v>
      </c>
      <c r="E446">
        <v>2172531</v>
      </c>
      <c r="J446">
        <f>E446-B446</f>
        <v>69373</v>
      </c>
      <c r="K446" t="s">
        <v>490</v>
      </c>
    </row>
    <row r="447" spans="1:12">
      <c r="A447" s="1">
        <v>42853</v>
      </c>
      <c r="B447" s="5">
        <v>112098</v>
      </c>
      <c r="C447">
        <f>B447/2</f>
        <v>56049</v>
      </c>
      <c r="D447" s="1">
        <v>42857</v>
      </c>
      <c r="E447">
        <v>114554</v>
      </c>
      <c r="F447" t="s">
        <v>7</v>
      </c>
      <c r="J447">
        <f>E447-B447</f>
        <v>2456</v>
      </c>
      <c r="K447" t="s">
        <v>470</v>
      </c>
      <c r="L447">
        <v>2</v>
      </c>
    </row>
    <row r="448" spans="1:12">
      <c r="A448" s="1"/>
      <c r="B448" s="5"/>
      <c r="D448" s="1">
        <v>42857</v>
      </c>
      <c r="J448">
        <v>2413</v>
      </c>
      <c r="K448" t="s">
        <v>471</v>
      </c>
    </row>
    <row r="449" spans="1:12">
      <c r="A449" s="1"/>
      <c r="B449" s="5"/>
      <c r="D449" s="1">
        <v>42862</v>
      </c>
      <c r="J449">
        <v>-24028</v>
      </c>
      <c r="K449" t="s">
        <v>473</v>
      </c>
    </row>
    <row r="450" spans="1:12">
      <c r="A450" s="1"/>
      <c r="B450" s="5"/>
      <c r="D450" s="1">
        <v>42862</v>
      </c>
      <c r="J450">
        <v>19397</v>
      </c>
      <c r="K450" t="s">
        <v>474</v>
      </c>
    </row>
    <row r="451" spans="1:12">
      <c r="A451" s="1">
        <v>42850</v>
      </c>
      <c r="B451" s="5">
        <v>102590</v>
      </c>
      <c r="C451">
        <f>B451/1</f>
        <v>102590</v>
      </c>
      <c r="D451" s="1">
        <v>42864</v>
      </c>
      <c r="E451">
        <v>105109</v>
      </c>
      <c r="F451" t="s">
        <v>7</v>
      </c>
      <c r="J451">
        <f>E451-B451</f>
        <v>2519</v>
      </c>
      <c r="K451" t="s">
        <v>445</v>
      </c>
      <c r="L451">
        <v>1</v>
      </c>
    </row>
    <row r="452" spans="1:12">
      <c r="A452" s="1">
        <v>42850</v>
      </c>
      <c r="B452" s="5">
        <v>2091846</v>
      </c>
      <c r="C452">
        <f>B452/20</f>
        <v>104592.3</v>
      </c>
      <c r="F452" t="s">
        <v>7</v>
      </c>
      <c r="K452" t="s">
        <v>468</v>
      </c>
      <c r="L452">
        <v>20</v>
      </c>
    </row>
    <row r="453" spans="1:12">
      <c r="A453" s="1">
        <v>42846</v>
      </c>
      <c r="B453" s="5">
        <v>1035914</v>
      </c>
      <c r="C453">
        <f>B453/10</f>
        <v>103591.4</v>
      </c>
      <c r="F453" t="s">
        <v>7</v>
      </c>
      <c r="K453" t="s">
        <v>475</v>
      </c>
      <c r="L453">
        <v>10</v>
      </c>
    </row>
    <row r="454" spans="1:12">
      <c r="A454" s="1"/>
      <c r="B454" s="5"/>
      <c r="D454" s="1">
        <v>42864</v>
      </c>
      <c r="E454">
        <v>105109</v>
      </c>
      <c r="K454" t="s">
        <v>493</v>
      </c>
    </row>
    <row r="455" spans="1:12">
      <c r="A455" s="1"/>
      <c r="B455" s="5"/>
      <c r="D455" s="1">
        <v>42864</v>
      </c>
      <c r="E455">
        <v>3048143</v>
      </c>
      <c r="K455" t="s">
        <v>493</v>
      </c>
    </row>
    <row r="456" spans="1:12">
      <c r="A456" s="1"/>
      <c r="B456" s="5">
        <f>SUM(B452:B453)</f>
        <v>3127760</v>
      </c>
      <c r="D456" s="1"/>
      <c r="E456">
        <f>SUM(E454:E455)</f>
        <v>3153252</v>
      </c>
      <c r="J456">
        <f>E456-B456</f>
        <v>25492</v>
      </c>
      <c r="K456" t="s">
        <v>493</v>
      </c>
    </row>
    <row r="457" spans="1:12">
      <c r="A457" s="1">
        <v>42846</v>
      </c>
      <c r="B457" s="5">
        <v>1035914</v>
      </c>
      <c r="C457">
        <f>B457/10</f>
        <v>103591.4</v>
      </c>
      <c r="F457" t="s">
        <v>7</v>
      </c>
      <c r="K457" t="s">
        <v>475</v>
      </c>
      <c r="L457">
        <v>10</v>
      </c>
    </row>
    <row r="458" spans="1:12">
      <c r="A458" s="1">
        <v>42852</v>
      </c>
      <c r="B458" s="5">
        <v>2041802</v>
      </c>
      <c r="C458">
        <f>B458/20</f>
        <v>102090.1</v>
      </c>
      <c r="F458" t="s">
        <v>7</v>
      </c>
      <c r="K458" t="s">
        <v>468</v>
      </c>
      <c r="L458">
        <v>20</v>
      </c>
    </row>
    <row r="459" spans="1:12">
      <c r="A459" s="1"/>
      <c r="B459" s="5">
        <f>SUM(B457:B458)</f>
        <v>3077716</v>
      </c>
      <c r="D459" s="1">
        <v>42865</v>
      </c>
      <c r="E459">
        <v>3153250</v>
      </c>
      <c r="J459">
        <f>E459-B459</f>
        <v>75534</v>
      </c>
      <c r="K459" t="s">
        <v>493</v>
      </c>
    </row>
    <row r="460" spans="1:12">
      <c r="A460" s="1">
        <v>42800</v>
      </c>
      <c r="B460" s="5">
        <v>74052</v>
      </c>
      <c r="C460">
        <f>B460/1</f>
        <v>74052</v>
      </c>
      <c r="F460" t="s">
        <v>7</v>
      </c>
      <c r="K460" t="s">
        <v>447</v>
      </c>
      <c r="L460">
        <v>1</v>
      </c>
    </row>
    <row r="461" spans="1:12">
      <c r="A461" s="1">
        <v>42787</v>
      </c>
      <c r="B461" s="5">
        <v>74252</v>
      </c>
      <c r="C461">
        <f>B461/1</f>
        <v>74252</v>
      </c>
      <c r="F461" t="s">
        <v>7</v>
      </c>
      <c r="K461" t="s">
        <v>447</v>
      </c>
      <c r="L461">
        <v>1</v>
      </c>
    </row>
    <row r="462" spans="1:12">
      <c r="A462" s="1"/>
      <c r="B462" s="5">
        <f>SUM(B460:B461)</f>
        <v>148304</v>
      </c>
      <c r="D462" s="1">
        <v>42880</v>
      </c>
      <c r="E462">
        <v>149046</v>
      </c>
      <c r="J462">
        <f>E462-B462</f>
        <v>742</v>
      </c>
      <c r="K462" t="s">
        <v>495</v>
      </c>
    </row>
    <row r="463" spans="1:12">
      <c r="A463" s="1">
        <v>42314</v>
      </c>
      <c r="B463" s="5">
        <v>117833</v>
      </c>
      <c r="C463" s="5">
        <f>B463/3</f>
        <v>39277.666666666664</v>
      </c>
      <c r="D463" s="4"/>
      <c r="E463" s="5"/>
      <c r="F463" t="s">
        <v>7</v>
      </c>
      <c r="K463" t="s">
        <v>357</v>
      </c>
      <c r="L463">
        <v>3</v>
      </c>
    </row>
    <row r="464" spans="1:12">
      <c r="A464" s="1">
        <v>42325</v>
      </c>
      <c r="B464" s="5">
        <v>76454</v>
      </c>
      <c r="C464" s="5">
        <f>B464/2</f>
        <v>38227</v>
      </c>
      <c r="D464" s="4"/>
      <c r="E464" s="5"/>
      <c r="F464" t="s">
        <v>7</v>
      </c>
      <c r="K464" t="s">
        <v>341</v>
      </c>
      <c r="L464">
        <v>2</v>
      </c>
    </row>
    <row r="465" spans="1:12">
      <c r="A465" s="1">
        <v>42325</v>
      </c>
      <c r="B465" s="5">
        <v>38377</v>
      </c>
      <c r="C465" s="5">
        <f>B465/1</f>
        <v>38377</v>
      </c>
      <c r="D465" s="4"/>
      <c r="E465" s="5"/>
      <c r="F465" t="s">
        <v>7</v>
      </c>
      <c r="K465" t="s">
        <v>331</v>
      </c>
      <c r="L465">
        <v>1</v>
      </c>
    </row>
    <row r="466" spans="1:12">
      <c r="A466" s="1">
        <v>42170</v>
      </c>
      <c r="B466" s="5">
        <v>76965</v>
      </c>
      <c r="C466" s="5">
        <f>B466/2</f>
        <v>38482.5</v>
      </c>
      <c r="D466" s="4"/>
      <c r="E466" s="5"/>
      <c r="F466" t="s">
        <v>7</v>
      </c>
      <c r="K466" t="s">
        <v>341</v>
      </c>
      <c r="L466">
        <v>2</v>
      </c>
    </row>
    <row r="467" spans="1:12">
      <c r="A467" s="1"/>
      <c r="B467" s="5"/>
      <c r="D467" s="1"/>
      <c r="E467">
        <v>31683</v>
      </c>
      <c r="K467" t="s">
        <v>492</v>
      </c>
    </row>
    <row r="468" spans="1:12">
      <c r="A468" s="1"/>
      <c r="B468" s="5"/>
      <c r="D468" s="1"/>
      <c r="E468">
        <v>31683</v>
      </c>
      <c r="K468" t="s">
        <v>492</v>
      </c>
    </row>
    <row r="469" spans="1:12">
      <c r="A469" s="1"/>
      <c r="B469" s="5"/>
      <c r="D469" s="1"/>
      <c r="E469">
        <v>64465</v>
      </c>
      <c r="K469" t="s">
        <v>492</v>
      </c>
    </row>
    <row r="470" spans="1:12">
      <c r="A470" s="1"/>
      <c r="B470" s="5"/>
      <c r="D470" s="1"/>
      <c r="E470">
        <v>31733</v>
      </c>
      <c r="K470" t="s">
        <v>492</v>
      </c>
    </row>
    <row r="471" spans="1:12">
      <c r="A471" s="1"/>
      <c r="B471" s="5"/>
      <c r="D471" s="1"/>
      <c r="E471">
        <v>31733</v>
      </c>
      <c r="K471" t="s">
        <v>492</v>
      </c>
    </row>
    <row r="472" spans="1:12">
      <c r="A472" s="1"/>
      <c r="B472" s="5"/>
      <c r="D472" s="1"/>
      <c r="E472">
        <v>31683</v>
      </c>
      <c r="K472" t="s">
        <v>492</v>
      </c>
    </row>
    <row r="473" spans="1:12">
      <c r="A473" s="1"/>
      <c r="B473" s="5"/>
      <c r="D473" s="1"/>
      <c r="E473">
        <v>31484</v>
      </c>
      <c r="K473" t="s">
        <v>492</v>
      </c>
    </row>
    <row r="474" spans="1:12">
      <c r="A474" s="1"/>
      <c r="B474" s="5">
        <f>SUM(B463:B466)</f>
        <v>309629</v>
      </c>
      <c r="D474" s="1">
        <v>42881</v>
      </c>
      <c r="E474">
        <f>SUM(E467:E473)</f>
        <v>254464</v>
      </c>
      <c r="J474">
        <f>E474-B474</f>
        <v>-55165</v>
      </c>
    </row>
    <row r="475" spans="1:12">
      <c r="A475" s="1">
        <v>42881</v>
      </c>
      <c r="B475" s="5">
        <v>69649</v>
      </c>
      <c r="C475">
        <f>B475/1</f>
        <v>69649</v>
      </c>
      <c r="F475" t="s">
        <v>7</v>
      </c>
      <c r="K475" t="s">
        <v>450</v>
      </c>
      <c r="L475">
        <v>1</v>
      </c>
    </row>
    <row r="476" spans="1:12">
      <c r="A476" s="1">
        <v>42881</v>
      </c>
      <c r="B476" s="5">
        <v>69649</v>
      </c>
      <c r="C476">
        <f>B476/1</f>
        <v>69649</v>
      </c>
      <c r="F476" t="s">
        <v>7</v>
      </c>
      <c r="K476" t="s">
        <v>450</v>
      </c>
      <c r="L476">
        <v>1</v>
      </c>
    </row>
    <row r="477" spans="1:12">
      <c r="A477" s="1"/>
      <c r="B477" s="5">
        <f>SUM(B475:B476)</f>
        <v>139298</v>
      </c>
      <c r="D477" s="1">
        <v>42887</v>
      </c>
      <c r="E477">
        <v>139879</v>
      </c>
      <c r="J477">
        <f>E477-B477</f>
        <v>581</v>
      </c>
      <c r="K477" t="s">
        <v>490</v>
      </c>
    </row>
    <row r="478" spans="1:12">
      <c r="A478" s="1"/>
      <c r="B478" s="5"/>
      <c r="D478" s="1">
        <v>42887</v>
      </c>
      <c r="J478">
        <v>-520</v>
      </c>
      <c r="K478" s="12" t="s">
        <v>482</v>
      </c>
    </row>
    <row r="479" spans="1:12">
      <c r="A479" s="1">
        <v>42312</v>
      </c>
      <c r="B479" s="5">
        <v>168119</v>
      </c>
      <c r="C479" s="5">
        <f>B479/4</f>
        <v>42029.75</v>
      </c>
      <c r="D479" s="1">
        <v>42888</v>
      </c>
      <c r="E479" s="5">
        <v>129518</v>
      </c>
      <c r="F479" t="s">
        <v>7</v>
      </c>
      <c r="J479">
        <f>E479-B479</f>
        <v>-38601</v>
      </c>
      <c r="K479" t="s">
        <v>348</v>
      </c>
      <c r="L479">
        <v>4</v>
      </c>
    </row>
    <row r="480" spans="1:12">
      <c r="A480" s="1">
        <v>42874</v>
      </c>
      <c r="B480" s="5">
        <v>40678</v>
      </c>
      <c r="C480">
        <f>B480/3</f>
        <v>13559.333333333334</v>
      </c>
      <c r="D480" s="1">
        <v>42888</v>
      </c>
      <c r="E480">
        <v>41098</v>
      </c>
      <c r="F480" t="s">
        <v>7</v>
      </c>
      <c r="J480">
        <f>E480-B480</f>
        <v>420</v>
      </c>
      <c r="K480" t="s">
        <v>481</v>
      </c>
      <c r="L480">
        <v>3</v>
      </c>
    </row>
    <row r="481" spans="1:12">
      <c r="A481" s="1">
        <v>42888</v>
      </c>
      <c r="B481" s="5">
        <v>86061</v>
      </c>
      <c r="C481">
        <f>B481/1</f>
        <v>86061</v>
      </c>
      <c r="D481" s="1">
        <v>42889</v>
      </c>
      <c r="E481">
        <v>86479</v>
      </c>
      <c r="J481">
        <f>E481-B481</f>
        <v>418</v>
      </c>
      <c r="K481" t="s">
        <v>483</v>
      </c>
      <c r="L481">
        <v>1</v>
      </c>
    </row>
    <row r="482" spans="1:12">
      <c r="A482" s="1">
        <v>42888</v>
      </c>
      <c r="B482" s="5">
        <v>85160</v>
      </c>
      <c r="C482">
        <f>B482/1</f>
        <v>85160</v>
      </c>
      <c r="D482" s="1">
        <v>42889</v>
      </c>
      <c r="E482">
        <v>86479</v>
      </c>
      <c r="J482">
        <f>E482-B482</f>
        <v>1319</v>
      </c>
      <c r="K482" t="s">
        <v>483</v>
      </c>
      <c r="L482">
        <v>1</v>
      </c>
    </row>
    <row r="483" spans="1:12">
      <c r="A483" s="1">
        <v>42549</v>
      </c>
      <c r="B483" s="5">
        <v>336288</v>
      </c>
      <c r="C483" s="5">
        <f>B483/8</f>
        <v>42036</v>
      </c>
      <c r="D483" s="1">
        <v>42889</v>
      </c>
      <c r="E483" s="5">
        <v>267406</v>
      </c>
      <c r="F483" t="s">
        <v>7</v>
      </c>
      <c r="J483">
        <f>E483-B483</f>
        <v>-68882</v>
      </c>
      <c r="K483" t="s">
        <v>487</v>
      </c>
      <c r="L483">
        <v>8</v>
      </c>
    </row>
    <row r="484" spans="1:12">
      <c r="A484" s="1">
        <v>42549</v>
      </c>
      <c r="B484" s="5">
        <v>84071</v>
      </c>
      <c r="C484" s="5">
        <f>B484/2</f>
        <v>42035.5</v>
      </c>
      <c r="D484" s="1">
        <v>42891</v>
      </c>
      <c r="E484" s="5">
        <v>66852</v>
      </c>
      <c r="F484" t="s">
        <v>7</v>
      </c>
      <c r="J484">
        <f t="shared" ref="J484:J485" si="23">E484-B484</f>
        <v>-17219</v>
      </c>
      <c r="K484" t="s">
        <v>488</v>
      </c>
      <c r="L484">
        <v>2</v>
      </c>
    </row>
    <row r="485" spans="1:12">
      <c r="A485" s="1">
        <v>42549</v>
      </c>
      <c r="B485" s="5">
        <v>83871</v>
      </c>
      <c r="C485" s="5">
        <f>B485/2</f>
        <v>41935.5</v>
      </c>
      <c r="D485" s="1">
        <v>42891</v>
      </c>
      <c r="E485" s="5">
        <v>66752</v>
      </c>
      <c r="F485" t="s">
        <v>7</v>
      </c>
      <c r="J485">
        <f t="shared" si="23"/>
        <v>-17119</v>
      </c>
      <c r="K485" t="s">
        <v>341</v>
      </c>
      <c r="L485">
        <v>2</v>
      </c>
    </row>
    <row r="486" spans="1:12">
      <c r="A486" s="1">
        <v>42784</v>
      </c>
      <c r="B486" s="5">
        <v>1509074</v>
      </c>
      <c r="C486">
        <f>B486/20</f>
        <v>75453.7</v>
      </c>
      <c r="F486" t="s">
        <v>7</v>
      </c>
      <c r="K486" t="s">
        <v>444</v>
      </c>
      <c r="L486">
        <v>20</v>
      </c>
    </row>
    <row r="487" spans="1:12">
      <c r="A487" s="1">
        <v>42787</v>
      </c>
      <c r="B487" s="5">
        <v>882628</v>
      </c>
      <c r="C487">
        <f>B487/12</f>
        <v>73552.333333333328</v>
      </c>
      <c r="F487" t="s">
        <v>7</v>
      </c>
      <c r="K487" t="s">
        <v>448</v>
      </c>
      <c r="L487">
        <v>12</v>
      </c>
    </row>
    <row r="488" spans="1:12">
      <c r="A488" s="1">
        <v>42789</v>
      </c>
      <c r="B488" s="5">
        <v>445593</v>
      </c>
      <c r="C488">
        <f>B488/6</f>
        <v>74265.5</v>
      </c>
      <c r="F488" t="s">
        <v>7</v>
      </c>
      <c r="K488" t="s">
        <v>457</v>
      </c>
      <c r="L488">
        <v>6</v>
      </c>
    </row>
    <row r="489" spans="1:12">
      <c r="A489" s="1">
        <v>42816</v>
      </c>
      <c r="B489" s="5">
        <v>77068</v>
      </c>
      <c r="C489">
        <f>B489/1</f>
        <v>77068</v>
      </c>
      <c r="F489" t="s">
        <v>7</v>
      </c>
      <c r="K489" t="s">
        <v>447</v>
      </c>
      <c r="L489">
        <v>1</v>
      </c>
    </row>
    <row r="490" spans="1:12">
      <c r="A490" s="1"/>
      <c r="B490" s="5"/>
      <c r="D490" s="1">
        <v>42893</v>
      </c>
      <c r="E490">
        <v>302872</v>
      </c>
      <c r="K490" t="s">
        <v>496</v>
      </c>
    </row>
    <row r="491" spans="1:12">
      <c r="A491" s="1"/>
      <c r="B491" s="5"/>
      <c r="D491" s="1">
        <v>42893</v>
      </c>
      <c r="E491">
        <v>907420</v>
      </c>
      <c r="K491" t="s">
        <v>496</v>
      </c>
    </row>
    <row r="492" spans="1:12">
      <c r="A492" s="1"/>
      <c r="B492" s="5"/>
      <c r="D492" s="1">
        <v>42893</v>
      </c>
      <c r="E492">
        <v>1736928</v>
      </c>
      <c r="K492" t="s">
        <v>496</v>
      </c>
    </row>
    <row r="493" spans="1:12">
      <c r="A493" s="1"/>
      <c r="B493" s="5">
        <f>SUM(B486:B489)</f>
        <v>2914363</v>
      </c>
      <c r="D493" s="1"/>
      <c r="E493">
        <f>SUM(E490:E492)</f>
        <v>2947220</v>
      </c>
      <c r="J493">
        <f>E493-B493</f>
        <v>32857</v>
      </c>
      <c r="K493" t="s">
        <v>496</v>
      </c>
    </row>
    <row r="494" spans="1:12">
      <c r="A494" s="1">
        <v>42314</v>
      </c>
      <c r="B494" s="5">
        <v>39728</v>
      </c>
      <c r="C494" s="5">
        <f>B494/1</f>
        <v>39728</v>
      </c>
      <c r="D494" s="4"/>
      <c r="E494" s="5"/>
      <c r="F494" t="s">
        <v>7</v>
      </c>
      <c r="K494" t="s">
        <v>331</v>
      </c>
      <c r="L494">
        <v>1</v>
      </c>
    </row>
    <row r="495" spans="1:12">
      <c r="A495" s="1">
        <v>42503</v>
      </c>
      <c r="B495" s="5">
        <v>41884</v>
      </c>
      <c r="C495" s="5">
        <f>B495/1</f>
        <v>41884</v>
      </c>
      <c r="D495" s="4"/>
      <c r="E495" s="5"/>
      <c r="F495" t="s">
        <v>7</v>
      </c>
      <c r="K495" t="s">
        <v>331</v>
      </c>
      <c r="L495">
        <v>1</v>
      </c>
    </row>
    <row r="496" spans="1:12">
      <c r="A496" s="1"/>
      <c r="B496" s="5">
        <f>SUM(B494:B495)</f>
        <v>81612</v>
      </c>
      <c r="C496" s="5"/>
      <c r="D496" s="1">
        <v>42902</v>
      </c>
      <c r="E496" s="5">
        <v>64162</v>
      </c>
      <c r="J496">
        <f>E496-B496</f>
        <v>-17450</v>
      </c>
      <c r="K496" t="s">
        <v>504</v>
      </c>
    </row>
    <row r="497" spans="1:15">
      <c r="A497" s="1">
        <v>42907</v>
      </c>
      <c r="B497" s="5">
        <v>266990</v>
      </c>
      <c r="C497">
        <f>B497/4</f>
        <v>66747.5</v>
      </c>
      <c r="D497" s="1">
        <v>42907</v>
      </c>
      <c r="E497">
        <v>268008</v>
      </c>
      <c r="F497" t="s">
        <v>7</v>
      </c>
      <c r="J497">
        <f>E497-B497</f>
        <v>1018</v>
      </c>
      <c r="K497" t="s">
        <v>505</v>
      </c>
      <c r="L497">
        <v>4</v>
      </c>
    </row>
    <row r="498" spans="1:15">
      <c r="A498" s="1">
        <v>42913</v>
      </c>
      <c r="B498" s="5">
        <v>67648</v>
      </c>
      <c r="C498">
        <f>B498/1</f>
        <v>67648</v>
      </c>
      <c r="D498" s="1">
        <v>42913</v>
      </c>
      <c r="E498">
        <v>67950</v>
      </c>
      <c r="F498" t="s">
        <v>7</v>
      </c>
      <c r="J498">
        <f>E498-B498</f>
        <v>302</v>
      </c>
      <c r="K498" t="s">
        <v>485</v>
      </c>
      <c r="L498">
        <v>1</v>
      </c>
    </row>
    <row r="499" spans="1:15">
      <c r="A499" s="1">
        <v>42907</v>
      </c>
      <c r="B499" s="5">
        <v>15020</v>
      </c>
      <c r="C499">
        <f t="shared" ref="C499" si="24">B499/1</f>
        <v>15020</v>
      </c>
      <c r="D499" s="1">
        <v>42914</v>
      </c>
      <c r="E499" s="5">
        <v>16431</v>
      </c>
      <c r="F499" t="s">
        <v>7</v>
      </c>
      <c r="J499">
        <f>E499-B499</f>
        <v>1411</v>
      </c>
      <c r="K499" t="s">
        <v>506</v>
      </c>
      <c r="L499">
        <v>1</v>
      </c>
    </row>
    <row r="500" spans="1:15">
      <c r="A500" s="1">
        <v>42899</v>
      </c>
      <c r="B500" s="5">
        <v>75453</v>
      </c>
      <c r="C500">
        <f t="shared" ref="C500:C501" si="25">B500/1</f>
        <v>75453</v>
      </c>
      <c r="K500" t="s">
        <v>500</v>
      </c>
      <c r="L500">
        <v>1</v>
      </c>
    </row>
    <row r="501" spans="1:15">
      <c r="A501" s="1">
        <v>42900</v>
      </c>
      <c r="B501" s="5">
        <v>75053</v>
      </c>
      <c r="C501">
        <f t="shared" si="25"/>
        <v>75053</v>
      </c>
      <c r="K501" t="s">
        <v>500</v>
      </c>
      <c r="L501">
        <v>1</v>
      </c>
    </row>
    <row r="502" spans="1:15">
      <c r="A502" s="1">
        <v>42900</v>
      </c>
      <c r="B502" s="5">
        <v>74052</v>
      </c>
      <c r="C502">
        <f t="shared" ref="C502" si="26">B502/1</f>
        <v>74052</v>
      </c>
      <c r="K502" t="s">
        <v>500</v>
      </c>
      <c r="L502">
        <v>1</v>
      </c>
    </row>
    <row r="503" spans="1:15">
      <c r="A503" s="1"/>
      <c r="B503" s="5">
        <f>SUM(B500:B502)</f>
        <v>224558</v>
      </c>
      <c r="D503" s="1">
        <v>42916</v>
      </c>
      <c r="E503">
        <v>233132</v>
      </c>
      <c r="J503">
        <f>E503-B503</f>
        <v>8574</v>
      </c>
    </row>
    <row r="504" spans="1:15">
      <c r="A504" s="1"/>
      <c r="B504" s="5"/>
      <c r="D504" s="1"/>
    </row>
    <row r="505" spans="1:15">
      <c r="A505" s="1">
        <v>42611</v>
      </c>
      <c r="B505" s="5">
        <v>0</v>
      </c>
      <c r="C505" s="5"/>
      <c r="D505" s="4"/>
      <c r="E505" s="5"/>
      <c r="K505" t="s">
        <v>411</v>
      </c>
      <c r="L505">
        <v>1E-3</v>
      </c>
    </row>
    <row r="506" spans="1:15">
      <c r="A506" s="1">
        <v>42611</v>
      </c>
      <c r="B506" s="5">
        <v>0</v>
      </c>
      <c r="C506" s="5"/>
      <c r="D506" s="4"/>
      <c r="E506" s="5"/>
      <c r="K506" t="s">
        <v>412</v>
      </c>
      <c r="L506">
        <v>0.68</v>
      </c>
    </row>
    <row r="507" spans="1:15">
      <c r="A507" s="1">
        <v>42611</v>
      </c>
      <c r="B507" s="5">
        <v>0</v>
      </c>
      <c r="C507" s="5"/>
      <c r="D507" s="4"/>
      <c r="E507" s="5"/>
      <c r="K507" t="s">
        <v>413</v>
      </c>
      <c r="L507">
        <v>0.22600000000000001</v>
      </c>
    </row>
    <row r="508" spans="1:15">
      <c r="A508" s="1">
        <v>42502</v>
      </c>
      <c r="B508" s="5">
        <v>2559</v>
      </c>
      <c r="C508" s="5">
        <f>B508/0.06</f>
        <v>42650</v>
      </c>
      <c r="D508" s="4"/>
      <c r="E508" s="5"/>
      <c r="F508" t="s">
        <v>7</v>
      </c>
      <c r="K508" t="s">
        <v>399</v>
      </c>
      <c r="L508">
        <v>0.06</v>
      </c>
    </row>
    <row r="509" spans="1:15">
      <c r="A509" s="1" t="s">
        <v>451</v>
      </c>
      <c r="B509" s="5">
        <f>SUM(B505:B508)</f>
        <v>2559</v>
      </c>
      <c r="C509" s="5">
        <f>32.1*SUM(L505:L508)*1000</f>
        <v>31040.700000000004</v>
      </c>
      <c r="D509" s="4"/>
      <c r="E509" s="5"/>
      <c r="G509">
        <f>SUM(L505:L508)*1000*2.6</f>
        <v>2514.2000000000003</v>
      </c>
      <c r="H509">
        <f>SUM(L505:L508)*1000*0.3</f>
        <v>290.10000000000002</v>
      </c>
      <c r="I509">
        <f>SUM(L505:L508)*1000*2.7</f>
        <v>2610.9000000000005</v>
      </c>
      <c r="J509">
        <f>C509-B509</f>
        <v>28481.700000000004</v>
      </c>
      <c r="M509">
        <f>0.226*1000*2.7</f>
        <v>610.20000000000005</v>
      </c>
      <c r="N509">
        <f>0.061*1000*2.7</f>
        <v>164.70000000000002</v>
      </c>
      <c r="O509">
        <f>0.68*1000*2.7</f>
        <v>1836.0000000000002</v>
      </c>
    </row>
    <row r="510" spans="1:15">
      <c r="A510" s="1">
        <v>42550</v>
      </c>
      <c r="B510" s="5">
        <v>873464</v>
      </c>
      <c r="C510">
        <f>B510/9</f>
        <v>97051.555555555562</v>
      </c>
      <c r="F510" t="s">
        <v>7</v>
      </c>
      <c r="K510" t="s">
        <v>463</v>
      </c>
      <c r="L510">
        <v>9</v>
      </c>
    </row>
    <row r="511" spans="1:15">
      <c r="A511" s="1" t="s">
        <v>452</v>
      </c>
      <c r="B511" s="5">
        <f>SUM(B510:B510)</f>
        <v>873464</v>
      </c>
      <c r="C511">
        <f>71.2*SUM(L510:L510)*1000</f>
        <v>640800.00000000012</v>
      </c>
      <c r="G511">
        <f>SUM(L510)*1000*4.2</f>
        <v>37800</v>
      </c>
      <c r="I511">
        <f>SUM(L510)*1000*4.2</f>
        <v>37800</v>
      </c>
      <c r="J511">
        <f>C511-B511</f>
        <v>-232663.99999999988</v>
      </c>
      <c r="M511">
        <f>9*1000*4.2</f>
        <v>37800</v>
      </c>
    </row>
    <row r="512" spans="1:15">
      <c r="A512" s="1">
        <v>42857</v>
      </c>
      <c r="B512" s="5">
        <v>144327</v>
      </c>
      <c r="C512">
        <f>B512/2</f>
        <v>72163.5</v>
      </c>
      <c r="F512" t="s">
        <v>7</v>
      </c>
      <c r="K512" t="s">
        <v>449</v>
      </c>
      <c r="L512">
        <v>2</v>
      </c>
    </row>
    <row r="513" spans="1:12">
      <c r="A513" s="1">
        <v>42864</v>
      </c>
      <c r="B513" s="5">
        <v>139899</v>
      </c>
      <c r="C513">
        <f>B513/2</f>
        <v>69949.5</v>
      </c>
      <c r="F513" t="s">
        <v>7</v>
      </c>
      <c r="K513" t="s">
        <v>449</v>
      </c>
      <c r="L513">
        <v>2</v>
      </c>
    </row>
    <row r="514" spans="1:12">
      <c r="A514" s="1">
        <v>42864</v>
      </c>
      <c r="B514" s="5">
        <v>68849</v>
      </c>
      <c r="C514">
        <f>B514/1</f>
        <v>68849</v>
      </c>
      <c r="F514" t="s">
        <v>7</v>
      </c>
      <c r="K514" t="s">
        <v>450</v>
      </c>
      <c r="L514">
        <v>1</v>
      </c>
    </row>
    <row r="515" spans="1:12">
      <c r="A515" s="1">
        <v>42865</v>
      </c>
      <c r="B515" s="5">
        <v>138498</v>
      </c>
      <c r="C515">
        <f>B515/2</f>
        <v>69249</v>
      </c>
      <c r="F515" t="s">
        <v>7</v>
      </c>
      <c r="K515" t="s">
        <v>449</v>
      </c>
      <c r="L515">
        <v>2</v>
      </c>
    </row>
    <row r="516" spans="1:12">
      <c r="A516" s="1">
        <v>42865</v>
      </c>
      <c r="B516" s="5">
        <v>693493</v>
      </c>
      <c r="C516">
        <f>B516/10</f>
        <v>69349.3</v>
      </c>
      <c r="F516" t="s">
        <v>7</v>
      </c>
      <c r="K516" t="s">
        <v>476</v>
      </c>
      <c r="L516">
        <v>10</v>
      </c>
    </row>
    <row r="517" spans="1:12">
      <c r="A517" s="1">
        <v>42865</v>
      </c>
      <c r="B517" s="5">
        <v>695495</v>
      </c>
      <c r="C517">
        <f>B517/10</f>
        <v>69549.5</v>
      </c>
      <c r="F517" t="s">
        <v>7</v>
      </c>
      <c r="K517" t="s">
        <v>476</v>
      </c>
      <c r="L517">
        <v>10</v>
      </c>
    </row>
    <row r="518" spans="1:12">
      <c r="A518" s="1">
        <v>42865</v>
      </c>
      <c r="B518" s="5">
        <v>1044743</v>
      </c>
      <c r="C518">
        <f>B518/15</f>
        <v>69649.53333333334</v>
      </c>
      <c r="F518" t="s">
        <v>7</v>
      </c>
      <c r="K518" t="s">
        <v>477</v>
      </c>
      <c r="L518">
        <v>15</v>
      </c>
    </row>
    <row r="519" spans="1:12">
      <c r="A519" s="1">
        <v>42865</v>
      </c>
      <c r="B519" s="5">
        <v>69749</v>
      </c>
      <c r="C519">
        <f>B519/1</f>
        <v>69749</v>
      </c>
      <c r="F519" t="s">
        <v>7</v>
      </c>
      <c r="K519" t="s">
        <v>450</v>
      </c>
      <c r="L519">
        <v>1</v>
      </c>
    </row>
    <row r="520" spans="1:12">
      <c r="A520" s="1">
        <v>42866</v>
      </c>
      <c r="B520" s="5">
        <v>700498</v>
      </c>
      <c r="C520">
        <f>B520/10</f>
        <v>70049.8</v>
      </c>
      <c r="F520" t="s">
        <v>7</v>
      </c>
      <c r="K520" t="s">
        <v>476</v>
      </c>
      <c r="L520">
        <v>10</v>
      </c>
    </row>
    <row r="521" spans="1:12">
      <c r="A521" s="1">
        <v>42866</v>
      </c>
      <c r="B521" s="5">
        <v>69949</v>
      </c>
      <c r="C521">
        <f>B521/1</f>
        <v>69949</v>
      </c>
      <c r="F521" t="s">
        <v>7</v>
      </c>
      <c r="K521" t="s">
        <v>450</v>
      </c>
      <c r="L521">
        <v>1</v>
      </c>
    </row>
    <row r="522" spans="1:12">
      <c r="A522" s="1">
        <v>42866</v>
      </c>
      <c r="B522" s="5">
        <v>419698</v>
      </c>
      <c r="C522">
        <f>B522/6</f>
        <v>69949.666666666672</v>
      </c>
      <c r="F522" t="s">
        <v>7</v>
      </c>
      <c r="K522" t="s">
        <v>478</v>
      </c>
      <c r="L522">
        <v>6</v>
      </c>
    </row>
    <row r="523" spans="1:12">
      <c r="A523" s="1">
        <v>42866</v>
      </c>
      <c r="B523" s="5">
        <v>139099</v>
      </c>
      <c r="C523">
        <f>B523/2</f>
        <v>69549.5</v>
      </c>
      <c r="F523" t="s">
        <v>7</v>
      </c>
      <c r="K523" t="s">
        <v>449</v>
      </c>
      <c r="L523">
        <v>2</v>
      </c>
    </row>
    <row r="524" spans="1:12">
      <c r="A524" s="1">
        <v>42866</v>
      </c>
      <c r="B524" s="5">
        <v>139099</v>
      </c>
      <c r="C524">
        <f>B524/2</f>
        <v>69549.5</v>
      </c>
      <c r="F524" t="s">
        <v>7</v>
      </c>
      <c r="K524" t="s">
        <v>449</v>
      </c>
      <c r="L524">
        <v>2</v>
      </c>
    </row>
    <row r="525" spans="1:12">
      <c r="A525" s="1">
        <v>42866</v>
      </c>
      <c r="B525" s="5">
        <v>417297</v>
      </c>
      <c r="C525">
        <f>B525/6</f>
        <v>69549.5</v>
      </c>
      <c r="F525" t="s">
        <v>7</v>
      </c>
      <c r="K525" t="s">
        <v>478</v>
      </c>
      <c r="L525">
        <v>6</v>
      </c>
    </row>
    <row r="526" spans="1:12">
      <c r="A526" s="1">
        <v>42866</v>
      </c>
      <c r="B526" s="5">
        <v>68548</v>
      </c>
      <c r="C526">
        <f>B526/1</f>
        <v>68548</v>
      </c>
      <c r="F526" t="s">
        <v>7</v>
      </c>
      <c r="K526" t="s">
        <v>450</v>
      </c>
      <c r="L526">
        <v>1</v>
      </c>
    </row>
    <row r="527" spans="1:12">
      <c r="A527" s="1">
        <v>42866</v>
      </c>
      <c r="B527" s="5">
        <v>274195</v>
      </c>
      <c r="C527">
        <f>B527/4</f>
        <v>68548.75</v>
      </c>
      <c r="F527" t="s">
        <v>7</v>
      </c>
      <c r="K527" t="s">
        <v>479</v>
      </c>
      <c r="L527">
        <v>4</v>
      </c>
    </row>
    <row r="528" spans="1:12">
      <c r="A528" s="1">
        <v>42866</v>
      </c>
      <c r="B528" s="5">
        <v>342744</v>
      </c>
      <c r="C528">
        <f>B528/5</f>
        <v>68548.800000000003</v>
      </c>
      <c r="F528" t="s">
        <v>7</v>
      </c>
      <c r="K528" t="s">
        <v>480</v>
      </c>
      <c r="L528">
        <v>5</v>
      </c>
    </row>
    <row r="529" spans="1:15">
      <c r="A529" s="1">
        <v>42870</v>
      </c>
      <c r="B529" s="5">
        <v>275396</v>
      </c>
      <c r="C529">
        <f>B529/4</f>
        <v>68849</v>
      </c>
      <c r="F529" t="s">
        <v>7</v>
      </c>
      <c r="K529" t="s">
        <v>453</v>
      </c>
      <c r="L529">
        <v>4</v>
      </c>
    </row>
    <row r="530" spans="1:15">
      <c r="A530" s="1">
        <v>42870</v>
      </c>
      <c r="B530" s="5">
        <v>68849</v>
      </c>
      <c r="C530">
        <f>B530/1</f>
        <v>68849</v>
      </c>
      <c r="F530" t="s">
        <v>7</v>
      </c>
      <c r="K530" t="s">
        <v>450</v>
      </c>
      <c r="L530">
        <v>1</v>
      </c>
    </row>
    <row r="531" spans="1:15">
      <c r="A531" s="1">
        <v>42870</v>
      </c>
      <c r="B531" s="5">
        <v>276967</v>
      </c>
      <c r="C531">
        <f>B531/4</f>
        <v>69241.75</v>
      </c>
      <c r="F531" t="s">
        <v>7</v>
      </c>
      <c r="K531" t="s">
        <v>453</v>
      </c>
      <c r="L531">
        <v>4</v>
      </c>
    </row>
    <row r="532" spans="1:15">
      <c r="A532" s="1">
        <v>42870</v>
      </c>
      <c r="B532" s="5">
        <v>348748</v>
      </c>
      <c r="C532">
        <f>B532/5</f>
        <v>69749.600000000006</v>
      </c>
      <c r="F532" t="s">
        <v>7</v>
      </c>
      <c r="K532" t="s">
        <v>480</v>
      </c>
      <c r="L532">
        <v>5</v>
      </c>
    </row>
    <row r="533" spans="1:15">
      <c r="A533" s="1">
        <v>42880</v>
      </c>
      <c r="B533" s="5">
        <v>140299</v>
      </c>
      <c r="C533">
        <f>B533/2</f>
        <v>70149.5</v>
      </c>
      <c r="F533" t="s">
        <v>7</v>
      </c>
      <c r="K533" t="s">
        <v>449</v>
      </c>
      <c r="L533">
        <v>2</v>
      </c>
    </row>
    <row r="534" spans="1:15">
      <c r="A534" s="1">
        <v>42881</v>
      </c>
      <c r="B534" s="5">
        <v>139499</v>
      </c>
      <c r="C534">
        <f>B534/2</f>
        <v>69749.5</v>
      </c>
      <c r="F534" t="s">
        <v>7</v>
      </c>
      <c r="K534" t="s">
        <v>449</v>
      </c>
      <c r="L534">
        <v>2</v>
      </c>
    </row>
    <row r="535" spans="1:15">
      <c r="A535" s="1">
        <v>42887</v>
      </c>
      <c r="B535" s="5">
        <v>138698</v>
      </c>
      <c r="C535">
        <f>B535/2</f>
        <v>69349</v>
      </c>
      <c r="F535" t="s">
        <v>7</v>
      </c>
      <c r="K535" t="s">
        <v>449</v>
      </c>
      <c r="L535">
        <v>2</v>
      </c>
    </row>
    <row r="536" spans="1:15">
      <c r="A536" s="1">
        <v>42889</v>
      </c>
      <c r="B536" s="5">
        <v>146104</v>
      </c>
      <c r="C536">
        <f>B536/2</f>
        <v>73052</v>
      </c>
      <c r="F536" t="s">
        <v>7</v>
      </c>
      <c r="K536" t="s">
        <v>449</v>
      </c>
      <c r="L536">
        <v>2</v>
      </c>
    </row>
    <row r="537" spans="1:15">
      <c r="A537" s="1">
        <v>42894</v>
      </c>
      <c r="B537" s="5">
        <v>345245</v>
      </c>
      <c r="C537">
        <f>B537/5</f>
        <v>69049</v>
      </c>
      <c r="F537" t="s">
        <v>7</v>
      </c>
      <c r="K537" t="s">
        <v>480</v>
      </c>
      <c r="L537">
        <v>5</v>
      </c>
    </row>
    <row r="538" spans="1:15">
      <c r="A538" s="1">
        <v>42894</v>
      </c>
      <c r="B538" s="5">
        <v>139499</v>
      </c>
      <c r="C538">
        <f>B538/2</f>
        <v>69749.5</v>
      </c>
      <c r="F538" t="s">
        <v>7</v>
      </c>
      <c r="K538" t="s">
        <v>449</v>
      </c>
      <c r="L538">
        <v>2</v>
      </c>
    </row>
    <row r="539" spans="1:15">
      <c r="A539" s="1">
        <v>42901</v>
      </c>
      <c r="B539" s="5">
        <v>198141</v>
      </c>
      <c r="C539">
        <f>B539/3</f>
        <v>66047</v>
      </c>
      <c r="F539" t="s">
        <v>7</v>
      </c>
      <c r="K539" t="s">
        <v>503</v>
      </c>
      <c r="L539">
        <v>3</v>
      </c>
    </row>
    <row r="540" spans="1:15">
      <c r="A540" s="1">
        <v>42902</v>
      </c>
      <c r="B540" s="5">
        <v>65546</v>
      </c>
      <c r="C540">
        <f>B540/1</f>
        <v>65546</v>
      </c>
      <c r="F540" t="s">
        <v>7</v>
      </c>
      <c r="K540" t="s">
        <v>450</v>
      </c>
      <c r="L540">
        <v>1</v>
      </c>
    </row>
    <row r="541" spans="1:15">
      <c r="A541" s="1">
        <v>42916</v>
      </c>
      <c r="B541" s="5">
        <v>66547</v>
      </c>
      <c r="C541">
        <f>B541/1</f>
        <v>66547</v>
      </c>
      <c r="F541" t="s">
        <v>7</v>
      </c>
      <c r="K541" t="s">
        <v>450</v>
      </c>
      <c r="L541">
        <v>1</v>
      </c>
    </row>
    <row r="542" spans="1:15">
      <c r="A542" s="1">
        <v>42916</v>
      </c>
      <c r="B542" s="5">
        <v>66147</v>
      </c>
      <c r="C542">
        <f>B542/1</f>
        <v>66147</v>
      </c>
      <c r="F542" t="s">
        <v>7</v>
      </c>
      <c r="K542" t="s">
        <v>450</v>
      </c>
      <c r="L542">
        <v>1</v>
      </c>
    </row>
    <row r="543" spans="1:15">
      <c r="A543" s="1" t="s">
        <v>472</v>
      </c>
      <c r="B543" s="5">
        <f>SUM(B512:B542)</f>
        <v>7981865</v>
      </c>
      <c r="C543">
        <f>66.6*SUM(L512:L542)*1000</f>
        <v>7658999.9999999991</v>
      </c>
      <c r="G543">
        <f>SUM(L512:L542)*1000*3</f>
        <v>345000</v>
      </c>
      <c r="H543">
        <f>SUM(L512:L542)*1000*6</f>
        <v>690000</v>
      </c>
      <c r="I543">
        <f>SUM(L512:L542)*1000*4</f>
        <v>460000</v>
      </c>
      <c r="J543">
        <f>C543-B543</f>
        <v>-322865.00000000093</v>
      </c>
      <c r="M543">
        <f>10*1000*4</f>
        <v>40000</v>
      </c>
      <c r="N543">
        <f>5*1000*4</f>
        <v>20000</v>
      </c>
      <c r="O543">
        <f>100*1000*4</f>
        <v>400000</v>
      </c>
    </row>
    <row r="544" spans="1:15">
      <c r="A544" s="1">
        <v>42891</v>
      </c>
      <c r="B544" s="5">
        <v>141500</v>
      </c>
      <c r="C544">
        <f>B544/2</f>
        <v>70750</v>
      </c>
      <c r="D544" s="1"/>
      <c r="K544" t="s">
        <v>484</v>
      </c>
      <c r="L544">
        <v>2</v>
      </c>
    </row>
    <row r="545" spans="1:15">
      <c r="A545" s="1">
        <v>42891</v>
      </c>
      <c r="B545" s="5">
        <v>70550</v>
      </c>
      <c r="C545">
        <f t="shared" ref="C545:C553" si="27">B545/1</f>
        <v>70550</v>
      </c>
      <c r="D545" s="1"/>
      <c r="K545" t="s">
        <v>485</v>
      </c>
      <c r="L545">
        <v>1</v>
      </c>
    </row>
    <row r="546" spans="1:15">
      <c r="A546" s="1">
        <v>42891</v>
      </c>
      <c r="B546" s="5">
        <v>70350</v>
      </c>
      <c r="C546">
        <f t="shared" si="27"/>
        <v>70350</v>
      </c>
      <c r="D546" s="1"/>
      <c r="K546" t="s">
        <v>485</v>
      </c>
      <c r="L546">
        <v>1</v>
      </c>
    </row>
    <row r="547" spans="1:15">
      <c r="A547" s="1">
        <v>42891</v>
      </c>
      <c r="B547" s="5">
        <v>69649</v>
      </c>
      <c r="C547">
        <f t="shared" si="27"/>
        <v>69649</v>
      </c>
      <c r="D547" s="1"/>
      <c r="K547" t="s">
        <v>485</v>
      </c>
      <c r="L547">
        <v>1</v>
      </c>
    </row>
    <row r="548" spans="1:15">
      <c r="A548" s="1">
        <v>42891</v>
      </c>
      <c r="B548" s="5">
        <v>69749</v>
      </c>
      <c r="C548">
        <f t="shared" si="27"/>
        <v>69749</v>
      </c>
      <c r="D548" s="1"/>
      <c r="K548" t="s">
        <v>485</v>
      </c>
      <c r="L548">
        <v>1</v>
      </c>
    </row>
    <row r="549" spans="1:15">
      <c r="A549" s="1">
        <v>42893</v>
      </c>
      <c r="B549" s="5">
        <v>69949</v>
      </c>
      <c r="C549">
        <f t="shared" si="27"/>
        <v>69949</v>
      </c>
      <c r="D549" s="1"/>
      <c r="K549" t="s">
        <v>485</v>
      </c>
      <c r="L549">
        <v>1</v>
      </c>
    </row>
    <row r="550" spans="1:15">
      <c r="A550" s="1">
        <v>42893</v>
      </c>
      <c r="B550" s="5">
        <v>68048</v>
      </c>
      <c r="C550">
        <f t="shared" si="27"/>
        <v>68048</v>
      </c>
      <c r="D550" s="1"/>
      <c r="K550" t="s">
        <v>485</v>
      </c>
      <c r="L550">
        <v>1</v>
      </c>
    </row>
    <row r="551" spans="1:15">
      <c r="A551" s="1">
        <v>42893</v>
      </c>
      <c r="B551" s="5">
        <v>67648</v>
      </c>
      <c r="C551">
        <f t="shared" si="27"/>
        <v>67648</v>
      </c>
      <c r="D551" s="1"/>
      <c r="K551" t="s">
        <v>485</v>
      </c>
      <c r="L551">
        <v>1</v>
      </c>
    </row>
    <row r="552" spans="1:15">
      <c r="A552" s="1">
        <v>42893</v>
      </c>
      <c r="B552" s="5">
        <v>67648</v>
      </c>
      <c r="C552">
        <f t="shared" si="27"/>
        <v>67648</v>
      </c>
      <c r="D552" s="1"/>
      <c r="K552" t="s">
        <v>485</v>
      </c>
      <c r="L552">
        <v>1</v>
      </c>
    </row>
    <row r="553" spans="1:15">
      <c r="A553" s="1">
        <v>42893</v>
      </c>
      <c r="B553" s="5">
        <v>67748</v>
      </c>
      <c r="C553">
        <f t="shared" si="27"/>
        <v>67748</v>
      </c>
      <c r="D553" s="1"/>
      <c r="K553" t="s">
        <v>485</v>
      </c>
      <c r="L553">
        <v>1</v>
      </c>
    </row>
    <row r="554" spans="1:15">
      <c r="A554" s="1">
        <v>42894</v>
      </c>
      <c r="B554" s="5">
        <v>270992</v>
      </c>
      <c r="C554">
        <f>B554/4</f>
        <v>67748</v>
      </c>
      <c r="D554" s="1"/>
      <c r="K554" t="s">
        <v>499</v>
      </c>
      <c r="L554">
        <v>4</v>
      </c>
    </row>
    <row r="555" spans="1:15">
      <c r="A555" s="1">
        <v>42898</v>
      </c>
      <c r="B555" s="5">
        <v>65646</v>
      </c>
      <c r="C555">
        <f t="shared" ref="C555" si="28">B555/1</f>
        <v>65646</v>
      </c>
      <c r="D555" s="1"/>
      <c r="K555" t="s">
        <v>485</v>
      </c>
      <c r="L555">
        <v>1</v>
      </c>
    </row>
    <row r="556" spans="1:15">
      <c r="A556" s="1" t="s">
        <v>486</v>
      </c>
      <c r="B556" s="5">
        <f>SUM(B544:B555)</f>
        <v>1099477</v>
      </c>
      <c r="C556">
        <f>68.6*SUM(L544:L555)*1000</f>
        <v>1097600</v>
      </c>
      <c r="G556">
        <f>SUM(L544:L555)*1000*3.6312</f>
        <v>58099.200000000004</v>
      </c>
      <c r="I556">
        <f>SUM(L544:L555)*1000*3.6312</f>
        <v>58099.200000000004</v>
      </c>
      <c r="J556">
        <f>C556-B556</f>
        <v>-1877</v>
      </c>
      <c r="M556">
        <f>10*1000*3.6312</f>
        <v>36312</v>
      </c>
      <c r="O556">
        <f>6*1000*3.6312</f>
        <v>21787.200000000001</v>
      </c>
    </row>
    <row r="557" spans="1:15">
      <c r="A557" s="1">
        <v>42893</v>
      </c>
      <c r="B557" s="5">
        <v>202143</v>
      </c>
      <c r="C557">
        <f>B557/2</f>
        <v>101071.5</v>
      </c>
      <c r="K557" t="s">
        <v>497</v>
      </c>
      <c r="L557">
        <v>2</v>
      </c>
    </row>
    <row r="558" spans="1:15">
      <c r="A558" s="1">
        <v>42894</v>
      </c>
      <c r="B558" s="5">
        <v>201143</v>
      </c>
      <c r="C558">
        <f>B558/2</f>
        <v>100571.5</v>
      </c>
      <c r="K558" t="s">
        <v>439</v>
      </c>
      <c r="L558">
        <v>2</v>
      </c>
    </row>
    <row r="559" spans="1:15">
      <c r="A559" s="1">
        <v>42894</v>
      </c>
      <c r="B559" s="5">
        <v>101071</v>
      </c>
      <c r="C559">
        <f t="shared" ref="C559:C568" si="29">B559/1</f>
        <v>101071</v>
      </c>
      <c r="K559" t="s">
        <v>445</v>
      </c>
      <c r="L559">
        <v>1</v>
      </c>
    </row>
    <row r="560" spans="1:15">
      <c r="A560" s="1">
        <v>42894</v>
      </c>
      <c r="B560" s="5">
        <v>100071</v>
      </c>
      <c r="C560">
        <f t="shared" si="29"/>
        <v>100071</v>
      </c>
      <c r="K560" t="s">
        <v>445</v>
      </c>
      <c r="L560">
        <v>1</v>
      </c>
    </row>
    <row r="561" spans="1:15">
      <c r="A561" s="1">
        <v>42894</v>
      </c>
      <c r="B561" s="5">
        <v>101572</v>
      </c>
      <c r="C561">
        <f t="shared" si="29"/>
        <v>101572</v>
      </c>
      <c r="K561" t="s">
        <v>445</v>
      </c>
      <c r="L561">
        <v>1</v>
      </c>
    </row>
    <row r="562" spans="1:15">
      <c r="A562" s="1">
        <v>42894</v>
      </c>
      <c r="B562" s="5">
        <v>100571</v>
      </c>
      <c r="C562">
        <f t="shared" si="29"/>
        <v>100571</v>
      </c>
      <c r="K562" t="s">
        <v>445</v>
      </c>
      <c r="L562">
        <v>1</v>
      </c>
    </row>
    <row r="563" spans="1:15">
      <c r="A563" s="1">
        <v>42895</v>
      </c>
      <c r="B563" s="5">
        <v>99070</v>
      </c>
      <c r="C563">
        <f t="shared" si="29"/>
        <v>99070</v>
      </c>
      <c r="K563" t="s">
        <v>445</v>
      </c>
      <c r="L563">
        <v>1</v>
      </c>
    </row>
    <row r="564" spans="1:15">
      <c r="A564" s="1">
        <v>42895</v>
      </c>
      <c r="B564" s="5">
        <v>97569</v>
      </c>
      <c r="C564">
        <f t="shared" si="29"/>
        <v>97569</v>
      </c>
      <c r="K564" t="s">
        <v>445</v>
      </c>
      <c r="L564">
        <v>1</v>
      </c>
    </row>
    <row r="565" spans="1:15">
      <c r="A565" s="1">
        <v>42895</v>
      </c>
      <c r="B565" s="5">
        <v>98069</v>
      </c>
      <c r="C565">
        <f t="shared" si="29"/>
        <v>98069</v>
      </c>
      <c r="K565" t="s">
        <v>445</v>
      </c>
      <c r="L565">
        <v>1</v>
      </c>
    </row>
    <row r="566" spans="1:15">
      <c r="A566" s="1">
        <v>42898</v>
      </c>
      <c r="B566" s="5">
        <v>97769</v>
      </c>
      <c r="C566">
        <f t="shared" si="29"/>
        <v>97769</v>
      </c>
      <c r="K566" t="s">
        <v>445</v>
      </c>
      <c r="L566">
        <v>1</v>
      </c>
    </row>
    <row r="567" spans="1:15">
      <c r="A567" s="1">
        <v>42898</v>
      </c>
      <c r="B567" s="5">
        <v>97069</v>
      </c>
      <c r="C567">
        <f t="shared" ref="C567" si="30">B567/1</f>
        <v>97069</v>
      </c>
      <c r="K567" t="s">
        <v>445</v>
      </c>
      <c r="L567">
        <v>1</v>
      </c>
    </row>
    <row r="568" spans="1:15">
      <c r="A568" s="1">
        <v>42916</v>
      </c>
      <c r="B568" s="5">
        <v>96268</v>
      </c>
      <c r="C568">
        <f t="shared" si="29"/>
        <v>96268</v>
      </c>
      <c r="K568" t="s">
        <v>445</v>
      </c>
      <c r="L568">
        <v>1</v>
      </c>
    </row>
    <row r="569" spans="1:15">
      <c r="A569" t="s">
        <v>498</v>
      </c>
      <c r="B569">
        <f>SUM(B557:B568)</f>
        <v>1392385</v>
      </c>
      <c r="C569">
        <f>98.5*SUM(L557:L568)*1000</f>
        <v>1379000</v>
      </c>
      <c r="G569">
        <f>SUM(L557:L568)*1000*4</f>
        <v>56000</v>
      </c>
      <c r="H569">
        <f>SUM(L557:L568)*1000*4.5</f>
        <v>63000</v>
      </c>
      <c r="I569">
        <f>SUM(L557:L568)*1000*4.5</f>
        <v>63000</v>
      </c>
      <c r="J569">
        <f>C569-B569</f>
        <v>-13385</v>
      </c>
      <c r="M569">
        <f>6*1000*4.5</f>
        <v>27000</v>
      </c>
      <c r="N569">
        <f>6*1000*4.5</f>
        <v>27000</v>
      </c>
      <c r="O569">
        <f>2*1000*4.5</f>
        <v>9000</v>
      </c>
    </row>
    <row r="570" spans="1:15">
      <c r="A570" s="1">
        <v>42900</v>
      </c>
      <c r="B570" s="5">
        <v>50535</v>
      </c>
      <c r="C570">
        <f t="shared" ref="C570" si="31">B570/1</f>
        <v>50535</v>
      </c>
      <c r="K570" t="s">
        <v>502</v>
      </c>
      <c r="L570">
        <v>1</v>
      </c>
    </row>
    <row r="571" spans="1:15">
      <c r="A571" t="s">
        <v>501</v>
      </c>
      <c r="B571">
        <f>SUM(B570)</f>
        <v>50535</v>
      </c>
      <c r="C571">
        <f>50.8*SUM(L570)*1000</f>
        <v>50800</v>
      </c>
      <c r="G571">
        <f>SUM(L570)*1000*3.4</f>
        <v>3400</v>
      </c>
      <c r="I571">
        <f>SUM(L570)*1000*3.4</f>
        <v>3400</v>
      </c>
      <c r="J571">
        <f>C571-B571</f>
        <v>265</v>
      </c>
      <c r="M571">
        <f>1*1000*3.4</f>
        <v>3400</v>
      </c>
    </row>
    <row r="572" spans="1:15">
      <c r="A572" s="1">
        <v>42915</v>
      </c>
      <c r="B572" s="5">
        <v>15420</v>
      </c>
      <c r="C572">
        <f t="shared" ref="C572" si="32">B572/1</f>
        <v>15420</v>
      </c>
      <c r="K572" t="s">
        <v>511</v>
      </c>
      <c r="L572">
        <v>1</v>
      </c>
    </row>
    <row r="573" spans="1:15">
      <c r="A573" t="s">
        <v>512</v>
      </c>
      <c r="B573">
        <f>SUM(B572)</f>
        <v>15420</v>
      </c>
      <c r="C573">
        <f>15.45*SUM(L572)*1000</f>
        <v>15450</v>
      </c>
      <c r="G573">
        <f>SUM(L572)*1000*0.1</f>
        <v>100</v>
      </c>
      <c r="I573">
        <f>SUM(L572)*1000*0.1</f>
        <v>100</v>
      </c>
      <c r="J573">
        <f>C573-B573</f>
        <v>30</v>
      </c>
      <c r="M573">
        <f>1*1000*0.1</f>
        <v>100</v>
      </c>
    </row>
    <row r="578" spans="1:11">
      <c r="A578" s="1">
        <v>41177</v>
      </c>
      <c r="B578">
        <v>254.9</v>
      </c>
      <c r="D578" s="1">
        <v>41200</v>
      </c>
      <c r="E578">
        <v>259.39999999999998</v>
      </c>
      <c r="F578" t="s">
        <v>141</v>
      </c>
      <c r="H578">
        <v>22800</v>
      </c>
      <c r="K578" s="5" t="s">
        <v>142</v>
      </c>
    </row>
    <row r="579" spans="1:11">
      <c r="A579" s="1">
        <v>41222</v>
      </c>
      <c r="B579">
        <v>250</v>
      </c>
      <c r="D579" s="1">
        <v>41227</v>
      </c>
      <c r="E579">
        <v>244.9</v>
      </c>
      <c r="F579" t="s">
        <v>133</v>
      </c>
      <c r="H579">
        <v>23900</v>
      </c>
      <c r="K579" s="5" t="s">
        <v>143</v>
      </c>
    </row>
    <row r="580" spans="1:11">
      <c r="A580" s="1">
        <v>41241</v>
      </c>
      <c r="B580">
        <v>257.2</v>
      </c>
      <c r="D580" s="1">
        <v>41247</v>
      </c>
      <c r="E580">
        <v>263</v>
      </c>
      <c r="F580" t="s">
        <v>141</v>
      </c>
      <c r="H580">
        <v>27400</v>
      </c>
      <c r="J580">
        <v>25935</v>
      </c>
      <c r="K580" s="5" t="s">
        <v>153</v>
      </c>
    </row>
    <row r="581" spans="1:11">
      <c r="A581" s="1">
        <v>41306</v>
      </c>
      <c r="B581">
        <v>315.89999999999998</v>
      </c>
      <c r="D581" s="1">
        <v>41309</v>
      </c>
      <c r="E581">
        <v>335</v>
      </c>
      <c r="F581" t="s">
        <v>7</v>
      </c>
      <c r="H581">
        <v>93700</v>
      </c>
    </row>
    <row r="582" spans="1:11">
      <c r="A582" s="1">
        <v>41311</v>
      </c>
      <c r="B582">
        <v>336.6</v>
      </c>
      <c r="D582" s="1">
        <v>41316</v>
      </c>
      <c r="E582">
        <v>325.2</v>
      </c>
      <c r="F582" t="s">
        <v>7</v>
      </c>
      <c r="H582">
        <v>-58800</v>
      </c>
    </row>
    <row r="583" spans="1:11">
      <c r="A583" s="1">
        <v>41313</v>
      </c>
      <c r="B583">
        <v>80500</v>
      </c>
      <c r="D583" s="1">
        <v>41313</v>
      </c>
      <c r="E583">
        <v>80390</v>
      </c>
      <c r="F583" t="s">
        <v>150</v>
      </c>
      <c r="H583">
        <v>3700</v>
      </c>
    </row>
    <row r="584" spans="1:11">
      <c r="A584" s="1">
        <v>41318</v>
      </c>
      <c r="B584">
        <v>81260</v>
      </c>
      <c r="D584" s="1">
        <v>41318</v>
      </c>
      <c r="E584">
        <v>81160</v>
      </c>
      <c r="F584" t="s">
        <v>7</v>
      </c>
      <c r="H584">
        <v>-6800</v>
      </c>
    </row>
    <row r="585" spans="1:11">
      <c r="A585" s="1">
        <v>41332</v>
      </c>
      <c r="B585">
        <v>78490</v>
      </c>
      <c r="D585" s="1">
        <v>41332</v>
      </c>
      <c r="E585">
        <v>78810</v>
      </c>
      <c r="F585" t="s">
        <v>150</v>
      </c>
      <c r="H585">
        <v>-17800</v>
      </c>
    </row>
    <row r="586" spans="1:11">
      <c r="A586" s="1">
        <v>41346</v>
      </c>
      <c r="B586">
        <v>78840</v>
      </c>
      <c r="D586" s="1">
        <v>41346</v>
      </c>
      <c r="E586">
        <v>78940</v>
      </c>
      <c r="F586" t="s">
        <v>7</v>
      </c>
      <c r="H586">
        <v>3200</v>
      </c>
    </row>
    <row r="587" spans="1:11">
      <c r="A587" s="1">
        <v>41347</v>
      </c>
      <c r="B587">
        <v>77310</v>
      </c>
      <c r="D587" s="1">
        <v>41347</v>
      </c>
      <c r="E587">
        <v>77500</v>
      </c>
      <c r="F587" t="s">
        <v>150</v>
      </c>
      <c r="H587">
        <v>-11300</v>
      </c>
    </row>
    <row r="588" spans="1:11">
      <c r="A588" s="1">
        <v>41403</v>
      </c>
      <c r="B588">
        <v>275</v>
      </c>
      <c r="D588" s="1">
        <v>41407</v>
      </c>
      <c r="E588">
        <v>295.8</v>
      </c>
      <c r="F588" t="s">
        <v>7</v>
      </c>
      <c r="H588">
        <v>102200</v>
      </c>
    </row>
    <row r="589" spans="1:11">
      <c r="A589" s="1">
        <v>41411</v>
      </c>
      <c r="B589">
        <v>278</v>
      </c>
      <c r="D589" s="1">
        <v>41411</v>
      </c>
      <c r="E589">
        <v>280</v>
      </c>
      <c r="F589" t="s">
        <v>7</v>
      </c>
      <c r="H589">
        <v>8200</v>
      </c>
    </row>
    <row r="590" spans="1:11">
      <c r="A590" s="1">
        <v>41417</v>
      </c>
      <c r="B590">
        <v>16000</v>
      </c>
      <c r="D590" s="1">
        <v>41417</v>
      </c>
      <c r="E590">
        <v>15700</v>
      </c>
      <c r="F590" t="s">
        <v>7</v>
      </c>
      <c r="H590">
        <v>-31000</v>
      </c>
    </row>
    <row r="591" spans="1:11">
      <c r="A591" s="1">
        <v>41417</v>
      </c>
      <c r="B591">
        <v>15970</v>
      </c>
      <c r="D591" s="1">
        <v>41417</v>
      </c>
      <c r="E591">
        <v>15675</v>
      </c>
      <c r="F591" t="s">
        <v>7</v>
      </c>
      <c r="H591">
        <v>-30500</v>
      </c>
    </row>
    <row r="592" spans="1:11">
      <c r="A592" s="1">
        <v>41446</v>
      </c>
      <c r="B592">
        <v>71660</v>
      </c>
      <c r="D592" s="1">
        <v>41449</v>
      </c>
      <c r="E592">
        <v>71050</v>
      </c>
      <c r="F592" t="s">
        <v>70</v>
      </c>
      <c r="H592">
        <v>28700</v>
      </c>
    </row>
    <row r="593" spans="1:8">
      <c r="A593" s="1">
        <v>41473</v>
      </c>
      <c r="B593">
        <v>243</v>
      </c>
      <c r="D593" s="1">
        <v>41474</v>
      </c>
      <c r="E593">
        <v>253.1</v>
      </c>
      <c r="F593" t="s">
        <v>7</v>
      </c>
      <c r="H593">
        <v>48700</v>
      </c>
    </row>
    <row r="594" spans="1:8">
      <c r="A594" s="1">
        <v>41485</v>
      </c>
      <c r="B594">
        <v>74000</v>
      </c>
      <c r="D594" s="1">
        <v>41486</v>
      </c>
      <c r="E594">
        <v>73650</v>
      </c>
      <c r="F594" t="s">
        <v>7</v>
      </c>
      <c r="H594">
        <v>-19300</v>
      </c>
    </row>
    <row r="595" spans="1:8">
      <c r="A595" s="1">
        <v>41486</v>
      </c>
      <c r="B595">
        <v>73900</v>
      </c>
      <c r="D595" s="1">
        <v>41486</v>
      </c>
      <c r="E595">
        <v>73750</v>
      </c>
      <c r="F595" t="s">
        <v>70</v>
      </c>
      <c r="H595">
        <v>5700</v>
      </c>
    </row>
    <row r="596" spans="1:8">
      <c r="A596" s="1">
        <v>41486</v>
      </c>
      <c r="B596">
        <v>240.5</v>
      </c>
      <c r="D596" s="1">
        <v>41486</v>
      </c>
      <c r="E596">
        <v>243.5</v>
      </c>
      <c r="F596" t="s">
        <v>179</v>
      </c>
      <c r="H596">
        <v>-16800</v>
      </c>
    </row>
    <row r="597" spans="1:8">
      <c r="A597" s="1">
        <v>41487</v>
      </c>
      <c r="B597">
        <v>242.8</v>
      </c>
      <c r="D597" s="1">
        <v>41488</v>
      </c>
      <c r="E597">
        <v>249</v>
      </c>
      <c r="F597" t="s">
        <v>179</v>
      </c>
      <c r="H597">
        <v>-32800</v>
      </c>
    </row>
    <row r="598" spans="1:8">
      <c r="A598" s="1">
        <v>41488</v>
      </c>
      <c r="B598">
        <v>75340</v>
      </c>
      <c r="D598" s="1">
        <v>41488</v>
      </c>
      <c r="E598">
        <v>74860</v>
      </c>
      <c r="F598" t="s">
        <v>174</v>
      </c>
      <c r="H598">
        <v>22200</v>
      </c>
    </row>
    <row r="599" spans="1:8">
      <c r="A599" s="1">
        <v>41502</v>
      </c>
      <c r="B599">
        <v>263</v>
      </c>
      <c r="D599" s="1">
        <v>41502</v>
      </c>
      <c r="E599">
        <v>268</v>
      </c>
      <c r="F599" t="s">
        <v>179</v>
      </c>
      <c r="H599">
        <v>-26800</v>
      </c>
    </row>
    <row r="600" spans="1:8">
      <c r="A600" s="1">
        <v>41507</v>
      </c>
      <c r="B600">
        <v>73900</v>
      </c>
      <c r="D600" s="1">
        <v>41507</v>
      </c>
      <c r="E600">
        <v>74040</v>
      </c>
      <c r="F600" t="s">
        <v>174</v>
      </c>
      <c r="H600">
        <v>5200</v>
      </c>
    </row>
    <row r="601" spans="1:8">
      <c r="A601" s="1">
        <v>41516</v>
      </c>
      <c r="B601">
        <v>270</v>
      </c>
      <c r="D601" s="1">
        <v>41519</v>
      </c>
      <c r="E601">
        <v>273</v>
      </c>
      <c r="F601" t="s">
        <v>174</v>
      </c>
      <c r="H601">
        <v>13200</v>
      </c>
    </row>
    <row r="602" spans="1:8">
      <c r="A602" s="1">
        <v>41528</v>
      </c>
      <c r="B602">
        <v>76980</v>
      </c>
      <c r="D602" s="1">
        <v>41528</v>
      </c>
      <c r="E602">
        <v>76790</v>
      </c>
      <c r="F602" t="s">
        <v>33</v>
      </c>
      <c r="H602">
        <v>-11300</v>
      </c>
    </row>
    <row r="603" spans="1:8">
      <c r="A603" s="1">
        <v>41528</v>
      </c>
      <c r="B603">
        <v>76960</v>
      </c>
      <c r="D603" s="1">
        <v>41528</v>
      </c>
      <c r="E603">
        <v>76990</v>
      </c>
      <c r="F603" t="s">
        <v>33</v>
      </c>
      <c r="H603">
        <v>-300</v>
      </c>
    </row>
    <row r="604" spans="1:8">
      <c r="A604" s="1">
        <v>41529</v>
      </c>
      <c r="B604">
        <v>76920</v>
      </c>
      <c r="D604" s="1">
        <v>41529</v>
      </c>
      <c r="E604">
        <v>76600</v>
      </c>
      <c r="F604" t="s">
        <v>33</v>
      </c>
      <c r="H604">
        <v>-17800</v>
      </c>
    </row>
    <row r="605" spans="1:8">
      <c r="A605" s="1">
        <v>41544</v>
      </c>
      <c r="B605">
        <v>270.2</v>
      </c>
      <c r="D605" s="1">
        <v>41547</v>
      </c>
      <c r="E605">
        <v>267.5</v>
      </c>
      <c r="F605" t="s">
        <v>180</v>
      </c>
      <c r="H605">
        <v>11900</v>
      </c>
    </row>
    <row r="606" spans="1:8">
      <c r="A606" s="6">
        <v>41556</v>
      </c>
      <c r="B606" s="7">
        <v>265</v>
      </c>
      <c r="C606" s="7"/>
      <c r="D606" s="6">
        <v>41557</v>
      </c>
      <c r="E606" s="7">
        <v>260</v>
      </c>
      <c r="F606" s="7" t="s">
        <v>182</v>
      </c>
      <c r="G606" s="7"/>
      <c r="H606" s="7">
        <v>23400</v>
      </c>
    </row>
    <row r="607" spans="1:8">
      <c r="A607" s="6">
        <v>41564</v>
      </c>
      <c r="B607">
        <v>266</v>
      </c>
      <c r="D607" s="6">
        <v>41564</v>
      </c>
      <c r="E607">
        <v>270</v>
      </c>
      <c r="F607" t="s">
        <v>184</v>
      </c>
      <c r="H607">
        <v>-21600</v>
      </c>
    </row>
    <row r="608" spans="1:8">
      <c r="A608" s="6">
        <v>41634</v>
      </c>
      <c r="B608">
        <v>275</v>
      </c>
      <c r="D608" s="6">
        <v>41635</v>
      </c>
      <c r="E608">
        <v>276</v>
      </c>
      <c r="F608" t="s">
        <v>185</v>
      </c>
      <c r="H608">
        <v>3400</v>
      </c>
    </row>
    <row r="609" spans="1:11">
      <c r="A609" t="s">
        <v>186</v>
      </c>
      <c r="J609">
        <v>19035</v>
      </c>
      <c r="K609" s="5" t="s">
        <v>187</v>
      </c>
    </row>
    <row r="610" spans="1:11">
      <c r="A610" s="1">
        <v>41687</v>
      </c>
      <c r="B610">
        <v>80800</v>
      </c>
      <c r="D610" s="1">
        <v>41687</v>
      </c>
      <c r="E610">
        <v>81100</v>
      </c>
      <c r="F610" t="s">
        <v>7</v>
      </c>
      <c r="H610">
        <v>8900</v>
      </c>
    </row>
    <row r="611" spans="1:11">
      <c r="A611" s="1">
        <v>41691</v>
      </c>
      <c r="B611">
        <v>227</v>
      </c>
      <c r="D611" s="1">
        <v>41694</v>
      </c>
      <c r="E611">
        <v>221.1</v>
      </c>
      <c r="F611" t="s">
        <v>203</v>
      </c>
      <c r="H611">
        <v>-31100</v>
      </c>
    </row>
    <row r="612" spans="1:11">
      <c r="A612" t="s">
        <v>230</v>
      </c>
      <c r="J612">
        <v>-5328</v>
      </c>
      <c r="K612" s="5" t="s">
        <v>231</v>
      </c>
    </row>
    <row r="614" spans="1:11">
      <c r="A614" t="s">
        <v>240</v>
      </c>
    </row>
  </sheetData>
  <autoFilter ref="A1:K572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opLeftCell="A7" zoomScale="85" zoomScaleNormal="85" workbookViewId="0">
      <selection activeCell="B10" sqref="B10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424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1327470</v>
      </c>
      <c r="H8">
        <v>226282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422</v>
      </c>
      <c r="B9">
        <v>1885333</v>
      </c>
      <c r="C9">
        <v>0</v>
      </c>
      <c r="D9">
        <f>D8+B9</f>
        <v>4571087</v>
      </c>
      <c r="E9">
        <f>E8+G8+M8</f>
        <v>5031770</v>
      </c>
      <c r="F9">
        <f>F8+B8+G8+H8-H7-L8</f>
        <v>6921420</v>
      </c>
      <c r="H9">
        <v>226282</v>
      </c>
      <c r="I9">
        <v>3214176</v>
      </c>
      <c r="J9">
        <f>I9/(F9+I9)*100</f>
        <v>31.711761202794587</v>
      </c>
      <c r="K9">
        <f t="shared" si="5"/>
        <v>3548701</v>
      </c>
      <c r="L9">
        <v>0</v>
      </c>
      <c r="M9">
        <v>0</v>
      </c>
      <c r="N9">
        <f t="shared" si="6"/>
        <v>27.23910700405408</v>
      </c>
      <c r="O9">
        <f t="shared" si="1"/>
        <v>18.601106437154758</v>
      </c>
      <c r="P9">
        <f>(B9/E9)*10</f>
        <v>3.7468584613366667</v>
      </c>
      <c r="Q9">
        <f>(F9/E9)*10</f>
        <v>13.755437947282964</v>
      </c>
      <c r="R9" s="12">
        <f>((F9+B9-L9+K14-K17)/(E9))*10</f>
        <v>16.429115400743676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-540000</v>
      </c>
      <c r="P14" s="2" t="s">
        <v>310</v>
      </c>
      <c r="Q14" s="2" t="s">
        <v>317</v>
      </c>
      <c r="R14" s="2" t="s">
        <v>318</v>
      </c>
    </row>
    <row r="15" spans="1:18">
      <c r="K15" t="s">
        <v>434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13000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zoomScale="85" zoomScaleNormal="85" workbookViewId="0">
      <selection activeCell="G2" sqref="G2:G43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423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>
      <c r="A16" s="1">
        <v>42111</v>
      </c>
      <c r="B16" t="s">
        <v>291</v>
      </c>
      <c r="C16">
        <v>2015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C17">
        <v>2015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415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416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C27">
        <v>2016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C28">
        <v>2016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C29">
        <v>2016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417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420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1" si="12">10*G31</f>
        <v>216000</v>
      </c>
      <c r="I31">
        <f t="shared" si="6"/>
        <v>0</v>
      </c>
      <c r="J31" t="s">
        <v>421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421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  <c r="J35" t="s">
        <v>428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  <c r="J36" t="s">
        <v>428</v>
      </c>
    </row>
    <row r="37" spans="1:10">
      <c r="A37" s="1">
        <v>42736</v>
      </c>
      <c r="B37" t="s">
        <v>415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  <c r="J37" t="s">
        <v>428</v>
      </c>
    </row>
    <row r="38" spans="1:10">
      <c r="A38" s="1">
        <v>42736</v>
      </c>
      <c r="B38" t="s">
        <v>417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  <c r="J38" t="s">
        <v>428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428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428</v>
      </c>
    </row>
    <row r="41" spans="1:10">
      <c r="A41" s="1">
        <v>42776</v>
      </c>
      <c r="B41" t="s">
        <v>295</v>
      </c>
      <c r="C41">
        <v>2017</v>
      </c>
      <c r="E41">
        <v>50000</v>
      </c>
      <c r="F41">
        <v>20</v>
      </c>
      <c r="G41">
        <f>ROUND(E41/F41,0)</f>
        <v>2500</v>
      </c>
      <c r="H41">
        <f t="shared" si="12"/>
        <v>25000</v>
      </c>
      <c r="I41">
        <f t="shared" ref="I41:I43" si="15">(F41-10)*G41</f>
        <v>25000</v>
      </c>
    </row>
    <row r="42" spans="1:10">
      <c r="A42" s="1">
        <v>42736</v>
      </c>
      <c r="B42" t="s">
        <v>291</v>
      </c>
      <c r="C42">
        <v>2017</v>
      </c>
      <c r="E42">
        <v>216000</v>
      </c>
      <c r="F42">
        <v>10</v>
      </c>
      <c r="G42">
        <f t="shared" ref="G42:G43" si="16">E42/F42</f>
        <v>21600</v>
      </c>
      <c r="H42">
        <f t="shared" ref="H42:H43" si="17">10*G42</f>
        <v>216000</v>
      </c>
      <c r="I42">
        <f t="shared" si="15"/>
        <v>0</v>
      </c>
      <c r="J42" t="s">
        <v>438</v>
      </c>
    </row>
    <row r="43" spans="1:10">
      <c r="A43" s="1">
        <v>42736</v>
      </c>
      <c r="B43" t="s">
        <v>292</v>
      </c>
      <c r="C43">
        <v>2017</v>
      </c>
      <c r="E43">
        <v>216000</v>
      </c>
      <c r="F43">
        <v>10</v>
      </c>
      <c r="G43">
        <f t="shared" si="16"/>
        <v>21600</v>
      </c>
      <c r="H43">
        <f t="shared" si="17"/>
        <v>216000</v>
      </c>
      <c r="I43">
        <f t="shared" si="15"/>
        <v>0</v>
      </c>
      <c r="J43" t="s">
        <v>438</v>
      </c>
    </row>
  </sheetData>
  <autoFilter ref="A1:J43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13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2017-06-30T02:36:34Z</dcterms:modified>
</cp:coreProperties>
</file>